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R:\SHARED\PLANNING\RFPs\NYCHA - Kingsborough  + Morris\2.0 RFP MATERIALS\2.3 Forms\"/>
    </mc:Choice>
  </mc:AlternateContent>
  <xr:revisionPtr revIDLastSave="0" documentId="8_{2B4696D7-E354-48A1-9038-03F1DA8E6A1D}" xr6:coauthVersionLast="44" xr6:coauthVersionMax="44" xr10:uidLastSave="{00000000-0000-0000-0000-000000000000}"/>
  <bookViews>
    <workbookView xWindow="28680" yWindow="-120" windowWidth="29040" windowHeight="15840" tabRatio="801" xr2:uid="{00000000-000D-0000-FFFF-FFFF00000000}"/>
  </bookViews>
  <sheets>
    <sheet name="Instructions" sheetId="13" r:id="rId1"/>
    <sheet name="Sources and Use" sheetId="2" r:id="rId2"/>
    <sheet name="Devel. Bud" sheetId="5" r:id="rId3"/>
    <sheet name="Cons Int &amp; Neg Arb" sheetId="6" r:id="rId4"/>
    <sheet name="Units &amp; Income" sheetId="1" r:id="rId5"/>
    <sheet name="M and O" sheetId="3" r:id="rId6"/>
    <sheet name="Mort" sheetId="4" r:id="rId7"/>
    <sheet name="Cash Flow" sheetId="8" r:id="rId8"/>
    <sheet name="Tax Credit " sheetId="9" r:id="rId9"/>
    <sheet name="Trade Pmt" sheetId="10" r:id="rId10"/>
    <sheet name="Pro Forma Summary" sheetId="14" state="hidden" r:id="rId11"/>
    <sheet name="Fl Area Summary" sheetId="11" r:id="rId12"/>
    <sheet name="Project Summary" sheetId="12" state="hidden" r:id="rId13"/>
  </sheets>
  <externalReferences>
    <externalReference r:id="rId14"/>
    <externalReference r:id="rId15"/>
    <externalReference r:id="rId16"/>
    <externalReference r:id="rId17"/>
    <externalReference r:id="rId18"/>
    <externalReference r:id="rId19"/>
  </externalReferences>
  <definedNames>
    <definedName name="_Fill" hidden="1">#REF!</definedName>
    <definedName name="Average_Size_of_Units">'[1]Cred Memo'!$H$181:$N$182</definedName>
    <definedName name="Balloon_on_HDC_Second_Mortgage">'[1]Cred Memo'!$B$146:$F$152</definedName>
    <definedName name="BLDGRESERVE" localSheetId="3">'[2]M and O'!#REF!</definedName>
    <definedName name="BLDGRESERVE">'M and O'!#REF!</definedName>
    <definedName name="CONCOST" localSheetId="7">#REF!</definedName>
    <definedName name="CONCOST">'Devel. Bud'!#REF!</definedName>
    <definedName name="conint">'[3]Devel. Bud'!#REF!</definedName>
    <definedName name="CONSTINTEREST" localSheetId="7">#REF!</definedName>
    <definedName name="CONSTINTEREST" localSheetId="3">'[2]Devel. Bud (2)'!#REF!</definedName>
    <definedName name="CONSTINTEREST">'Devel. Bud'!#REF!</definedName>
    <definedName name="Construction_Period__Sources_of_Funds">'[1]Cred Memo'!$B$108:$E$122</definedName>
    <definedName name="Development_Costs">'[1]Cred Memo'!$B$82:$F$103</definedName>
    <definedName name="Development_Team">'[1]Cred Memo'!$B$57:$G$61</definedName>
    <definedName name="DEVFEE" localSheetId="7">#REF!</definedName>
    <definedName name="DEVFEE">'Devel. Bud'!$D$100</definedName>
    <definedName name="EQUITY" localSheetId="7">#REF!</definedName>
    <definedName name="EQUITY">'Devel. Bud'!$D$101</definedName>
    <definedName name="ERI" localSheetId="7">[4]Mort!$D$13</definedName>
    <definedName name="ERI">Mort!#REF!</definedName>
    <definedName name="Expenses">'M and O'!$C$31</definedName>
    <definedName name="Financing_Information">'[1]Cred Memo'!$B$66:$G$75</definedName>
    <definedName name="FIRST">Mort!$H$30</definedName>
    <definedName name="GRR" localSheetId="7">'[4]Unit Distrib.'!#REF!</definedName>
    <definedName name="GRR">'Units &amp; Income'!#REF!</definedName>
    <definedName name="HDCDSC" localSheetId="7">[5]Income!$D$24</definedName>
    <definedName name="HDCDSC">[5]Income!$D$24</definedName>
    <definedName name="I_A">#REF!</definedName>
    <definedName name="LAUNDRY">'Units &amp; Income'!$D$38</definedName>
    <definedName name="Location_Information">'[1]Cred Memo'!$B$49:$G$53</definedName>
    <definedName name="NOI">Mort!$D$31</definedName>
    <definedName name="Operating_Budget">'[1]Cred Memo'!$B$225:$G$243</definedName>
    <definedName name="Permanent_Sources_of_Funds">'[1]Cred Memo'!$B$130:$G$144</definedName>
    <definedName name="_xlnm.Print_Area" localSheetId="3">'Cons Int &amp; Neg Arb'!$A$1:$F$78</definedName>
    <definedName name="_xlnm.Print_Area" localSheetId="2">'Devel. Bud'!$A$1:$F$100</definedName>
    <definedName name="_xlnm.Print_Area" localSheetId="5">'M and O'!$A$1:$E$39</definedName>
    <definedName name="_xlnm.Print_Area" localSheetId="6">Mort!$A$1:$L$43</definedName>
    <definedName name="_xlnm.Print_Area" localSheetId="12">'Project Summary'!$A$1:$I$53</definedName>
    <definedName name="_xlnm.Print_Area" localSheetId="1">'Sources and Use'!$A$1:$D$39</definedName>
    <definedName name="_xlnm.Print_Area" localSheetId="8">'Tax Credit '!$A$1:$H$76</definedName>
    <definedName name="_xlnm.Print_Area" localSheetId="4">'Units &amp; Income'!$A$1:$I$118</definedName>
    <definedName name="_xlnm.Print_Titles" localSheetId="7">'Cash Flow'!$A:$B</definedName>
    <definedName name="Project_Summary">'[1]Cred Memo'!$B$2:$G$10</definedName>
    <definedName name="RENT1">#REF!</definedName>
    <definedName name="Res_DUs">[6]Data!$M$75</definedName>
    <definedName name="Residential_Data">'[1]Cred Memo'!$H$188:$L$206</definedName>
    <definedName name="ROOMS">'Units &amp; Income'!$D$20</definedName>
    <definedName name="SECOND">Mort!$I$30</definedName>
    <definedName name="Second_Mortgage">Mort!$I$22</definedName>
    <definedName name="Square_Footage">'[1]Cred Memo'!$B$15:$D$26</definedName>
    <definedName name="TCAW">#REF!</definedName>
    <definedName name="TOTALLOAN">Mort!$L$30</definedName>
    <definedName name="Unit_Breakdown_by_Rent_Level">'[1]Cred Memo'!$B$30:$D$46</definedName>
    <definedName name="Unit_Distribution_by_Monthly_Rent">'[1]Cred Memo'!$H$169:$O$176</definedName>
    <definedName name="Unit_Distribution_by_Rent_Level">'[1]Cred Memo'!$H$156:$N$163</definedName>
    <definedName name="UNITS">'Units &amp; Income'!$B$20</definedName>
    <definedName name="Z_1ECE83C7_A3CE_4F97_BFD3_498FF783C0D9_.wvu.Cols" localSheetId="5" hidden="1">'M and O'!#REF!</definedName>
    <definedName name="Z_1ECE83C7_A3CE_4F97_BFD3_498FF783C0D9_.wvu.PrintArea" localSheetId="3" hidden="1">'Cons Int &amp; Neg Arb'!$A$1:$F$70</definedName>
    <definedName name="Z_1ECE83C7_A3CE_4F97_BFD3_498FF783C0D9_.wvu.PrintArea" localSheetId="2" hidden="1">'Devel. Bud'!$A$1:$H$105</definedName>
    <definedName name="Z_1ECE83C7_A3CE_4F97_BFD3_498FF783C0D9_.wvu.PrintArea" localSheetId="5" hidden="1">'M and O'!$A$1:$E$42</definedName>
    <definedName name="Z_1ECE83C7_A3CE_4F97_BFD3_498FF783C0D9_.wvu.PrintArea" localSheetId="6" hidden="1">Mort!$A$1:$L$43</definedName>
    <definedName name="Z_1ECE83C7_A3CE_4F97_BFD3_498FF783C0D9_.wvu.PrintArea" localSheetId="1" hidden="1">'Sources and Use'!$A$1:$D$42</definedName>
    <definedName name="Z_1ECE83C7_A3CE_4F97_BFD3_498FF783C0D9_.wvu.PrintArea" localSheetId="4" hidden="1">'Units &amp; Income'!$A$1:$E$43</definedName>
    <definedName name="Z_25C4E7E7_1006_4A2D_BC83_AEE4ADF8A914_.wvu.Cols" localSheetId="5" hidden="1">'M and O'!#REF!</definedName>
    <definedName name="Z_25C4E7E7_1006_4A2D_BC83_AEE4ADF8A914_.wvu.PrintArea" localSheetId="3" hidden="1">'Cons Int &amp; Neg Arb'!$A$1:$F$70</definedName>
    <definedName name="Z_25C4E7E7_1006_4A2D_BC83_AEE4ADF8A914_.wvu.PrintArea" localSheetId="2" hidden="1">'Devel. Bud'!$A$1:$H$105</definedName>
    <definedName name="Z_25C4E7E7_1006_4A2D_BC83_AEE4ADF8A914_.wvu.PrintArea" localSheetId="5" hidden="1">'M and O'!$A$1:$E$42</definedName>
    <definedName name="Z_25C4E7E7_1006_4A2D_BC83_AEE4ADF8A914_.wvu.PrintArea" localSheetId="6" hidden="1">Mort!$A$1:$L$43</definedName>
    <definedName name="Z_25C4E7E7_1006_4A2D_BC83_AEE4ADF8A914_.wvu.PrintArea" localSheetId="1" hidden="1">'Sources and Use'!$A$1:$D$42</definedName>
    <definedName name="Z_25C4E7E7_1006_4A2D_BC83_AEE4ADF8A914_.wvu.PrintArea" localSheetId="4" hidden="1">'Units &amp; Income'!$A$1:$E$43</definedName>
    <definedName name="Z_25C4E7E7_1006_4A2D_BC83_AEE4ADF8A914_.wvu.Rows" localSheetId="3" hidden="1">'Cons Int &amp; Neg Arb'!$26:$29,'Cons Int &amp; Neg Arb'!$45:$51</definedName>
    <definedName name="Z_25C4E7E7_1006_4A2D_BC83_AEE4ADF8A914_.wvu.Rows" localSheetId="2" hidden="1">'Devel. Bud'!$98:$98</definedName>
    <definedName name="Z_25C4E7E7_1006_4A2D_BC83_AEE4ADF8A914_.wvu.Rows" localSheetId="5" hidden="1">'M and O'!$27:$27</definedName>
    <definedName name="Z_25C4E7E7_1006_4A2D_BC83_AEE4ADF8A914_.wvu.Rows" localSheetId="1" hidden="1">'Sources and Use'!#REF!</definedName>
    <definedName name="Z_28F81D13_D146_4D67_8981_BA5D7A496326_.wvu.Cols" localSheetId="5" hidden="1">'M and O'!#REF!</definedName>
    <definedName name="Z_28F81D13_D146_4D67_8981_BA5D7A496326_.wvu.PrintArea" localSheetId="3" hidden="1">'Cons Int &amp; Neg Arb'!$A$1:$I$67</definedName>
    <definedName name="Z_28F81D13_D146_4D67_8981_BA5D7A496326_.wvu.PrintArea" localSheetId="2" hidden="1">'Devel. Bud'!$A$1:$F$104</definedName>
    <definedName name="Z_28F81D13_D146_4D67_8981_BA5D7A496326_.wvu.PrintArea" localSheetId="5" hidden="1">'M and O'!$A$1:$E$41</definedName>
    <definedName name="Z_28F81D13_D146_4D67_8981_BA5D7A496326_.wvu.PrintArea" localSheetId="6" hidden="1">Mort!$A$1:$L$50</definedName>
    <definedName name="Z_28F81D13_D146_4D67_8981_BA5D7A496326_.wvu.PrintArea" localSheetId="1" hidden="1">'Sources and Use'!$A$1:$C$42</definedName>
    <definedName name="Z_28F81D13_D146_4D67_8981_BA5D7A496326_.wvu.PrintArea" localSheetId="4" hidden="1">'Units &amp; Income'!$A$1:$E$43</definedName>
    <definedName name="Z_28F81D13_D146_4D67_8981_BA5D7A496326_.wvu.Rows" localSheetId="3" hidden="1">'Cons Int &amp; Neg Arb'!$54:$54</definedName>
    <definedName name="Z_560D4AFA_61E5_46C3_B0CD_D0EB3053A033_.wvu.Cols" localSheetId="5" hidden="1">'M and O'!#REF!</definedName>
    <definedName name="Z_560D4AFA_61E5_46C3_B0CD_D0EB3053A033_.wvu.PrintArea" localSheetId="3" hidden="1">'Cons Int &amp; Neg Arb'!$A$1:$F$70</definedName>
    <definedName name="Z_560D4AFA_61E5_46C3_B0CD_D0EB3053A033_.wvu.PrintArea" localSheetId="2" hidden="1">'Devel. Bud'!$A$1:$H$105</definedName>
    <definedName name="Z_560D4AFA_61E5_46C3_B0CD_D0EB3053A033_.wvu.PrintArea" localSheetId="5" hidden="1">'M and O'!$A$1:$E$42</definedName>
    <definedName name="Z_560D4AFA_61E5_46C3_B0CD_D0EB3053A033_.wvu.PrintArea" localSheetId="6" hidden="1">Mort!$A$1:$L$43</definedName>
    <definedName name="Z_560D4AFA_61E5_46C3_B0CD_D0EB3053A033_.wvu.PrintArea" localSheetId="1" hidden="1">'Sources and Use'!$A$1:$D$42</definedName>
    <definedName name="Z_560D4AFA_61E5_46C3_B0CD_D0EB3053A033_.wvu.PrintArea" localSheetId="4" hidden="1">'Units &amp; Income'!$A$1:$E$43</definedName>
    <definedName name="Z_560D4AFA_61E5_46C3_B0CD_D0EB3053A033_.wvu.Rows" localSheetId="3" hidden="1">'Cons Int &amp; Neg Arb'!$26:$29,'Cons Int &amp; Neg Arb'!$45:$51</definedName>
    <definedName name="Z_560D4AFA_61E5_46C3_B0CD_D0EB3053A033_.wvu.Rows" localSheetId="2" hidden="1">'Devel. Bud'!$98:$98</definedName>
    <definedName name="Z_560D4AFA_61E5_46C3_B0CD_D0EB3053A033_.wvu.Rows" localSheetId="5" hidden="1">'M and O'!$27:$27</definedName>
    <definedName name="Z_560D4AFA_61E5_46C3_B0CD_D0EB3053A033_.wvu.Rows" localSheetId="1" hidden="1">'Sources and Use'!#REF!</definedName>
    <definedName name="Z_6EF643BE_69F3_424E_8A44_3890161370D4_.wvu.Cols" localSheetId="5" hidden="1">'M and O'!#REF!</definedName>
    <definedName name="Z_6EF643BE_69F3_424E_8A44_3890161370D4_.wvu.PrintArea" localSheetId="3" hidden="1">'Cons Int &amp; Neg Arb'!$A$1:$I$67</definedName>
    <definedName name="Z_6EF643BE_69F3_424E_8A44_3890161370D4_.wvu.PrintArea" localSheetId="2" hidden="1">'Devel. Bud'!$A$1:$F$89</definedName>
    <definedName name="Z_6EF643BE_69F3_424E_8A44_3890161370D4_.wvu.PrintArea" localSheetId="5" hidden="1">'M and O'!$A$1:$E$41</definedName>
    <definedName name="Z_6EF643BE_69F3_424E_8A44_3890161370D4_.wvu.PrintArea" localSheetId="6" hidden="1">Mort!$A$1:$L$50</definedName>
    <definedName name="Z_6EF643BE_69F3_424E_8A44_3890161370D4_.wvu.PrintArea" localSheetId="1" hidden="1">'Sources and Use'!$A$1:$C$42</definedName>
    <definedName name="Z_6EF643BE_69F3_424E_8A44_3890161370D4_.wvu.PrintArea" localSheetId="4" hidden="1">'Units &amp; Income'!$A$1:$E$43</definedName>
    <definedName name="Z_6EF643BE_69F3_424E_8A44_3890161370D4_.wvu.Rows" localSheetId="3" hidden="1">'Cons Int &amp; Neg Arb'!$54:$54</definedName>
    <definedName name="Z_AEA5979F_5357_4ED6_A6CA_1BB80F5C7A74_.wvu.Cols" localSheetId="5" hidden="1">'M and O'!#REF!</definedName>
    <definedName name="Z_AEA5979F_5357_4ED6_A6CA_1BB80F5C7A74_.wvu.PrintArea" localSheetId="3" hidden="1">'Cons Int &amp; Neg Arb'!$A$1:$I$67</definedName>
    <definedName name="Z_AEA5979F_5357_4ED6_A6CA_1BB80F5C7A74_.wvu.PrintArea" localSheetId="2" hidden="1">'Devel. Bud'!$A$1:$F$89</definedName>
    <definedName name="Z_AEA5979F_5357_4ED6_A6CA_1BB80F5C7A74_.wvu.PrintArea" localSheetId="5" hidden="1">'M and O'!$A$1:$E$41</definedName>
    <definedName name="Z_AEA5979F_5357_4ED6_A6CA_1BB80F5C7A74_.wvu.PrintArea" localSheetId="6" hidden="1">Mort!$A$1:$L$50</definedName>
    <definedName name="Z_AEA5979F_5357_4ED6_A6CA_1BB80F5C7A74_.wvu.PrintArea" localSheetId="1" hidden="1">'Sources and Use'!$A$1:$C$42</definedName>
    <definedName name="Z_AEA5979F_5357_4ED6_A6CA_1BB80F5C7A74_.wvu.PrintArea" localSheetId="4" hidden="1">'Units &amp; Income'!$A$1:$E$43</definedName>
    <definedName name="Z_AEA5979F_5357_4ED6_A6CA_1BB80F5C7A74_.wvu.Rows" localSheetId="3" hidden="1">'Cons Int &amp; Neg Arb'!$54:$54</definedName>
    <definedName name="Z_EB776EFC_3589_4DB5_BEAF_1E83D9703F9E_.wvu.Cols" localSheetId="3" hidden="1">'Cons Int &amp; Neg Arb'!#REF!</definedName>
    <definedName name="Z_EB776EFC_3589_4DB5_BEAF_1E83D9703F9E_.wvu.Cols" localSheetId="2" hidden="1">'Devel. Bud'!#REF!</definedName>
    <definedName name="Z_EB776EFC_3589_4DB5_BEAF_1E83D9703F9E_.wvu.Cols" localSheetId="5" hidden="1">'M and O'!#REF!</definedName>
    <definedName name="Z_EB776EFC_3589_4DB5_BEAF_1E83D9703F9E_.wvu.PrintArea" localSheetId="2" hidden="1">'Devel. Bud'!$A$1:$F$89</definedName>
    <definedName name="Z_EB776EFC_3589_4DB5_BEAF_1E83D9703F9E_.wvu.PrintArea" localSheetId="5" hidden="1">'M and O'!$A$1:$E$41</definedName>
    <definedName name="Z_EB776EFC_3589_4DB5_BEAF_1E83D9703F9E_.wvu.PrintArea" localSheetId="6" hidden="1">Mort!$A$1:$L$50</definedName>
    <definedName name="Z_EB776EFC_3589_4DB5_BEAF_1E83D9703F9E_.wvu.PrintArea" localSheetId="4" hidden="1">'Units &amp; Income'!$A$1:$E$43</definedName>
    <definedName name="Z_EB776EFC_3589_4DB5_BEAF_1E83D9703F9E_.wvu.Rows" localSheetId="3" hidden="1">'Cons Int &amp; Neg Arb'!$54:$54</definedName>
    <definedName name="Z_FBB4BF8E_8A9F_4E98_A6F9_5F9BF4C55C67_.wvu.Cols" localSheetId="3" hidden="1">'Cons Int &amp; Neg Arb'!#REF!</definedName>
    <definedName name="Z_FBB4BF8E_8A9F_4E98_A6F9_5F9BF4C55C67_.wvu.Cols" localSheetId="2" hidden="1">'Devel. Bud'!#REF!</definedName>
    <definedName name="Z_FBB4BF8E_8A9F_4E98_A6F9_5F9BF4C55C67_.wvu.Cols" localSheetId="5" hidden="1">'M and O'!#REF!</definedName>
    <definedName name="Z_FBB4BF8E_8A9F_4E98_A6F9_5F9BF4C55C67_.wvu.PrintArea" localSheetId="2" hidden="1">'Devel. Bud'!$A$1:$F$89</definedName>
    <definedName name="Z_FBB4BF8E_8A9F_4E98_A6F9_5F9BF4C55C67_.wvu.PrintArea" localSheetId="5" hidden="1">'M and O'!$A$1:$E$41</definedName>
    <definedName name="Z_FBB4BF8E_8A9F_4E98_A6F9_5F9BF4C55C67_.wvu.PrintArea" localSheetId="6" hidden="1">Mort!$A$1:$L$50</definedName>
    <definedName name="Z_FBB4BF8E_8A9F_4E98_A6F9_5F9BF4C55C67_.wvu.PrintArea" localSheetId="4" hidden="1">'Units &amp; Income'!$A$1:$E$43</definedName>
    <definedName name="Z_FBB4BF8E_8A9F_4E98_A6F9_5F9BF4C55C67_.wvu.Rows" localSheetId="3" hidden="1">'Cons Int &amp; Neg Arb'!$54:$54</definedName>
  </definedNames>
  <calcPr calcId="191029" iterate="1"/>
  <customWorkbookViews>
    <customWorkbookView name="framirez - Personal View" guid="{25C4E7E7-1006-4A2D-BC83-AEE4ADF8A914}" mergeInterval="0" personalView="1" maximized="1" windowWidth="796" windowHeight="402" tabRatio="734" activeSheetId="4"/>
    <customWorkbookView name="Shelly Fox - Personal View" guid="{28F81D13-D146-4D67-8981-BA5D7A496326}" mergeInterval="0" personalView="1" maximized="1" windowWidth="796" windowHeight="428" tabRatio="601" activeSheetId="5"/>
    <customWorkbookView name="grodney - Personal View" guid="{AEA5979F-5357-4ED6-A6CA-1BB80F5C7A74}" mergeInterval="0" personalView="1" maximized="1" windowWidth="1020" windowHeight="604" tabRatio="601" activeSheetId="1"/>
    <customWorkbookView name="  - Personal View" guid="{EB776EFC-3589-4DB5-BEAF-1E83D9703F9E}" mergeInterval="0" personalView="1" maximized="1" windowWidth="1020" windowHeight="632" tabRatio="601" activeSheetId="3"/>
    <customWorkbookView name="rgrossman - Personal View" guid="{FBB4BF8E-8A9F-4E98-A6F9-5F9BF4C55C67}" mergeInterval="0" personalView="1" maximized="1" windowWidth="796" windowHeight="411" tabRatio="601" activeSheetId="5"/>
    <customWorkbookView name="akoffman - Personal View" guid="{6EF643BE-69F3-424E-8A44-3890161370D4}" mergeInterval="0" personalView="1" maximized="1" windowWidth="796" windowHeight="411" tabRatio="601" activeSheetId="5"/>
    <customWorkbookView name="dandrepont - Personal View" guid="{1ECE83C7-A3CE-4F97-BFD3-498FF783C0D9}" mergeInterval="0" personalView="1" xWindow="365" yWindow="33" windowWidth="649" windowHeight="528" tabRatio="734" activeSheetId="5"/>
    <customWorkbookView name="NYC - Personal View" guid="{560D4AFA-61E5-46C3-B0CD-D0EB3053A033}" mergeInterval="0" personalView="1" maximized="1" windowWidth="994" windowHeight="554" tabRatio="734" activeSheetId="10"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9" l="1"/>
  <c r="A1" i="8"/>
  <c r="A1" i="4"/>
  <c r="A1" i="3"/>
  <c r="A1" i="6"/>
  <c r="A1" i="5"/>
  <c r="F63" i="1" l="1"/>
  <c r="F55" i="1" s="1"/>
  <c r="F64" i="1"/>
  <c r="F56" i="1" s="1"/>
  <c r="F65" i="1"/>
  <c r="F81" i="1" s="1"/>
  <c r="F62" i="1"/>
  <c r="F86" i="1" s="1"/>
  <c r="B27" i="2"/>
  <c r="I54" i="1"/>
  <c r="M46" i="1"/>
  <c r="M47" i="1"/>
  <c r="M48" i="1"/>
  <c r="M45" i="1"/>
  <c r="H106" i="1"/>
  <c r="H58" i="1"/>
  <c r="I57" i="1"/>
  <c r="I56" i="1"/>
  <c r="I58" i="1" s="1"/>
  <c r="I55" i="1"/>
  <c r="C52" i="1"/>
  <c r="D56" i="1" s="1"/>
  <c r="E56" i="1" s="1"/>
  <c r="C100" i="1"/>
  <c r="D103" i="1" s="1"/>
  <c r="E103" i="1" s="1"/>
  <c r="G103" i="1" s="1"/>
  <c r="I103" i="1" s="1"/>
  <c r="C92" i="1"/>
  <c r="C84" i="1"/>
  <c r="D88" i="1" s="1"/>
  <c r="E88" i="1" s="1"/>
  <c r="C76" i="1"/>
  <c r="C68" i="1"/>
  <c r="D72" i="1" s="1"/>
  <c r="E72" i="1" s="1"/>
  <c r="C60" i="1"/>
  <c r="D63" i="1" s="1"/>
  <c r="E63" i="1" s="1"/>
  <c r="G63" i="1" s="1"/>
  <c r="I63" i="1" s="1"/>
  <c r="N46" i="1"/>
  <c r="O46" i="1"/>
  <c r="P46" i="1"/>
  <c r="Q46" i="1"/>
  <c r="R46" i="1"/>
  <c r="S46" i="1"/>
  <c r="N47" i="1"/>
  <c r="O47" i="1"/>
  <c r="P47" i="1"/>
  <c r="Q47" i="1"/>
  <c r="R47" i="1"/>
  <c r="S47" i="1"/>
  <c r="N48" i="1"/>
  <c r="O48" i="1"/>
  <c r="P48" i="1"/>
  <c r="Q48" i="1"/>
  <c r="R48" i="1"/>
  <c r="S48" i="1"/>
  <c r="T47" i="1"/>
  <c r="T49" i="1" s="1"/>
  <c r="S45" i="1"/>
  <c r="R45" i="1"/>
  <c r="Q45" i="1"/>
  <c r="P45" i="1"/>
  <c r="O45" i="1"/>
  <c r="N45" i="1"/>
  <c r="N49" i="1" s="1"/>
  <c r="S44" i="1"/>
  <c r="R44" i="1"/>
  <c r="Q44" i="1"/>
  <c r="P44" i="1"/>
  <c r="O44" i="1"/>
  <c r="N44" i="1"/>
  <c r="D31" i="1"/>
  <c r="D30" i="1"/>
  <c r="B9" i="1"/>
  <c r="H90" i="1"/>
  <c r="H98" i="1"/>
  <c r="H66" i="1"/>
  <c r="H74" i="1"/>
  <c r="H82" i="1"/>
  <c r="B16" i="1"/>
  <c r="D16" i="1" s="1"/>
  <c r="B17" i="1"/>
  <c r="D17" i="1" s="1"/>
  <c r="B18" i="1"/>
  <c r="B20" i="1" s="1"/>
  <c r="B22" i="1" s="1"/>
  <c r="D18" i="1"/>
  <c r="B19" i="1"/>
  <c r="D19" i="1" s="1"/>
  <c r="B25" i="2"/>
  <c r="B28" i="2"/>
  <c r="B29" i="2"/>
  <c r="B15" i="2"/>
  <c r="A15" i="2"/>
  <c r="A29" i="2" s="1"/>
  <c r="E6" i="1"/>
  <c r="B33" i="1" s="1"/>
  <c r="D33" i="1" s="1"/>
  <c r="D14" i="4" s="1"/>
  <c r="E7" i="1"/>
  <c r="D29" i="1"/>
  <c r="D13" i="4" s="1"/>
  <c r="D17" i="4" s="1"/>
  <c r="C10" i="8" s="1"/>
  <c r="D10" i="8" s="1"/>
  <c r="E10" i="8" s="1"/>
  <c r="F10" i="8" s="1"/>
  <c r="G10" i="8" s="1"/>
  <c r="H10" i="8" s="1"/>
  <c r="I10" i="8" s="1"/>
  <c r="J10" i="8" s="1"/>
  <c r="K10" i="8" s="1"/>
  <c r="L10" i="8" s="1"/>
  <c r="M10" i="8" s="1"/>
  <c r="N10" i="8" s="1"/>
  <c r="O10" i="8" s="1"/>
  <c r="P10" i="8" s="1"/>
  <c r="Q10" i="8" s="1"/>
  <c r="R10" i="8" s="1"/>
  <c r="S10" i="8" s="1"/>
  <c r="T10" i="8" s="1"/>
  <c r="U10" i="8" s="1"/>
  <c r="V10" i="8" s="1"/>
  <c r="W10" i="8" s="1"/>
  <c r="X10" i="8" s="1"/>
  <c r="Y10" i="8" s="1"/>
  <c r="Z10" i="8" s="1"/>
  <c r="AA10" i="8" s="1"/>
  <c r="AB10" i="8" s="1"/>
  <c r="AC10" i="8" s="1"/>
  <c r="AD10" i="8" s="1"/>
  <c r="AE10" i="8" s="1"/>
  <c r="AF10" i="8" s="1"/>
  <c r="A1" i="14"/>
  <c r="A2" i="14"/>
  <c r="G1" i="14"/>
  <c r="E8" i="1"/>
  <c r="D50" i="9"/>
  <c r="D32" i="10"/>
  <c r="D36" i="10"/>
  <c r="D14" i="5"/>
  <c r="D15" i="5" s="1"/>
  <c r="H8" i="9" s="1"/>
  <c r="C16" i="9"/>
  <c r="B16" i="6"/>
  <c r="C16" i="6" s="1"/>
  <c r="D21" i="1"/>
  <c r="C15" i="3"/>
  <c r="C19" i="3"/>
  <c r="C17" i="3" s="1"/>
  <c r="C20" i="3"/>
  <c r="C22" i="3"/>
  <c r="D26" i="4"/>
  <c r="D35" i="5"/>
  <c r="C38" i="9" s="1"/>
  <c r="I109" i="1"/>
  <c r="I110" i="1"/>
  <c r="I111" i="1"/>
  <c r="I112" i="1"/>
  <c r="E11" i="5"/>
  <c r="E12" i="5"/>
  <c r="E13" i="5"/>
  <c r="E10" i="5"/>
  <c r="K12" i="4"/>
  <c r="H31" i="4" s="1"/>
  <c r="B60" i="6"/>
  <c r="B63" i="6"/>
  <c r="C60" i="6"/>
  <c r="C63" i="6" s="1"/>
  <c r="C14" i="6"/>
  <c r="C64" i="6" s="1"/>
  <c r="B64" i="6"/>
  <c r="E35" i="6"/>
  <c r="E37" i="6"/>
  <c r="C15" i="6"/>
  <c r="D36" i="6" s="1"/>
  <c r="E36" i="6"/>
  <c r="E38" i="6"/>
  <c r="E39" i="6"/>
  <c r="E40" i="6"/>
  <c r="E41" i="6"/>
  <c r="B29" i="6"/>
  <c r="E46" i="6" s="1"/>
  <c r="E49" i="6"/>
  <c r="E48" i="6"/>
  <c r="B12" i="2"/>
  <c r="C13" i="9"/>
  <c r="C14" i="9"/>
  <c r="C15" i="9"/>
  <c r="A13" i="9"/>
  <c r="A14" i="9"/>
  <c r="A15" i="9"/>
  <c r="A16" i="9"/>
  <c r="C12" i="9"/>
  <c r="F1" i="11"/>
  <c r="G1" i="12"/>
  <c r="A2" i="12"/>
  <c r="A1" i="12"/>
  <c r="A2" i="11"/>
  <c r="A1" i="11"/>
  <c r="D1" i="10"/>
  <c r="A2" i="10"/>
  <c r="A1" i="10"/>
  <c r="C24" i="9"/>
  <c r="C25" i="9"/>
  <c r="C26" i="9"/>
  <c r="C27" i="9"/>
  <c r="C28" i="9"/>
  <c r="C29" i="9"/>
  <c r="C30" i="9"/>
  <c r="C31" i="9"/>
  <c r="C33" i="9"/>
  <c r="C34" i="9"/>
  <c r="C35" i="9"/>
  <c r="C36" i="9"/>
  <c r="C37" i="9"/>
  <c r="E19" i="11"/>
  <c r="E18" i="11"/>
  <c r="E12" i="11"/>
  <c r="E22" i="11" s="1"/>
  <c r="I7" i="12"/>
  <c r="I8" i="12"/>
  <c r="I9" i="12"/>
  <c r="I10" i="12"/>
  <c r="C11" i="12"/>
  <c r="E11" i="12"/>
  <c r="G11" i="12"/>
  <c r="I15" i="12"/>
  <c r="I16" i="12"/>
  <c r="I17" i="12"/>
  <c r="I18" i="12"/>
  <c r="I19" i="12"/>
  <c r="C20" i="12"/>
  <c r="C30" i="12" s="1"/>
  <c r="E20" i="12"/>
  <c r="G20" i="12"/>
  <c r="I23" i="12"/>
  <c r="I24" i="12"/>
  <c r="I25" i="12"/>
  <c r="I26" i="12"/>
  <c r="I27" i="12"/>
  <c r="C28" i="12"/>
  <c r="E28" i="12"/>
  <c r="G28" i="12"/>
  <c r="I28" i="12" s="1"/>
  <c r="I33" i="12"/>
  <c r="I40" i="12" s="1"/>
  <c r="I35" i="12"/>
  <c r="I36" i="12"/>
  <c r="I37" i="12"/>
  <c r="I38" i="12"/>
  <c r="I39" i="12"/>
  <c r="C40" i="12"/>
  <c r="C50" i="12" s="1"/>
  <c r="E40" i="12"/>
  <c r="G40" i="12"/>
  <c r="I43" i="12"/>
  <c r="I44" i="12"/>
  <c r="I45" i="12"/>
  <c r="I46" i="12"/>
  <c r="I47" i="12"/>
  <c r="C48" i="12"/>
  <c r="E48" i="12"/>
  <c r="I48" i="12" s="1"/>
  <c r="G48" i="12"/>
  <c r="I52" i="12"/>
  <c r="I53" i="12"/>
  <c r="D19" i="9"/>
  <c r="C74" i="9"/>
  <c r="B11" i="2"/>
  <c r="A80" i="5"/>
  <c r="A8" i="2" s="1"/>
  <c r="A21" i="2" s="1"/>
  <c r="A81" i="5"/>
  <c r="A9" i="2" s="1"/>
  <c r="A22" i="2" s="1"/>
  <c r="A82" i="5"/>
  <c r="A10" i="2" s="1"/>
  <c r="A23" i="2" s="1"/>
  <c r="A85" i="5"/>
  <c r="A13" i="2"/>
  <c r="A27" i="2" s="1"/>
  <c r="A83" i="5"/>
  <c r="A11" i="2" s="1"/>
  <c r="A25" i="2" s="1"/>
  <c r="A84" i="5"/>
  <c r="A12" i="2" s="1"/>
  <c r="A26" i="2" s="1"/>
  <c r="A86" i="5"/>
  <c r="A14" i="2" s="1"/>
  <c r="A40" i="6"/>
  <c r="A41" i="6"/>
  <c r="A39" i="6"/>
  <c r="C56" i="9"/>
  <c r="C57" i="9"/>
  <c r="C58" i="9"/>
  <c r="C59" i="9"/>
  <c r="C61" i="9"/>
  <c r="A48" i="9"/>
  <c r="C48" i="9"/>
  <c r="G2" i="9"/>
  <c r="M2" i="8"/>
  <c r="K2" i="4"/>
  <c r="D2" i="3"/>
  <c r="H2" i="1"/>
  <c r="E2" i="6"/>
  <c r="E2" i="5"/>
  <c r="A68" i="9"/>
  <c r="A70" i="9"/>
  <c r="A72" i="9"/>
  <c r="A74" i="9"/>
  <c r="A76" i="9"/>
  <c r="A38" i="9"/>
  <c r="A40" i="9"/>
  <c r="A41" i="9"/>
  <c r="A42" i="9"/>
  <c r="A43" i="9"/>
  <c r="A44" i="9"/>
  <c r="A45" i="9"/>
  <c r="C45" i="9"/>
  <c r="A46" i="9"/>
  <c r="C46" i="9"/>
  <c r="A47" i="9"/>
  <c r="C47" i="9"/>
  <c r="A49" i="9"/>
  <c r="C49" i="9"/>
  <c r="A50" i="9"/>
  <c r="A52" i="9"/>
  <c r="A53" i="9"/>
  <c r="A54" i="9"/>
  <c r="A55" i="9"/>
  <c r="A56" i="9"/>
  <c r="A57" i="9"/>
  <c r="A58" i="9"/>
  <c r="A59" i="9"/>
  <c r="A60" i="9"/>
  <c r="C60" i="9"/>
  <c r="A61" i="9"/>
  <c r="A62" i="9"/>
  <c r="A64" i="9"/>
  <c r="A65" i="9"/>
  <c r="C65" i="9"/>
  <c r="A66" i="9"/>
  <c r="A67" i="9"/>
  <c r="C67" i="9"/>
  <c r="A79" i="5"/>
  <c r="A7" i="2" s="1"/>
  <c r="A20" i="2" s="1"/>
  <c r="A36" i="9"/>
  <c r="A37" i="9"/>
  <c r="A25" i="9"/>
  <c r="A26" i="9"/>
  <c r="A27" i="9"/>
  <c r="A28" i="9"/>
  <c r="A29" i="9"/>
  <c r="A30" i="9"/>
  <c r="A31" i="9"/>
  <c r="A32" i="9"/>
  <c r="A33" i="9"/>
  <c r="A34" i="9"/>
  <c r="A35" i="9"/>
  <c r="C8" i="9"/>
  <c r="A10" i="9"/>
  <c r="A11" i="9"/>
  <c r="A12" i="9"/>
  <c r="A19" i="9"/>
  <c r="A22" i="9"/>
  <c r="A24" i="9"/>
  <c r="A8" i="9"/>
  <c r="A2" i="9"/>
  <c r="H15" i="4"/>
  <c r="A2" i="8"/>
  <c r="A100" i="5"/>
  <c r="A1" i="1"/>
  <c r="B34" i="2"/>
  <c r="B37" i="2"/>
  <c r="A2" i="1"/>
  <c r="A2" i="5" s="1"/>
  <c r="A2" i="6" s="1"/>
  <c r="A2" i="3" s="1"/>
  <c r="A2" i="4" s="1"/>
  <c r="C55" i="9"/>
  <c r="C32" i="9"/>
  <c r="D38" i="9"/>
  <c r="D72" i="9" s="1"/>
  <c r="D76" i="9" s="1"/>
  <c r="H13" i="9" s="1"/>
  <c r="H14" i="9" s="1"/>
  <c r="C68" i="9"/>
  <c r="D70" i="9"/>
  <c r="B14" i="2"/>
  <c r="B24" i="2"/>
  <c r="D62" i="9"/>
  <c r="I20" i="12"/>
  <c r="I30" i="12" s="1"/>
  <c r="D37" i="6"/>
  <c r="D46" i="6"/>
  <c r="D35" i="6"/>
  <c r="E47" i="6"/>
  <c r="F95" i="1"/>
  <c r="D80" i="1"/>
  <c r="E80" i="1" s="1"/>
  <c r="D86" i="1"/>
  <c r="E86" i="1" s="1"/>
  <c r="D73" i="1"/>
  <c r="E73" i="1" s="1"/>
  <c r="D71" i="1"/>
  <c r="E71" i="1" s="1"/>
  <c r="D70" i="1"/>
  <c r="E70" i="1"/>
  <c r="F71" i="1"/>
  <c r="F103" i="1"/>
  <c r="D104" i="1"/>
  <c r="E104" i="1"/>
  <c r="D87" i="1"/>
  <c r="E87" i="1" s="1"/>
  <c r="D89" i="1"/>
  <c r="E89" i="1" s="1"/>
  <c r="D54" i="1"/>
  <c r="E54" i="1"/>
  <c r="U46" i="1"/>
  <c r="P49" i="1"/>
  <c r="U48" i="1"/>
  <c r="D57" i="1"/>
  <c r="E57" i="1"/>
  <c r="D55" i="1"/>
  <c r="E55" i="1" s="1"/>
  <c r="D65" i="1"/>
  <c r="E65" i="1"/>
  <c r="G65" i="1" s="1"/>
  <c r="I65" i="1" s="1"/>
  <c r="N2" i="8" l="1"/>
  <c r="D66" i="5"/>
  <c r="F2" i="6"/>
  <c r="K30" i="4"/>
  <c r="G80" i="1"/>
  <c r="I80" i="1" s="1"/>
  <c r="F105" i="1"/>
  <c r="F104" i="1"/>
  <c r="D47" i="6"/>
  <c r="G50" i="12"/>
  <c r="I113" i="1"/>
  <c r="G104" i="1"/>
  <c r="I104" i="1" s="1"/>
  <c r="F72" i="1"/>
  <c r="G72" i="1" s="1"/>
  <c r="I72" i="1" s="1"/>
  <c r="F96" i="1"/>
  <c r="F57" i="1"/>
  <c r="F88" i="1"/>
  <c r="G88" i="1" s="1"/>
  <c r="I88" i="1" s="1"/>
  <c r="F97" i="1"/>
  <c r="F80" i="1"/>
  <c r="F79" i="1"/>
  <c r="G86" i="1"/>
  <c r="I86" i="1" s="1"/>
  <c r="D38" i="6"/>
  <c r="E50" i="12"/>
  <c r="I50" i="12" s="1"/>
  <c r="G30" i="12"/>
  <c r="I11" i="12"/>
  <c r="Q49" i="1"/>
  <c r="E22" i="1"/>
  <c r="E5" i="1" s="1"/>
  <c r="D5" i="1" s="1"/>
  <c r="F87" i="1"/>
  <c r="G87" i="1" s="1"/>
  <c r="I87" i="1" s="1"/>
  <c r="I90" i="1" s="1"/>
  <c r="G71" i="1"/>
  <c r="I71" i="1" s="1"/>
  <c r="E30" i="12"/>
  <c r="F73" i="1"/>
  <c r="G73" i="1" s="1"/>
  <c r="I73" i="1" s="1"/>
  <c r="F89" i="1"/>
  <c r="G89" i="1" s="1"/>
  <c r="I89" i="1" s="1"/>
  <c r="O49" i="1"/>
  <c r="H114" i="1"/>
  <c r="I1" i="12"/>
  <c r="B35" i="1"/>
  <c r="D35" i="1" s="1"/>
  <c r="D15" i="4" s="1"/>
  <c r="U47" i="1"/>
  <c r="C27" i="2"/>
  <c r="B10" i="5"/>
  <c r="C24" i="2"/>
  <c r="C29" i="2"/>
  <c r="C25" i="2"/>
  <c r="B38" i="1"/>
  <c r="D38" i="1" s="1"/>
  <c r="I30" i="4"/>
  <c r="I2" i="1"/>
  <c r="L2" i="4"/>
  <c r="D5" i="3"/>
  <c r="D2" i="2"/>
  <c r="C14" i="2"/>
  <c r="F2" i="5"/>
  <c r="I1" i="14"/>
  <c r="B15" i="5"/>
  <c r="B26" i="4"/>
  <c r="H2" i="9"/>
  <c r="H7" i="9" s="1"/>
  <c r="H9" i="9" s="1"/>
  <c r="E1" i="10"/>
  <c r="D49" i="6"/>
  <c r="D48" i="6"/>
  <c r="D40" i="6"/>
  <c r="D41" i="6"/>
  <c r="A8" i="1"/>
  <c r="A5" i="1"/>
  <c r="A6" i="1"/>
  <c r="E15" i="5"/>
  <c r="A7" i="1"/>
  <c r="F94" i="1"/>
  <c r="F102" i="1"/>
  <c r="F78" i="1"/>
  <c r="F70" i="1"/>
  <c r="G1" i="11"/>
  <c r="E23" i="1"/>
  <c r="F54" i="1"/>
  <c r="C66" i="9"/>
  <c r="D69" i="5"/>
  <c r="C70" i="9" s="1"/>
  <c r="D95" i="1"/>
  <c r="E95" i="1" s="1"/>
  <c r="G95" i="1" s="1"/>
  <c r="I95" i="1" s="1"/>
  <c r="D97" i="1"/>
  <c r="E97" i="1" s="1"/>
  <c r="G97" i="1" s="1"/>
  <c r="I97" i="1" s="1"/>
  <c r="D94" i="1"/>
  <c r="E94" i="1" s="1"/>
  <c r="G94" i="1" s="1"/>
  <c r="I94" i="1" s="1"/>
  <c r="D96" i="1"/>
  <c r="E96" i="1" s="1"/>
  <c r="G96" i="1" s="1"/>
  <c r="I96" i="1" s="1"/>
  <c r="H15" i="9"/>
  <c r="H16" i="9" s="1"/>
  <c r="H17" i="9" s="1"/>
  <c r="H18" i="9" s="1"/>
  <c r="C34" i="2"/>
  <c r="D20" i="1"/>
  <c r="D22" i="1" s="1"/>
  <c r="D6" i="3" s="1"/>
  <c r="E2" i="3"/>
  <c r="D17" i="3" s="1"/>
  <c r="I24" i="4"/>
  <c r="K36" i="4"/>
  <c r="K34" i="4" s="1"/>
  <c r="K35" i="4" s="1"/>
  <c r="J30" i="4"/>
  <c r="C28" i="2"/>
  <c r="C37" i="2"/>
  <c r="D39" i="6"/>
  <c r="C11" i="2"/>
  <c r="D18" i="4"/>
  <c r="C11" i="8" s="1"/>
  <c r="D11" i="8" s="1"/>
  <c r="E11" i="8" s="1"/>
  <c r="F11" i="8" s="1"/>
  <c r="G11" i="8" s="1"/>
  <c r="H11" i="8" s="1"/>
  <c r="I11" i="8" s="1"/>
  <c r="J11" i="8" s="1"/>
  <c r="K11" i="8" s="1"/>
  <c r="L11" i="8" s="1"/>
  <c r="M11" i="8" s="1"/>
  <c r="N11" i="8" s="1"/>
  <c r="O11" i="8" s="1"/>
  <c r="P11" i="8" s="1"/>
  <c r="Q11" i="8" s="1"/>
  <c r="R11" i="8" s="1"/>
  <c r="S11" i="8" s="1"/>
  <c r="T11" i="8" s="1"/>
  <c r="U11" i="8" s="1"/>
  <c r="V11" i="8" s="1"/>
  <c r="W11" i="8" s="1"/>
  <c r="X11" i="8" s="1"/>
  <c r="Y11" i="8" s="1"/>
  <c r="Z11" i="8" s="1"/>
  <c r="AA11" i="8" s="1"/>
  <c r="AB11" i="8" s="1"/>
  <c r="AC11" i="8" s="1"/>
  <c r="AD11" i="8" s="1"/>
  <c r="AE11" i="8" s="1"/>
  <c r="AF11" i="8" s="1"/>
  <c r="D105" i="1"/>
  <c r="E105" i="1" s="1"/>
  <c r="D102" i="1"/>
  <c r="E102" i="1" s="1"/>
  <c r="C19" i="9"/>
  <c r="B35" i="2"/>
  <c r="R49" i="1"/>
  <c r="D64" i="1"/>
  <c r="E64" i="1" s="1"/>
  <c r="G64" i="1" s="1"/>
  <c r="I64" i="1" s="1"/>
  <c r="D62" i="1"/>
  <c r="E62" i="1" s="1"/>
  <c r="G62" i="1" s="1"/>
  <c r="I62" i="1" s="1"/>
  <c r="U45" i="1"/>
  <c r="M49" i="1"/>
  <c r="A28" i="2"/>
  <c r="A24" i="2"/>
  <c r="C12" i="2"/>
  <c r="S49" i="1"/>
  <c r="G70" i="1"/>
  <c r="I70" i="1" s="1"/>
  <c r="C15" i="2"/>
  <c r="D81" i="1"/>
  <c r="E81" i="1" s="1"/>
  <c r="G81" i="1" s="1"/>
  <c r="I81" i="1" s="1"/>
  <c r="D78" i="1"/>
  <c r="E78" i="1" s="1"/>
  <c r="G78" i="1" s="1"/>
  <c r="I78" i="1" s="1"/>
  <c r="D79" i="1"/>
  <c r="E79" i="1" s="1"/>
  <c r="G79" i="1" s="1"/>
  <c r="I79" i="1" s="1"/>
  <c r="I66" i="1" l="1"/>
  <c r="G105" i="1"/>
  <c r="I105" i="1" s="1"/>
  <c r="E9" i="1"/>
  <c r="I82" i="1"/>
  <c r="I74" i="1"/>
  <c r="U49" i="1"/>
  <c r="J36" i="4"/>
  <c r="J34" i="4" s="1"/>
  <c r="J35" i="4" s="1"/>
  <c r="I23" i="4"/>
  <c r="D93" i="5"/>
  <c r="C10" i="3"/>
  <c r="C9" i="3"/>
  <c r="C16" i="3"/>
  <c r="C24" i="3"/>
  <c r="C11" i="3"/>
  <c r="C12" i="3"/>
  <c r="C13" i="3"/>
  <c r="C25" i="3"/>
  <c r="C14" i="3"/>
  <c r="C29" i="3"/>
  <c r="C28" i="3"/>
  <c r="D27" i="4" s="1"/>
  <c r="K33" i="4"/>
  <c r="I98" i="1"/>
  <c r="I22" i="4"/>
  <c r="I25" i="4" s="1"/>
  <c r="I36" i="4"/>
  <c r="I34" i="4" s="1"/>
  <c r="I35" i="4" s="1"/>
  <c r="D92" i="5"/>
  <c r="D19" i="4"/>
  <c r="C12" i="8" s="1"/>
  <c r="D12" i="8" s="1"/>
  <c r="E12" i="8" s="1"/>
  <c r="F12" i="8" s="1"/>
  <c r="G12" i="8" s="1"/>
  <c r="H12" i="8" s="1"/>
  <c r="I12" i="8" s="1"/>
  <c r="J12" i="8" s="1"/>
  <c r="K12" i="8" s="1"/>
  <c r="L12" i="8" s="1"/>
  <c r="M12" i="8" s="1"/>
  <c r="N12" i="8" s="1"/>
  <c r="O12" i="8" s="1"/>
  <c r="P12" i="8" s="1"/>
  <c r="Q12" i="8" s="1"/>
  <c r="R12" i="8" s="1"/>
  <c r="S12" i="8" s="1"/>
  <c r="T12" i="8" s="1"/>
  <c r="U12" i="8" s="1"/>
  <c r="V12" i="8" s="1"/>
  <c r="W12" i="8" s="1"/>
  <c r="X12" i="8" s="1"/>
  <c r="Y12" i="8" s="1"/>
  <c r="Z12" i="8" s="1"/>
  <c r="AA12" i="8" s="1"/>
  <c r="AB12" i="8" s="1"/>
  <c r="AC12" i="8" s="1"/>
  <c r="AD12" i="8" s="1"/>
  <c r="AE12" i="8" s="1"/>
  <c r="AF12" i="8" s="1"/>
  <c r="C35" i="2"/>
  <c r="G102" i="1"/>
  <c r="I102" i="1" s="1"/>
  <c r="D16" i="4"/>
  <c r="D40" i="1"/>
  <c r="I106" i="1" l="1"/>
  <c r="I116" i="1" s="1"/>
  <c r="D80" i="5"/>
  <c r="B21" i="2"/>
  <c r="O50" i="1"/>
  <c r="V46" i="1"/>
  <c r="P50" i="1"/>
  <c r="Q50" i="1"/>
  <c r="N50" i="1"/>
  <c r="T50" i="1"/>
  <c r="V48" i="1"/>
  <c r="D20" i="4"/>
  <c r="C13" i="8" s="1"/>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AF13" i="8" s="1"/>
  <c r="V47" i="1"/>
  <c r="J33" i="4"/>
  <c r="I33" i="4"/>
  <c r="R50" i="1"/>
  <c r="D81" i="5"/>
  <c r="B22" i="2"/>
  <c r="M50" i="1"/>
  <c r="C18" i="8"/>
  <c r="D18" i="8" s="1"/>
  <c r="E18" i="8" s="1"/>
  <c r="F18" i="8" s="1"/>
  <c r="G18" i="8" s="1"/>
  <c r="H18" i="8" s="1"/>
  <c r="I18" i="8" s="1"/>
  <c r="J18" i="8" s="1"/>
  <c r="K18" i="8" s="1"/>
  <c r="L18" i="8" s="1"/>
  <c r="M18" i="8" s="1"/>
  <c r="N18" i="8" s="1"/>
  <c r="O18" i="8" s="1"/>
  <c r="P18" i="8" s="1"/>
  <c r="Q18" i="8" s="1"/>
  <c r="R18" i="8" s="1"/>
  <c r="S18" i="8" s="1"/>
  <c r="T18" i="8" s="1"/>
  <c r="U18" i="8" s="1"/>
  <c r="V18" i="8" s="1"/>
  <c r="W18" i="8" s="1"/>
  <c r="X18" i="8" s="1"/>
  <c r="Y18" i="8" s="1"/>
  <c r="Z18" i="8" s="1"/>
  <c r="AA18" i="8" s="1"/>
  <c r="AB18" i="8" s="1"/>
  <c r="AC18" i="8" s="1"/>
  <c r="AD18" i="8" s="1"/>
  <c r="AE18" i="8" s="1"/>
  <c r="AF18" i="8" s="1"/>
  <c r="B27" i="4"/>
  <c r="S50" i="1"/>
  <c r="V45" i="1"/>
  <c r="D9" i="4" l="1"/>
  <c r="I118" i="1"/>
  <c r="E40" i="1" s="1"/>
  <c r="D21" i="4"/>
  <c r="D10" i="4"/>
  <c r="D11" i="4" s="1"/>
  <c r="C22" i="2"/>
  <c r="B9" i="2"/>
  <c r="B40" i="6"/>
  <c r="F40" i="6" s="1"/>
  <c r="B49" i="6"/>
  <c r="F49" i="6" s="1"/>
  <c r="C21" i="2"/>
  <c r="B8" i="2"/>
  <c r="B39" i="6"/>
  <c r="F39" i="6" s="1"/>
  <c r="B48" i="6"/>
  <c r="F48" i="6" s="1"/>
  <c r="D22" i="4" l="1"/>
  <c r="C23" i="3"/>
  <c r="C31" i="3" s="1"/>
  <c r="C9" i="8"/>
  <c r="C9" i="2"/>
  <c r="C8" i="2"/>
  <c r="D9" i="8" l="1"/>
  <c r="C14" i="8"/>
  <c r="D33" i="3"/>
  <c r="D25" i="4"/>
  <c r="D32" i="3"/>
  <c r="C37" i="3"/>
  <c r="B25" i="4" l="1"/>
  <c r="B28" i="4" s="1"/>
  <c r="D28" i="4"/>
  <c r="C17" i="8"/>
  <c r="E9" i="8"/>
  <c r="D14" i="8"/>
  <c r="C38" i="3"/>
  <c r="C39" i="3"/>
  <c r="E14" i="8" l="1"/>
  <c r="F9" i="8"/>
  <c r="D17" i="8"/>
  <c r="C19" i="8"/>
  <c r="C21" i="8" s="1"/>
  <c r="D34" i="4"/>
  <c r="D31" i="4"/>
  <c r="F14" i="8" l="1"/>
  <c r="G9" i="8"/>
  <c r="E17" i="8"/>
  <c r="D19" i="8"/>
  <c r="D21" i="8" s="1"/>
  <c r="K37" i="4"/>
  <c r="D36" i="4"/>
  <c r="D39" i="4"/>
  <c r="D40" i="4" s="1"/>
  <c r="F17" i="8" l="1"/>
  <c r="E19" i="8"/>
  <c r="E21" i="8" s="1"/>
  <c r="H9" i="8"/>
  <c r="G14" i="8"/>
  <c r="H30" i="4"/>
  <c r="D37" i="4"/>
  <c r="H36" i="4" l="1"/>
  <c r="H33" i="4"/>
  <c r="D91" i="5"/>
  <c r="H35" i="4"/>
  <c r="L30" i="4"/>
  <c r="F19" i="8"/>
  <c r="F21" i="8" s="1"/>
  <c r="G17" i="8"/>
  <c r="I9" i="8"/>
  <c r="H14" i="8"/>
  <c r="G19" i="8" l="1"/>
  <c r="G21" i="8" s="1"/>
  <c r="H17" i="8"/>
  <c r="B20" i="2"/>
  <c r="B8" i="6"/>
  <c r="D100" i="5"/>
  <c r="I14" i="8"/>
  <c r="J9" i="8"/>
  <c r="L36" i="4"/>
  <c r="J37" i="4"/>
  <c r="I37" i="4"/>
  <c r="H37" i="4"/>
  <c r="B31" i="2" l="1"/>
  <c r="D20" i="2" s="1"/>
  <c r="D31" i="2" s="1"/>
  <c r="C20" i="2"/>
  <c r="C61" i="6"/>
  <c r="C65" i="6" s="1"/>
  <c r="B38" i="6"/>
  <c r="F38" i="6" s="1"/>
  <c r="B37" i="6"/>
  <c r="F37" i="6" s="1"/>
  <c r="C23" i="8"/>
  <c r="L37" i="4"/>
  <c r="H19" i="8"/>
  <c r="H21" i="8" s="1"/>
  <c r="I17" i="8"/>
  <c r="K9" i="8"/>
  <c r="J14" i="8"/>
  <c r="I19" i="8" l="1"/>
  <c r="I21" i="8" s="1"/>
  <c r="J17" i="8"/>
  <c r="K14" i="8"/>
  <c r="L9" i="8"/>
  <c r="B39" i="2"/>
  <c r="D29" i="2"/>
  <c r="D28" i="2"/>
  <c r="C31" i="2"/>
  <c r="D27" i="2"/>
  <c r="D25" i="2"/>
  <c r="D24" i="2"/>
  <c r="D22" i="2"/>
  <c r="D21" i="2"/>
  <c r="D23" i="8"/>
  <c r="C25" i="8"/>
  <c r="C27" i="8" s="1"/>
  <c r="D96" i="5" s="1"/>
  <c r="E23" i="8" l="1"/>
  <c r="D25" i="8"/>
  <c r="C39" i="2"/>
  <c r="B36" i="2"/>
  <c r="D37" i="2"/>
  <c r="D34" i="2"/>
  <c r="D39" i="2" s="1"/>
  <c r="D35" i="2"/>
  <c r="L14" i="8"/>
  <c r="M9" i="8"/>
  <c r="J19" i="8"/>
  <c r="J21" i="8" s="1"/>
  <c r="K17" i="8"/>
  <c r="B26" i="2"/>
  <c r="B13" i="2"/>
  <c r="C36" i="2" l="1"/>
  <c r="D36" i="2"/>
  <c r="C13" i="2"/>
  <c r="D26" i="2"/>
  <c r="C26" i="2"/>
  <c r="L17" i="8"/>
  <c r="K19" i="8"/>
  <c r="K21" i="8" s="1"/>
  <c r="M14" i="8"/>
  <c r="N9" i="8"/>
  <c r="F23" i="8"/>
  <c r="E25" i="8"/>
  <c r="L19" i="8" l="1"/>
  <c r="L21" i="8" s="1"/>
  <c r="M17" i="8"/>
  <c r="G23" i="8"/>
  <c r="F25" i="8"/>
  <c r="O9" i="8"/>
  <c r="N14" i="8"/>
  <c r="P9" i="8" l="1"/>
  <c r="O14" i="8"/>
  <c r="N17" i="8"/>
  <c r="M19" i="8"/>
  <c r="M21" i="8" s="1"/>
  <c r="H23" i="8"/>
  <c r="G25" i="8"/>
  <c r="I23" i="8" l="1"/>
  <c r="H25" i="8"/>
  <c r="O17" i="8"/>
  <c r="N19" i="8"/>
  <c r="N21" i="8" s="1"/>
  <c r="P14" i="8"/>
  <c r="Q9" i="8"/>
  <c r="R9" i="8" l="1"/>
  <c r="Q14" i="8"/>
  <c r="P17" i="8"/>
  <c r="O19" i="8"/>
  <c r="O21" i="8" s="1"/>
  <c r="J23" i="8"/>
  <c r="I25" i="8"/>
  <c r="K23" i="8" l="1"/>
  <c r="J25" i="8"/>
  <c r="P19" i="8"/>
  <c r="P21" i="8" s="1"/>
  <c r="Q17" i="8"/>
  <c r="R14" i="8"/>
  <c r="S9" i="8"/>
  <c r="S14" i="8" l="1"/>
  <c r="T9" i="8"/>
  <c r="R17" i="8"/>
  <c r="Q19" i="8"/>
  <c r="Q21" i="8" s="1"/>
  <c r="L23" i="8"/>
  <c r="K25" i="8"/>
  <c r="M23" i="8" l="1"/>
  <c r="L25" i="8"/>
  <c r="S17" i="8"/>
  <c r="R19" i="8"/>
  <c r="R21" i="8" s="1"/>
  <c r="T14" i="8"/>
  <c r="U9" i="8"/>
  <c r="N23" i="8" l="1"/>
  <c r="M25" i="8"/>
  <c r="V9" i="8"/>
  <c r="U14" i="8"/>
  <c r="T17" i="8"/>
  <c r="S19" i="8"/>
  <c r="S21" i="8" s="1"/>
  <c r="U17" i="8" l="1"/>
  <c r="T19" i="8"/>
  <c r="T21" i="8" s="1"/>
  <c r="V14" i="8"/>
  <c r="W9" i="8"/>
  <c r="O23" i="8"/>
  <c r="N25" i="8"/>
  <c r="X9" i="8" l="1"/>
  <c r="W14" i="8"/>
  <c r="P23" i="8"/>
  <c r="O25" i="8"/>
  <c r="V17" i="8"/>
  <c r="U19" i="8"/>
  <c r="U21" i="8" s="1"/>
  <c r="V19" i="8" l="1"/>
  <c r="V21" i="8" s="1"/>
  <c r="W17" i="8"/>
  <c r="Q23" i="8"/>
  <c r="P25" i="8"/>
  <c r="X14" i="8"/>
  <c r="Y9" i="8"/>
  <c r="Z9" i="8" l="1"/>
  <c r="Y14" i="8"/>
  <c r="R23" i="8"/>
  <c r="Q25" i="8"/>
  <c r="W19" i="8"/>
  <c r="W21" i="8" s="1"/>
  <c r="X17" i="8"/>
  <c r="S23" i="8" l="1"/>
  <c r="R25" i="8"/>
  <c r="X19" i="8"/>
  <c r="X21" i="8" s="1"/>
  <c r="Y17" i="8"/>
  <c r="Z14" i="8"/>
  <c r="AA9" i="8"/>
  <c r="AB9" i="8" l="1"/>
  <c r="AA14" i="8"/>
  <c r="Z17" i="8"/>
  <c r="Y19" i="8"/>
  <c r="Y21" i="8" s="1"/>
  <c r="T23" i="8"/>
  <c r="S25" i="8"/>
  <c r="U23" i="8" l="1"/>
  <c r="T25" i="8"/>
  <c r="Z19" i="8"/>
  <c r="Z21" i="8" s="1"/>
  <c r="AA17" i="8"/>
  <c r="AB14" i="8"/>
  <c r="AC9" i="8"/>
  <c r="AD9" i="8" l="1"/>
  <c r="AC14" i="8"/>
  <c r="V23" i="8"/>
  <c r="U25" i="8"/>
  <c r="AA19" i="8"/>
  <c r="AA21" i="8" s="1"/>
  <c r="AB17" i="8"/>
  <c r="AE9" i="8" l="1"/>
  <c r="AD14" i="8"/>
  <c r="AB19" i="8"/>
  <c r="AB21" i="8" s="1"/>
  <c r="AC17" i="8"/>
  <c r="W23" i="8"/>
  <c r="V25" i="8"/>
  <c r="AD17" i="8" l="1"/>
  <c r="AC19" i="8"/>
  <c r="AC21" i="8" s="1"/>
  <c r="X23" i="8"/>
  <c r="W25" i="8"/>
  <c r="AE14" i="8"/>
  <c r="AF9" i="8"/>
  <c r="AF14" i="8" s="1"/>
  <c r="AE17" i="8" l="1"/>
  <c r="AD19" i="8"/>
  <c r="AD21" i="8" s="1"/>
  <c r="Y23" i="8"/>
  <c r="X25" i="8"/>
  <c r="AF17" i="8" l="1"/>
  <c r="AF19" i="8" s="1"/>
  <c r="AF21" i="8" s="1"/>
  <c r="AE19" i="8"/>
  <c r="AE21" i="8" s="1"/>
  <c r="Z23" i="8"/>
  <c r="Y25" i="8"/>
  <c r="AA23" i="8" l="1"/>
  <c r="Z25" i="8"/>
  <c r="AB23" i="8" l="1"/>
  <c r="AA25" i="8"/>
  <c r="AC23" i="8" l="1"/>
  <c r="AB25" i="8"/>
  <c r="AD23" i="8" l="1"/>
  <c r="AC25" i="8"/>
  <c r="AE23" i="8" l="1"/>
  <c r="AD25" i="8"/>
  <c r="AF23" i="8" l="1"/>
  <c r="AF25" i="8" s="1"/>
  <c r="AE25" i="8"/>
  <c r="C8" i="6"/>
  <c r="B9" i="6"/>
  <c r="C9" i="6"/>
  <c r="B10" i="6"/>
  <c r="B35" i="6"/>
  <c r="F35" i="6"/>
  <c r="B36" i="6"/>
  <c r="F36" i="6"/>
  <c r="B41" i="6"/>
  <c r="F41" i="6"/>
  <c r="F42" i="6"/>
  <c r="B46" i="6"/>
  <c r="F46" i="6"/>
  <c r="B47" i="6"/>
  <c r="F47" i="6"/>
  <c r="F50" i="6"/>
  <c r="B61" i="6"/>
  <c r="B65" i="6"/>
  <c r="B67" i="6"/>
  <c r="C72" i="6"/>
  <c r="C73" i="6"/>
  <c r="C74" i="6"/>
  <c r="D38" i="5"/>
  <c r="D39" i="5"/>
  <c r="D40" i="5"/>
  <c r="D41" i="5"/>
  <c r="D42" i="5"/>
  <c r="D49" i="5"/>
  <c r="D52" i="5"/>
  <c r="D53" i="5"/>
  <c r="D62" i="5"/>
  <c r="E68" i="5"/>
  <c r="D71" i="5"/>
  <c r="E73" i="5"/>
  <c r="D76" i="5"/>
  <c r="D79" i="5"/>
  <c r="E79" i="5"/>
  <c r="E80" i="5"/>
  <c r="E81" i="5"/>
  <c r="D82" i="5"/>
  <c r="E82" i="5"/>
  <c r="E83" i="5"/>
  <c r="E84" i="5"/>
  <c r="E85" i="5"/>
  <c r="E86" i="5"/>
  <c r="D87" i="5"/>
  <c r="E87" i="5"/>
  <c r="D88" i="5"/>
  <c r="E88" i="5"/>
  <c r="E91" i="5"/>
  <c r="E92" i="5"/>
  <c r="E93" i="5"/>
  <c r="D94" i="5"/>
  <c r="E94" i="5"/>
  <c r="E95" i="5"/>
  <c r="E96" i="5"/>
  <c r="E97" i="5"/>
  <c r="E98" i="5"/>
  <c r="D99" i="5"/>
  <c r="E99" i="5"/>
  <c r="E100" i="5"/>
  <c r="B7" i="2"/>
  <c r="C7" i="2"/>
  <c r="D7" i="2"/>
  <c r="D8" i="2"/>
  <c r="D9" i="2"/>
  <c r="B10" i="2"/>
  <c r="C10" i="2"/>
  <c r="D10" i="2"/>
  <c r="D11" i="2"/>
  <c r="D12" i="2"/>
  <c r="D13" i="2"/>
  <c r="D14" i="2"/>
  <c r="D15" i="2"/>
  <c r="B17" i="2"/>
  <c r="C17" i="2"/>
  <c r="D17" i="2"/>
  <c r="B23" i="2"/>
  <c r="C23" i="2"/>
  <c r="D23" i="2"/>
  <c r="H10" i="9"/>
  <c r="C41" i="9"/>
  <c r="C42" i="9"/>
  <c r="C43" i="9"/>
  <c r="C44" i="9"/>
  <c r="C50" i="9"/>
  <c r="C53" i="9"/>
  <c r="C54" i="9"/>
  <c r="C62" i="9"/>
  <c r="C72" i="9"/>
  <c r="C7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NYC</author>
  </authors>
  <commentList>
    <comment ref="H28" authorId="0" shapeId="0" xr:uid="{00000000-0006-0000-0600-000001000000}">
      <text>
        <r>
          <rPr>
            <b/>
            <sz val="8"/>
            <color indexed="81"/>
            <rFont val="Tahoma"/>
            <family val="2"/>
          </rPr>
          <t>NYC:</t>
        </r>
        <r>
          <rPr>
            <sz val="8"/>
            <color indexed="81"/>
            <rFont val="Tahoma"/>
            <family val="2"/>
          </rPr>
          <t xml:space="preserve">
If I:E ratio or 1st mort DSCR is more restrictive than combined DSCR, then you need to reduce 1st mort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Budd, William</author>
  </authors>
  <commentList>
    <comment ref="H14" authorId="0" shapeId="0" xr:uid="{00000000-0006-0000-0800-000001000000}">
      <text>
        <r>
          <rPr>
            <b/>
            <sz val="11"/>
            <color indexed="81"/>
            <rFont val="Tahoma"/>
            <family val="2"/>
          </rPr>
          <t xml:space="preserve">Note: </t>
        </r>
        <r>
          <rPr>
            <sz val="11"/>
            <color indexed="81"/>
            <rFont val="Tahoma"/>
            <family val="2"/>
          </rPr>
          <t xml:space="preserve"> Please refer to Qualified Allocation Plan (QAP) for current eligible basis  per unit cap.</t>
        </r>
      </text>
    </comment>
  </commentList>
</comments>
</file>

<file path=xl/sharedStrings.xml><?xml version="1.0" encoding="utf-8"?>
<sst xmlns="http://schemas.openxmlformats.org/spreadsheetml/2006/main" count="1018" uniqueCount="530">
  <si>
    <t># of Units</t>
  </si>
  <si>
    <t>Total</t>
  </si>
  <si>
    <t># of Spaces</t>
  </si>
  <si>
    <t>Monthly Rent</t>
  </si>
  <si>
    <t>Annual Income</t>
  </si>
  <si>
    <t>Total s.f.</t>
  </si>
  <si>
    <t>Annual Rent/s.f.</t>
  </si>
  <si>
    <t># units</t>
  </si>
  <si>
    <t>Laundry</t>
  </si>
  <si>
    <t>SOURCES AND USES</t>
  </si>
  <si>
    <t xml:space="preserve">         TOTAL SOURCES</t>
  </si>
  <si>
    <t xml:space="preserve">     Acquisition Cost</t>
  </si>
  <si>
    <t xml:space="preserve">     Construction Cost</t>
  </si>
  <si>
    <t xml:space="preserve">     Soft Cost</t>
  </si>
  <si>
    <t xml:space="preserve">     Developer's Fee</t>
  </si>
  <si>
    <t xml:space="preserve">          TOTAL USES</t>
  </si>
  <si>
    <t>Supplies/Cleaning/Exterminating</t>
  </si>
  <si>
    <t>per room</t>
  </si>
  <si>
    <t>Heating</t>
  </si>
  <si>
    <t>Gas &amp; Electricity</t>
  </si>
  <si>
    <t>per unit</t>
  </si>
  <si>
    <t>Painting</t>
  </si>
  <si>
    <t>Superintendent &amp; Maintenance Staff Salaries</t>
  </si>
  <si>
    <t>Number of:</t>
  </si>
  <si>
    <t xml:space="preserve">Elevator Maintenance &amp; Repairs </t>
  </si>
  <si>
    <t xml:space="preserve">Management Fee </t>
  </si>
  <si>
    <t xml:space="preserve">Water &amp; Sewer </t>
  </si>
  <si>
    <t xml:space="preserve">Fire and Liability Insurance </t>
  </si>
  <si>
    <t xml:space="preserve">Replacement Reserve </t>
  </si>
  <si>
    <t>M &amp; O Before Taxes and Debt Service</t>
  </si>
  <si>
    <t>Real estate taxes</t>
  </si>
  <si>
    <t>Total Expenses</t>
  </si>
  <si>
    <t>Determination of Maximum Insurable Mortgage</t>
  </si>
  <si>
    <t>Net Residential Income</t>
  </si>
  <si>
    <t>MIP</t>
  </si>
  <si>
    <t>Sum of above rates</t>
  </si>
  <si>
    <t xml:space="preserve">Ancillary/Laundry </t>
  </si>
  <si>
    <t>Total Supportable First Mortgage</t>
  </si>
  <si>
    <t>Total Combined Debt</t>
  </si>
  <si>
    <t>1st Loan</t>
  </si>
  <si>
    <t>2nd Loan</t>
  </si>
  <si>
    <t>Maintenance/Operating</t>
  </si>
  <si>
    <t xml:space="preserve">Real estate taxes </t>
  </si>
  <si>
    <t>Term</t>
  </si>
  <si>
    <t>Replacement Reserve</t>
  </si>
  <si>
    <t>NET OPERATING INCOME</t>
  </si>
  <si>
    <t>Balance</t>
  </si>
  <si>
    <t>Net Available @1.05 Income to Expense</t>
  </si>
  <si>
    <t>Debt Service</t>
  </si>
  <si>
    <t>/du</t>
  </si>
  <si>
    <t>Borrower's Legal</t>
  </si>
  <si>
    <t>Accounting</t>
  </si>
  <si>
    <t>Borrower's Engineer/Architect Fees</t>
  </si>
  <si>
    <t>Subtotal</t>
  </si>
  <si>
    <t>Negative Arbitrage</t>
  </si>
  <si>
    <t>HDC 2nd</t>
  </si>
  <si>
    <t>Bank Legal</t>
  </si>
  <si>
    <t>Survey</t>
  </si>
  <si>
    <t>Construction Interest</t>
  </si>
  <si>
    <t>Insurance</t>
  </si>
  <si>
    <t>Utilities</t>
  </si>
  <si>
    <t>Marketing</t>
  </si>
  <si>
    <t>Developer's Fee</t>
  </si>
  <si>
    <t>Total Development Cost:</t>
  </si>
  <si>
    <t>Studio</t>
  </si>
  <si>
    <t># of Rms/ DU</t>
  </si>
  <si>
    <t>per rm/du</t>
  </si>
  <si>
    <t>Units</t>
  </si>
  <si>
    <t>Rooms</t>
  </si>
  <si>
    <t>Cooking Gas</t>
  </si>
  <si>
    <t>% Outstanding</t>
  </si>
  <si>
    <t>per elevator</t>
  </si>
  <si>
    <t xml:space="preserve">Net Available for Debt Service @ </t>
  </si>
  <si>
    <t>Deferred Developer's Fee</t>
  </si>
  <si>
    <t>Expenses</t>
  </si>
  <si>
    <t>Contingency</t>
  </si>
  <si>
    <t>Title Insurance</t>
  </si>
  <si>
    <t xml:space="preserve">per unit </t>
  </si>
  <si>
    <t>Bank's Engineer</t>
  </si>
  <si>
    <t>Costs of Issuance</t>
  </si>
  <si>
    <t>Super's Unit</t>
  </si>
  <si>
    <t>Permanent Sources</t>
  </si>
  <si>
    <t>Upfront L/C Fee</t>
  </si>
  <si>
    <t>Annual L/C Fee</t>
  </si>
  <si>
    <t>Income to Expense</t>
  </si>
  <si>
    <t>Construction Sources</t>
  </si>
  <si>
    <t>Soft Cost Contingency</t>
  </si>
  <si>
    <t>Security</t>
  </si>
  <si>
    <t>Commercial</t>
  </si>
  <si>
    <t>Year 1</t>
  </si>
  <si>
    <t>Year 2</t>
  </si>
  <si>
    <t>Year 3</t>
  </si>
  <si>
    <t>Year 4</t>
  </si>
  <si>
    <t>Year 5</t>
  </si>
  <si>
    <t>Year 6</t>
  </si>
  <si>
    <t>Year 7</t>
  </si>
  <si>
    <t>Year 8</t>
  </si>
  <si>
    <t>Year 9</t>
  </si>
  <si>
    <t>Year 10</t>
  </si>
  <si>
    <t>Total Income</t>
  </si>
  <si>
    <t>M&amp;O Expenses</t>
  </si>
  <si>
    <t>Building Reserve</t>
  </si>
  <si>
    <t>NOI</t>
  </si>
  <si>
    <t>Net Cash Flow</t>
  </si>
  <si>
    <t>Total Bond Amount</t>
  </si>
  <si>
    <t>Long Term Amount</t>
  </si>
  <si>
    <t>Short Term Amount</t>
  </si>
  <si>
    <t>Investment Spread</t>
  </si>
  <si>
    <t>porters</t>
  </si>
  <si>
    <t>/unit</t>
  </si>
  <si>
    <t>Community</t>
  </si>
  <si>
    <t>unit</t>
  </si>
  <si>
    <t>General Conditions</t>
  </si>
  <si>
    <t>Parking Income</t>
  </si>
  <si>
    <t>average per sf</t>
  </si>
  <si>
    <t>Total Soft Costs</t>
  </si>
  <si>
    <t>of soft costs</t>
  </si>
  <si>
    <t>Parking</t>
  </si>
  <si>
    <t>psf</t>
  </si>
  <si>
    <t>Ancillary Income</t>
  </si>
  <si>
    <t>Borings</t>
  </si>
  <si>
    <t xml:space="preserve"> </t>
  </si>
  <si>
    <t xml:space="preserve">  </t>
  </si>
  <si>
    <t>Year 11</t>
  </si>
  <si>
    <t>Year 12</t>
  </si>
  <si>
    <t>Interest Rate Cap (estimate)</t>
  </si>
  <si>
    <t>per DU</t>
  </si>
  <si>
    <t>% of total</t>
  </si>
  <si>
    <t>UNIT DISTRBUTION</t>
  </si>
  <si>
    <t># Rooms</t>
  </si>
  <si>
    <t>Commercial Income</t>
  </si>
  <si>
    <t>Total Commercial &amp; Ancillary  Income</t>
  </si>
  <si>
    <t>Residential Income</t>
  </si>
  <si>
    <t>Annual per unit</t>
  </si>
  <si>
    <t>TOTAL ANNUAL PROJECT INCOME</t>
  </si>
  <si>
    <t>DEVELOPMENT BUDGET</t>
  </si>
  <si>
    <t>SF DISTRBUTION</t>
  </si>
  <si>
    <t>NEGATIVE ARBITRAGE</t>
  </si>
  <si>
    <t>MAINTENANCE &amp; OPERATING EXPENSES</t>
  </si>
  <si>
    <t>F/T super(s)</t>
  </si>
  <si>
    <t>TOTAL ANNUAL PROJECT EXPENSES</t>
  </si>
  <si>
    <t>% of bond</t>
  </si>
  <si>
    <t>Bond Amount</t>
  </si>
  <si>
    <t>Months</t>
  </si>
  <si>
    <t>Years</t>
  </si>
  <si>
    <t>Construction term</t>
  </si>
  <si>
    <t xml:space="preserve">Rent-up &amp; conversion term </t>
  </si>
  <si>
    <t>Total term</t>
  </si>
  <si>
    <t>Variable Rate</t>
  </si>
  <si>
    <t>Amount</t>
  </si>
  <si>
    <t>Interest Rate</t>
  </si>
  <si>
    <t>Fixed Rate</t>
  </si>
  <si>
    <t>Term (years)</t>
  </si>
  <si>
    <t>Interest</t>
  </si>
  <si>
    <t>Total Fixed Rate Cons. Interest</t>
  </si>
  <si>
    <t xml:space="preserve"> HDC 1st</t>
  </si>
  <si>
    <t>Total Variable Rate Cons. Interest</t>
  </si>
  <si>
    <t>Interest Calculations</t>
  </si>
  <si>
    <t>Rate</t>
  </si>
  <si>
    <t>Construction Term (years)</t>
  </si>
  <si>
    <t>Investment Rate</t>
  </si>
  <si>
    <t>(for fixed-rate deals only)</t>
  </si>
  <si>
    <t xml:space="preserve">Less Residential Vacancies </t>
  </si>
  <si>
    <t xml:space="preserve">Commercial Income </t>
  </si>
  <si>
    <t>Community Space Income</t>
  </si>
  <si>
    <t>Less Parking Vacancies</t>
  </si>
  <si>
    <t>Less Ancillary/Laundry Vac</t>
  </si>
  <si>
    <t xml:space="preserve">Less Commercial Vac </t>
  </si>
  <si>
    <t>Net Comm &amp; Ancillary Income</t>
  </si>
  <si>
    <t>based on net available for debt service and land taxes</t>
  </si>
  <si>
    <t>Income</t>
  </si>
  <si>
    <t>Net Income</t>
  </si>
  <si>
    <t>Less Community Space Income</t>
  </si>
  <si>
    <t>Fixed Interest Rates</t>
  </si>
  <si>
    <t>Amt Amortized</t>
  </si>
  <si>
    <t>Balloon %</t>
  </si>
  <si>
    <t>Debt Coverage</t>
  </si>
  <si>
    <t>Yrs 1 - 30</t>
  </si>
  <si>
    <t>increases</t>
  </si>
  <si>
    <t>EFFECTIVE INCOMES</t>
  </si>
  <si>
    <t>EXPENSES</t>
  </si>
  <si>
    <t xml:space="preserve">Contractor Price </t>
  </si>
  <si>
    <t>Community Space</t>
  </si>
  <si>
    <t>Residential</t>
  </si>
  <si>
    <t>Housing/Development Consultant</t>
  </si>
  <si>
    <t xml:space="preserve">Appraisal </t>
  </si>
  <si>
    <t>Total Hard Cost</t>
  </si>
  <si>
    <t>Acquisition Cost</t>
  </si>
  <si>
    <t>Construction Cost</t>
  </si>
  <si>
    <t>Soft Cost</t>
  </si>
  <si>
    <t>Construction Monitor</t>
  </si>
  <si>
    <t>Permits and expediting</t>
  </si>
  <si>
    <t>of ERI</t>
  </si>
  <si>
    <t>Hard Costs</t>
  </si>
  <si>
    <t>Average Net SF</t>
  </si>
  <si>
    <t>per Unit</t>
  </si>
  <si>
    <t>Average Net SF per DU</t>
  </si>
  <si>
    <t>Environmental Phase I &amp; II</t>
  </si>
  <si>
    <t>Capitalized Operating Reserve</t>
  </si>
  <si>
    <t>Geotechnical</t>
  </si>
  <si>
    <t>Non Profit Sponsor</t>
  </si>
  <si>
    <t>CEQR</t>
  </si>
  <si>
    <t>Water/Sewer &amp; Real Estate Taxes</t>
  </si>
  <si>
    <t>Net Residential Square Feet</t>
  </si>
  <si>
    <t xml:space="preserve">Legal </t>
  </si>
  <si>
    <t>per project</t>
  </si>
  <si>
    <t>Assumed Subsidies</t>
  </si>
  <si>
    <t>Uses</t>
  </si>
  <si>
    <t>CONSTRUCTION INTEREST</t>
  </si>
  <si>
    <t>LETTER OF CREDIT AMOUNT</t>
  </si>
  <si>
    <t>Days Interest</t>
  </si>
  <si>
    <t>LC Amount</t>
  </si>
  <si>
    <t xml:space="preserve">Long Term </t>
  </si>
  <si>
    <t xml:space="preserve">Short Term </t>
  </si>
  <si>
    <t>COMMERICAL AND ANCILLARY INCOME</t>
  </si>
  <si>
    <t>MORTGAGE SIZING</t>
  </si>
  <si>
    <t>Variable Interest Rates</t>
  </si>
  <si>
    <t>Base Rate</t>
  </si>
  <si>
    <t>Underwriting Cushion</t>
  </si>
  <si>
    <t>LC Fees</t>
  </si>
  <si>
    <t>Trustee</t>
  </si>
  <si>
    <t>Remarketing</t>
  </si>
  <si>
    <t>Servicing</t>
  </si>
  <si>
    <t>Base Underwriting Rate</t>
  </si>
  <si>
    <t>Reserves and Contingency</t>
  </si>
  <si>
    <t>Total Cost</t>
  </si>
  <si>
    <t>Eligible Cost (Y/N)</t>
  </si>
  <si>
    <t>Eligible Amount</t>
  </si>
  <si>
    <t>N</t>
  </si>
  <si>
    <t>Y</t>
  </si>
  <si>
    <t>% TC Units</t>
  </si>
  <si>
    <t>% Non Residential Costs</t>
  </si>
  <si>
    <t>Aplicable Fraction</t>
  </si>
  <si>
    <t>Construction Bonds</t>
  </si>
  <si>
    <t>Annual Credit @</t>
  </si>
  <si>
    <t>Amount Raised per Credit @</t>
  </si>
  <si>
    <t>Amount Raised Total</t>
  </si>
  <si>
    <t>Eligible Basis with Boost</t>
  </si>
  <si>
    <t>Units:</t>
  </si>
  <si>
    <t>TAX CREDIT ANAYLSIS*</t>
  </si>
  <si>
    <t>*This is an estimate; for actual raise and calculation, defer to LIHTC Investor</t>
  </si>
  <si>
    <t xml:space="preserve"> Long Term</t>
  </si>
  <si>
    <t>Short Term</t>
  </si>
  <si>
    <t>LIHTC Application Fee</t>
  </si>
  <si>
    <t>Third Mortgage</t>
  </si>
  <si>
    <t>Fourth Mortgage</t>
  </si>
  <si>
    <t>3rd Loan</t>
  </si>
  <si>
    <t>4th Loan</t>
  </si>
  <si>
    <t>Mortgage Recorting Tax</t>
  </si>
  <si>
    <t>Social Service Reserve</t>
  </si>
  <si>
    <t>HPD Fee (if applicable)</t>
  </si>
  <si>
    <t>LIHTC Equity</t>
  </si>
  <si>
    <t>Accounting &amp; Cost Certification</t>
  </si>
  <si>
    <t>Additional Operating Reserve (if applicable)</t>
  </si>
  <si>
    <t>TAX EXEMPT</t>
  </si>
  <si>
    <t>Commercial Space</t>
  </si>
  <si>
    <t>Total Annual Rental Income upon occupancy</t>
  </si>
  <si>
    <t>First Mortgage (Lender:                                )</t>
  </si>
  <si>
    <t>Second Mortgage (Lender:                                )</t>
  </si>
  <si>
    <t>Third Mortgage (Lender:                                )</t>
  </si>
  <si>
    <t>Fourth Mortgage (Lender:                                )</t>
  </si>
  <si>
    <t>Developer Equity</t>
  </si>
  <si>
    <r>
      <t>Other source (Specify:</t>
    </r>
    <r>
      <rPr>
        <u/>
        <sz val="12"/>
        <color indexed="8"/>
        <rFont val="Arial"/>
        <family val="2"/>
      </rPr>
      <t xml:space="preserve">                                </t>
    </r>
    <r>
      <rPr>
        <sz val="12"/>
        <color indexed="8"/>
        <rFont val="Arial"/>
        <family val="2"/>
      </rPr>
      <t>)</t>
    </r>
  </si>
  <si>
    <t>PROJECT NAME</t>
  </si>
  <si>
    <t>TRADE ITEM</t>
  </si>
  <si>
    <t>$ AMOUNT</t>
  </si>
  <si>
    <t>Demolition</t>
  </si>
  <si>
    <t>Environmental Remediation</t>
  </si>
  <si>
    <t>Landscaping / Site Work</t>
  </si>
  <si>
    <t>Concrete</t>
  </si>
  <si>
    <t>6a</t>
  </si>
  <si>
    <t>Masonry, pointing, waterproofing, steam cleaning</t>
  </si>
  <si>
    <t>6b</t>
  </si>
  <si>
    <t>Carpentry, rough</t>
  </si>
  <si>
    <t>Carpentry, finished</t>
  </si>
  <si>
    <t>Metals, structural steel</t>
  </si>
  <si>
    <t>Roofing</t>
  </si>
  <si>
    <t>Insulation</t>
  </si>
  <si>
    <t>Doors, frames, hardware</t>
  </si>
  <si>
    <t>Windows and glazing</t>
  </si>
  <si>
    <t>Entrance doors</t>
  </si>
  <si>
    <t>Drywall and plastering</t>
  </si>
  <si>
    <t>Ceramic tile</t>
  </si>
  <si>
    <t>Finish flooring</t>
  </si>
  <si>
    <t>17a</t>
  </si>
  <si>
    <t>17b</t>
  </si>
  <si>
    <t>Kitchen cabinets</t>
  </si>
  <si>
    <t>Applicances, medicine cabinet</t>
  </si>
  <si>
    <t>Heating and ventilation</t>
  </si>
  <si>
    <t>Plumbing</t>
  </si>
  <si>
    <t>Electrical</t>
  </si>
  <si>
    <t>Other:__________________</t>
  </si>
  <si>
    <t>Overhead</t>
  </si>
  <si>
    <t>Profit</t>
  </si>
  <si>
    <t>These calculations must match the architectural plans included in the proposal.</t>
  </si>
  <si>
    <t xml:space="preserve">TOTAL BUILT FLOOR AREA (Gross Square Feet): </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</si>
  <si>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</si>
  <si>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</si>
  <si>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</si>
  <si>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</si>
  <si>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</si>
  <si>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</si>
  <si>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</si>
  <si>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</si>
  <si>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</si>
  <si>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</si>
  <si>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</si>
  <si>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t>Component 1</t>
  </si>
  <si>
    <t>Component 2</t>
  </si>
  <si>
    <t>Component 3</t>
  </si>
  <si>
    <t>All</t>
  </si>
  <si>
    <t>TOTAL DEVELOPMENT COST</t>
  </si>
  <si>
    <t>(Specify)</t>
  </si>
  <si>
    <t>Components</t>
  </si>
  <si>
    <t>Acquisition</t>
  </si>
  <si>
    <t>Soft Costs</t>
  </si>
  <si>
    <t>Developers Fee</t>
  </si>
  <si>
    <t>Construction Sources of Financing</t>
  </si>
  <si>
    <t>Equity</t>
  </si>
  <si>
    <t>Lender / Source</t>
  </si>
  <si>
    <t xml:space="preserve">   Cash Equity</t>
  </si>
  <si>
    <t xml:space="preserve">   Other  Source</t>
  </si>
  <si>
    <t>Total Equity</t>
  </si>
  <si>
    <t>Loans / Grants</t>
  </si>
  <si>
    <t xml:space="preserve">   Bank Construction Loan</t>
  </si>
  <si>
    <t xml:space="preserve">   Other Loan / Grant</t>
  </si>
  <si>
    <t>Total Loans / Grants</t>
  </si>
  <si>
    <t>Total Construction Sources</t>
  </si>
  <si>
    <t>Permanent Sources of Financing</t>
  </si>
  <si>
    <t>Sales Proceeds</t>
  </si>
  <si>
    <t>Total Permanent Sources</t>
  </si>
  <si>
    <t>Total Residential Units</t>
  </si>
  <si>
    <t>Gross Square Footage</t>
  </si>
  <si>
    <r>
      <t xml:space="preserve">Please provide the information below for the </t>
    </r>
    <r>
      <rPr>
        <b/>
        <u/>
        <sz val="10"/>
        <rFont val="Arial"/>
        <family val="2"/>
      </rPr>
      <t>entire project,</t>
    </r>
    <r>
      <rPr>
        <b/>
        <sz val="10"/>
        <rFont val="Arial"/>
        <family val="2"/>
      </rPr>
      <t xml:space="preserve"> including all separately financed rental and homeownership components.</t>
    </r>
  </si>
  <si>
    <r>
      <t xml:space="preserve">   Bank 1</t>
    </r>
    <r>
      <rPr>
        <vertAlign val="superscript"/>
        <sz val="10"/>
        <rFont val="Arial"/>
        <family val="2"/>
      </rPr>
      <t>st</t>
    </r>
    <r>
      <rPr>
        <sz val="10"/>
        <rFont val="Arial"/>
        <family val="2"/>
      </rPr>
      <t xml:space="preserve"> Mortgage</t>
    </r>
  </si>
  <si>
    <r>
      <t xml:space="preserve">   2</t>
    </r>
    <r>
      <rPr>
        <vertAlign val="superscript"/>
        <sz val="10"/>
        <rFont val="Arial"/>
        <family val="2"/>
      </rPr>
      <t>nd</t>
    </r>
    <r>
      <rPr>
        <sz val="10"/>
        <rFont val="Arial"/>
        <family val="2"/>
      </rPr>
      <t xml:space="preserve"> Mortgage</t>
    </r>
  </si>
  <si>
    <t>Railroad trench deck (Site B only)</t>
  </si>
  <si>
    <t>Source:</t>
  </si>
  <si>
    <t>2nd Construction</t>
  </si>
  <si>
    <t>3rd Construction</t>
  </si>
  <si>
    <t>4th Construction</t>
  </si>
  <si>
    <t>1st - Short Term</t>
  </si>
  <si>
    <t>1st - Long Term</t>
  </si>
  <si>
    <t xml:space="preserve">SUBTOTAL </t>
  </si>
  <si>
    <t xml:space="preserve">GRAND TOTAL </t>
  </si>
  <si>
    <t>Servicing Fee</t>
  </si>
  <si>
    <t>Developer Costs</t>
  </si>
  <si>
    <t>Second Mortgage</t>
  </si>
  <si>
    <t>Family of Four</t>
  </si>
  <si>
    <t>2 BR FMR</t>
  </si>
  <si>
    <t>Gas Allowance</t>
  </si>
  <si>
    <t>2 rooms</t>
  </si>
  <si>
    <t>studio</t>
  </si>
  <si>
    <t>3 rooms</t>
  </si>
  <si>
    <t>1 BR</t>
  </si>
  <si>
    <t>4 rooms</t>
  </si>
  <si>
    <t>2 BR</t>
  </si>
  <si>
    <t>5 rooms</t>
  </si>
  <si>
    <t>3 BR</t>
  </si>
  <si>
    <t>HH size</t>
  </si>
  <si>
    <t>HH factor</t>
  </si>
  <si>
    <t>max gross monthly rent</t>
  </si>
  <si>
    <t>rent less electricity</t>
  </si>
  <si>
    <t>max net monthly rent</t>
  </si>
  <si>
    <t>RESIDENTIAL INCOME</t>
  </si>
  <si>
    <t>Number of units</t>
  </si>
  <si>
    <t>Annual Rent</t>
  </si>
  <si>
    <t>HUD IL</t>
  </si>
  <si>
    <t>Unit size</t>
  </si>
  <si>
    <t>Total units</t>
  </si>
  <si>
    <t>annual + fringe</t>
  </si>
  <si>
    <t>Repairs/Replacement</t>
  </si>
  <si>
    <t>Other Expenses(Specify:_________)</t>
  </si>
  <si>
    <t>+___ bps cushion</t>
  </si>
  <si>
    <t xml:space="preserve">Fixed Rates </t>
  </si>
  <si>
    <t>SIFMA</t>
  </si>
  <si>
    <t xml:space="preserve">Carrying Costs </t>
  </si>
  <si>
    <t>(change link if assuming variable rate)</t>
  </si>
  <si>
    <t>Financing Fees (Please maintain links to original calculations and note any changes)</t>
  </si>
  <si>
    <t>HDC Fee (if applicable)</t>
  </si>
  <si>
    <t>HH income</t>
  </si>
  <si>
    <r>
      <t>Note:</t>
    </r>
    <r>
      <rPr>
        <sz val="12"/>
        <rFont val="Arial"/>
        <family val="2"/>
      </rPr>
      <t xml:space="preserve"> For market rate units, please hard code rents</t>
    </r>
  </si>
  <si>
    <t>Other (Specify:_________________)</t>
  </si>
  <si>
    <t>1 Bedroom</t>
  </si>
  <si>
    <t>2 Bedroom</t>
  </si>
  <si>
    <t>3 Bedroom</t>
  </si>
  <si>
    <t>Market Rate</t>
  </si>
  <si>
    <t>Instructions</t>
  </si>
  <si>
    <t xml:space="preserve">Applicants should provide separate pro formas for each component of a project that will be separately financed. </t>
  </si>
  <si>
    <t>Please complete this pro forma for the rental component of your project.  Fill in the cells shaded blue.  Keep cells linked and maintain calculations.  If you modify given assumptions, please clearly note the changes.</t>
  </si>
  <si>
    <t>2nd Loan Constant</t>
  </si>
  <si>
    <t>3rd Loan Constant</t>
  </si>
  <si>
    <t>4th Loan Constant</t>
  </si>
  <si>
    <t>Enter 1st Mortgage Amount from Cell H30 here</t>
  </si>
  <si>
    <t>of TDC less Dev Fee</t>
  </si>
  <si>
    <t>of LOC amt</t>
  </si>
  <si>
    <t xml:space="preserve">of LOC amt </t>
  </si>
  <si>
    <t>of HDC cons 1st</t>
  </si>
  <si>
    <t>Site:</t>
  </si>
  <si>
    <t>Combined DSCR</t>
  </si>
  <si>
    <t>1st Mort DSCR</t>
  </si>
  <si>
    <t>1st Loan Reduction</t>
  </si>
  <si>
    <t>utility allowance</t>
  </si>
  <si>
    <t>Number of TC Units</t>
  </si>
  <si>
    <t>Residential GSF</t>
  </si>
  <si>
    <t>Commercial GSF</t>
  </si>
  <si>
    <t>Community GSF</t>
  </si>
  <si>
    <t>Parking GSF</t>
  </si>
  <si>
    <t>Efficiency</t>
  </si>
  <si>
    <t>NSF</t>
  </si>
  <si>
    <t>Total Project NSF</t>
  </si>
  <si>
    <t>GSF</t>
  </si>
  <si>
    <t>Total Project GSF</t>
  </si>
  <si>
    <t>Pro Forma Assumptions</t>
  </si>
  <si>
    <t>Total Conventional Debt</t>
  </si>
  <si>
    <t>Total Volume Cap Bonds</t>
  </si>
  <si>
    <t>Total Recycled Bonds</t>
  </si>
  <si>
    <t>Total Taxable Bonds</t>
  </si>
  <si>
    <t>Total Residential Hard Costs PSF</t>
  </si>
  <si>
    <t>Total Commercial Hard Costs PSF</t>
  </si>
  <si>
    <t>Total Community Hard Costs PSF</t>
  </si>
  <si>
    <t>Total Parking Hard Costs PSF</t>
  </si>
  <si>
    <t>Total Other Hard Costs PSF</t>
  </si>
  <si>
    <t>Total Hard Costs w/Contingency PSF</t>
  </si>
  <si>
    <t>Source Additional Info</t>
  </si>
  <si>
    <t>% of Developer Fee Deferred during Construction</t>
  </si>
  <si>
    <t>Costs</t>
  </si>
  <si>
    <t>LOC Ongoing Fee % (if any)</t>
  </si>
  <si>
    <t>LOC Upfront Fee % (if any)</t>
  </si>
  <si>
    <t>Soft Costs as a % of TDC</t>
  </si>
  <si>
    <t>Developer Fee as a % of TDC</t>
  </si>
  <si>
    <t>Total Construction Period (months)</t>
  </si>
  <si>
    <t>Other Assumptions</t>
  </si>
  <si>
    <t>Total building stories</t>
  </si>
  <si>
    <t>Total Parking Spaces</t>
  </si>
  <si>
    <t>Cash Flow Income Inflator %</t>
  </si>
  <si>
    <t>Cash Flow Expense Inflator %</t>
  </si>
  <si>
    <t>Units &amp; Income</t>
  </si>
  <si>
    <t>% of Units with 2 or more bedrooms</t>
  </si>
  <si>
    <t>LIHTC Raise (e.g.- $0.00)</t>
  </si>
  <si>
    <t>Assumed LIHTC Rate</t>
  </si>
  <si>
    <t>Total Permanent Period (years)</t>
  </si>
  <si>
    <t>Senior Loan Construction Interest Rate %</t>
  </si>
  <si>
    <t>Senior Loan Permanent All-in Interest Rate %</t>
  </si>
  <si>
    <t>Assumed Permanent Enhancement Type (text)</t>
  </si>
  <si>
    <t>% of Units with rents set at or below 30% AMI</t>
  </si>
  <si>
    <t>% of Units with rents set at 31-40% AMI</t>
  </si>
  <si>
    <t>% of Units with rents set at 41-50% AMI</t>
  </si>
  <si>
    <t>% of Units with rents set at 51-60% AMI</t>
  </si>
  <si>
    <t>% of Units with rents set at 61-70% AMI</t>
  </si>
  <si>
    <t>% of Units with rents set at 71-80% AMI</t>
  </si>
  <si>
    <t>% of Units with rents set at 81-90% AMI</t>
  </si>
  <si>
    <t>% of Units with rents set at 91% of AMI or above</t>
  </si>
  <si>
    <t># of Super Units</t>
  </si>
  <si>
    <t>Total Rental Units (non inc. Super Units)</t>
  </si>
  <si>
    <t xml:space="preserve">% of Units with market rents </t>
  </si>
  <si>
    <t>% of affordable Units</t>
  </si>
  <si>
    <t>Non-Residential Income as % of Total</t>
  </si>
  <si>
    <t>Commercial Income PSF</t>
  </si>
  <si>
    <t>Parking Income Per Legal Space</t>
  </si>
  <si>
    <t>Community Income PSF</t>
  </si>
  <si>
    <t>Please feel free to list any other critical assumptions not included below:</t>
  </si>
  <si>
    <t xml:space="preserve">% of Units with homeless set-aside </t>
  </si>
  <si>
    <t>Parking Type (i.e.- surface, covered, garage)</t>
  </si>
  <si>
    <t xml:space="preserve">***Please do not alter worksheet placement/order of cells </t>
  </si>
  <si>
    <t>Operating Assumptions</t>
  </si>
  <si>
    <t>Total M&amp;O Per Unit</t>
  </si>
  <si>
    <t>Total Taxes Per Unit</t>
  </si>
  <si>
    <t xml:space="preserve">Tax Abatement Type </t>
  </si>
  <si>
    <t>NY State Bond Issuance Charge</t>
  </si>
  <si>
    <t>Assumed Construction Enhancement Type (text)</t>
  </si>
  <si>
    <t>Total HPD Subsidy Per Unit</t>
  </si>
  <si>
    <t>Total HDC Subsidy Per Unit</t>
  </si>
  <si>
    <t>Total Other Source Subsidy Per Unit</t>
  </si>
  <si>
    <t>Year 13</t>
  </si>
  <si>
    <t>Year 14</t>
  </si>
  <si>
    <t>Year 15</t>
  </si>
  <si>
    <t>Net Cash Flow in 15 years</t>
  </si>
  <si>
    <t>Tax Exemption/Abatement Fees &amp; Consultant</t>
  </si>
  <si>
    <t>Eligible Basis per TC Unit</t>
  </si>
  <si>
    <t>Eligible Basis</t>
  </si>
  <si>
    <t>Gap/(Surplus)</t>
  </si>
  <si>
    <t>Parking (Monthly Parkers)</t>
  </si>
  <si>
    <t>Total Parking</t>
  </si>
  <si>
    <t>Transient Parkers</t>
  </si>
  <si>
    <t>2017 HUD Income Limits</t>
  </si>
  <si>
    <t>Electricity (No Electric Stove) Allowance</t>
  </si>
  <si>
    <t>Affordability Summary</t>
  </si>
  <si>
    <t>Shelter Rent</t>
  </si>
  <si>
    <t>Our Space With Shelter Rents</t>
  </si>
  <si>
    <t>Year 16</t>
  </si>
  <si>
    <t>Year 17</t>
  </si>
  <si>
    <t>Year 18</t>
  </si>
  <si>
    <t>Year 19</t>
  </si>
  <si>
    <t>Year 20</t>
  </si>
  <si>
    <t>Year 21</t>
  </si>
  <si>
    <t>Year 22</t>
  </si>
  <si>
    <t>Year 23</t>
  </si>
  <si>
    <t>Year 24</t>
  </si>
  <si>
    <t>Year 25</t>
  </si>
  <si>
    <t>Year 26</t>
  </si>
  <si>
    <t>Year 27</t>
  </si>
  <si>
    <t>Year 28</t>
  </si>
  <si>
    <t>Year 29</t>
  </si>
  <si>
    <t>Year 30</t>
  </si>
  <si>
    <t>Select Utility Allowance</t>
  </si>
  <si>
    <t>Electricity (WITH Electric Stove) Allowance</t>
  </si>
  <si>
    <t>No Utilities</t>
  </si>
  <si>
    <t>Electricity &amp; Gas Allowance</t>
  </si>
  <si>
    <t>OR</t>
  </si>
  <si>
    <t>2017 HDC Maintenance &amp; Operating Standards for New Construction</t>
  </si>
  <si>
    <t>Repairs/Replacement (includes painting)</t>
  </si>
  <si>
    <t>0.75% of TC Rents + $100</t>
  </si>
  <si>
    <t>Tax Credit Monitoring</t>
  </si>
  <si>
    <t>Benchmarking</t>
  </si>
  <si>
    <t>per building</t>
  </si>
  <si>
    <t>HPD Required Social Service Reserve</t>
  </si>
  <si>
    <t>per 5% (rounded-up) of Our Space homeless units</t>
  </si>
  <si>
    <t>Super(s) Salaries</t>
  </si>
  <si>
    <t>Porter(s) Salaries</t>
  </si>
  <si>
    <t>Union</t>
  </si>
  <si>
    <t>Non-Union</t>
  </si>
  <si>
    <t>F/T Super</t>
  </si>
  <si>
    <t>Superintendent &amp; Maintenance Staff* Salaries</t>
  </si>
  <si>
    <t>*Required: 1 F/T staff per 65 units</t>
  </si>
  <si>
    <t>F/T Porter</t>
  </si>
  <si>
    <t>Form J: Rental Pro Forma</t>
  </si>
  <si>
    <t xml:space="preserve">Applicants must provide these forms in Excel file format in addition to the hard copies submitted in the binder. </t>
  </si>
  <si>
    <t>Seniors First RFP: Kingsborough and Morris Houses</t>
  </si>
  <si>
    <t xml:space="preserve">Seniors First RFP: Kingsborough and Morris Houses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</si>
</sst>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_)"/>
    <numFmt numFmtId="165" formatCode="mm/dd/yy_)"/>
    <numFmt numFmtId="166" formatCode="dd\-mmm\-yy_)"/>
    <numFmt numFmtId="167" formatCode="0.000000%"/>
    <numFmt numFmtId="168" formatCode="0.0%"/>
    <numFmt numFmtId="169" formatCode="_(&quot;$&quot;* #,##0_);_(&quot;$&quot;* \(#,##0\);_(&quot;$&quot;* &quot;-&quot;??_);_(@_)"/>
    <numFmt numFmtId="170" formatCode="&quot;$&quot;#,##0"/>
    <numFmt numFmtId="171" formatCode="0.0"/>
    <numFmt numFmtId="172" formatCode="0.000%"/>
    <numFmt numFmtId="173" formatCode="_(* #,##0_);_(* \(#,##0\);_(* &quot;-&quot;??_);_(@_)"/>
    <numFmt numFmtId="174" formatCode="#,##0.000_);\(#,##0.000\)"/>
    <numFmt numFmtId="175" formatCode="&quot;$&quot;#,##0.00"/>
  </numFmts>
  <fonts count="48">
    <font>
      <sz val="12"/>
      <name val="Arial"/>
    </font>
    <font>
      <sz val="10"/>
      <name val="Arial"/>
      <family val="2"/>
    </font>
    <font>
      <sz val="10"/>
      <name val="Arial"/>
      <family val="2"/>
    </font>
    <font>
      <b/>
      <sz val="12"/>
      <color indexed="8"/>
      <name val="Arial"/>
      <family val="2"/>
    </font>
    <font>
      <sz val="12"/>
      <color indexed="8"/>
      <name val="Arial"/>
      <family val="2"/>
    </font>
    <font>
      <b/>
      <sz val="18"/>
      <color indexed="8"/>
      <name val="Arial"/>
      <family val="2"/>
    </font>
    <font>
      <b/>
      <u/>
      <sz val="12"/>
      <color indexed="8"/>
      <name val="Arial"/>
      <family val="2"/>
    </font>
    <font>
      <b/>
      <u/>
      <sz val="18"/>
      <color indexed="8"/>
      <name val="Arial"/>
      <family val="2"/>
    </font>
    <font>
      <sz val="12"/>
      <color indexed="8"/>
      <name val="Arial"/>
      <family val="2"/>
    </font>
    <font>
      <sz val="10"/>
      <color indexed="8"/>
      <name val="Arial"/>
      <family val="2"/>
    </font>
    <font>
      <sz val="10"/>
      <color indexed="12"/>
      <name val="Arial"/>
      <family val="2"/>
    </font>
    <font>
      <b/>
      <sz val="12"/>
      <color indexed="8"/>
      <name val="SWISS"/>
      <family val="2"/>
    </font>
    <font>
      <sz val="12"/>
      <color indexed="8"/>
      <name val="SWISS"/>
      <family val="2"/>
    </font>
    <font>
      <sz val="10"/>
      <color indexed="8"/>
      <name val="SWISS"/>
      <family val="2"/>
    </font>
    <font>
      <b/>
      <sz val="12"/>
      <name val="Arial"/>
      <family val="2"/>
    </font>
    <font>
      <sz val="10"/>
      <name val="Arial MT"/>
    </font>
    <font>
      <sz val="12"/>
      <name val="Arial"/>
      <family val="2"/>
    </font>
    <font>
      <u/>
      <sz val="12"/>
      <color indexed="8"/>
      <name val="Arial"/>
      <family val="2"/>
    </font>
    <font>
      <sz val="9"/>
      <color indexed="8"/>
      <name val="Arial"/>
      <family val="2"/>
    </font>
    <font>
      <b/>
      <sz val="10"/>
      <color indexed="8"/>
      <name val="Arial"/>
      <family val="2"/>
    </font>
    <font>
      <sz val="12"/>
      <name val="Arial"/>
      <family val="2"/>
    </font>
    <font>
      <sz val="10"/>
      <name val="Arial"/>
      <family val="2"/>
    </font>
    <font>
      <b/>
      <sz val="12"/>
      <color indexed="10"/>
      <name val="Arial"/>
      <family val="2"/>
    </font>
    <font>
      <sz val="10"/>
      <color indexed="8"/>
      <name val="Arial"/>
      <family val="2"/>
    </font>
    <font>
      <u/>
      <sz val="12"/>
      <name val="Arial"/>
      <family val="2"/>
    </font>
    <font>
      <i/>
      <sz val="12"/>
      <color indexed="8"/>
      <name val="Arial"/>
      <family val="2"/>
    </font>
    <font>
      <u val="singleAccounting"/>
      <sz val="12"/>
      <color indexed="8"/>
      <name val="Arial"/>
      <family val="2"/>
    </font>
    <font>
      <sz val="8"/>
      <name val="Arial"/>
      <family val="2"/>
    </font>
    <font>
      <b/>
      <i/>
      <u/>
      <sz val="12"/>
      <color indexed="8"/>
      <name val="Arial"/>
      <family val="2"/>
    </font>
    <font>
      <b/>
      <i/>
      <sz val="12"/>
      <color indexed="8"/>
      <name val="Arial"/>
      <family val="2"/>
    </font>
    <font>
      <b/>
      <i/>
      <sz val="12"/>
      <name val="Arial"/>
      <family val="2"/>
    </font>
    <font>
      <sz val="8"/>
      <name val="Arial"/>
      <family val="2"/>
    </font>
    <font>
      <i/>
      <sz val="12"/>
      <name val="Arial"/>
      <family val="2"/>
    </font>
    <font>
      <b/>
      <sz val="11"/>
      <color indexed="9"/>
      <name val="Arial"/>
      <family val="2"/>
    </font>
    <font>
      <b/>
      <sz val="10"/>
      <name val="Arial"/>
      <family val="2"/>
    </font>
    <font>
      <b/>
      <u/>
      <sz val="10"/>
      <name val="Arial"/>
      <family val="2"/>
    </font>
    <font>
      <vertAlign val="superscript"/>
      <sz val="10"/>
      <name val="Arial"/>
      <family val="2"/>
    </font>
    <font>
      <b/>
      <sz val="11"/>
      <name val="Arial"/>
      <family val="2"/>
    </font>
    <font>
      <b/>
      <u/>
      <sz val="12"/>
      <name val="Arial"/>
      <family val="2"/>
    </font>
    <font>
      <sz val="12"/>
      <color indexed="10"/>
      <name val="Arial"/>
      <family val="2"/>
    </font>
    <font>
      <u/>
      <sz val="12"/>
      <name val="Arial"/>
      <family val="2"/>
    </font>
    <font>
      <sz val="8"/>
      <color indexed="81"/>
      <name val="Tahoma"/>
      <family val="2"/>
    </font>
    <font>
      <b/>
      <sz val="8"/>
      <color indexed="81"/>
      <name val="Tahoma"/>
      <family val="2"/>
    </font>
    <font>
      <sz val="10"/>
      <color indexed="18"/>
      <name val="Arial"/>
      <family val="2"/>
    </font>
    <font>
      <sz val="11"/>
      <name val="Arial"/>
      <family val="2"/>
    </font>
    <font>
      <b/>
      <sz val="11"/>
      <color indexed="81"/>
      <name val="Tahoma"/>
      <family val="2"/>
    </font>
    <font>
      <sz val="11"/>
      <color indexed="81"/>
      <name val="Tahoma"/>
      <family val="2"/>
    </font>
    <font>
      <sz val="12"/>
      <color theme="0"/>
      <name val="Arial"/>
      <family val="2"/>
    </font>
  </fonts>
  <fills count="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5" tint="0.59999389629810485"/>
        <bgColor indexed="64"/>
      </patternFill>
    </fill>
  </fills>
  <borders count="65">
    <border>
      <left/>
      <right/>
      <top/>
      <bottom/>
      <diagonal/>
    </border>
    <border>
      <left/>
      <right style="thin">
        <color indexed="8"/>
      </right>
      <top/>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right/>
      <top/>
      <bottom style="thin">
        <color indexed="8"/>
      </bottom>
      <diagonal/>
    </border>
    <border>
      <left/>
      <right/>
      <top/>
      <bottom style="double">
        <color indexed="8"/>
      </bottom>
      <diagonal/>
    </border>
    <border>
      <left/>
      <right style="thin">
        <color indexed="8"/>
      </right>
      <top style="double">
        <color indexed="8"/>
      </top>
      <bottom/>
      <diagonal/>
    </border>
    <border>
      <left style="thin">
        <color indexed="8"/>
      </left>
      <right/>
      <top style="double">
        <color indexed="8"/>
      </top>
      <bottom/>
      <diagonal/>
    </border>
    <border>
      <left/>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double">
        <color indexed="8"/>
      </top>
      <bottom/>
      <diagonal/>
    </border>
    <border>
      <left/>
      <right style="thin">
        <color indexed="64"/>
      </right>
      <top/>
      <bottom/>
      <diagonal/>
    </border>
    <border>
      <left style="thin">
        <color indexed="64"/>
      </left>
      <right/>
      <top/>
      <bottom/>
      <diagonal/>
    </border>
    <border>
      <left style="thin">
        <color indexed="8"/>
      </left>
      <right style="thin">
        <color indexed="8"/>
      </right>
      <top style="thin">
        <color indexed="8"/>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indexed="8"/>
      </top>
      <bottom/>
      <diagonal/>
    </border>
    <border>
      <left style="thin">
        <color indexed="64"/>
      </left>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bottom style="medium">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8"/>
      </right>
      <top style="thin">
        <color indexed="64"/>
      </top>
      <bottom style="thin">
        <color indexed="8"/>
      </bottom>
      <diagonal/>
    </border>
    <border>
      <left/>
      <right style="thin">
        <color indexed="64"/>
      </right>
      <top style="thin">
        <color indexed="64"/>
      </top>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style="thin">
        <color theme="1"/>
      </left>
      <right style="thin">
        <color indexed="8"/>
      </right>
      <top/>
      <bottom/>
      <diagonal/>
    </border>
    <border>
      <left style="thin">
        <color theme="1"/>
      </left>
      <right style="thin">
        <color indexed="8"/>
      </right>
      <top/>
      <bottom style="medium">
        <color indexed="64"/>
      </bottom>
      <diagonal/>
    </border>
    <border>
      <left style="thin">
        <color theme="1"/>
      </left>
      <right/>
      <top style="double">
        <color theme="1"/>
      </top>
      <bottom/>
      <diagonal/>
    </border>
    <border>
      <left/>
      <right/>
      <top style="double">
        <color theme="1"/>
      </top>
      <bottom/>
      <diagonal/>
    </border>
    <border>
      <left/>
      <right style="thin">
        <color theme="1"/>
      </right>
      <top style="double">
        <color theme="1"/>
      </top>
      <bottom/>
      <diagonal/>
    </border>
    <border>
      <left style="thin">
        <color theme="1"/>
      </left>
      <right/>
      <top/>
      <bottom/>
      <diagonal/>
    </border>
    <border>
      <left style="thin">
        <color theme="1"/>
      </left>
      <right/>
      <top/>
      <bottom style="thin">
        <color theme="1"/>
      </bottom>
      <diagonal/>
    </border>
    <border>
      <left style="thin">
        <color theme="1"/>
      </left>
      <right style="dashed">
        <color theme="0" tint="-0.499984740745262"/>
      </right>
      <top style="hair">
        <color theme="1"/>
      </top>
      <bottom style="dashed">
        <color theme="0" tint="-0.499984740745262"/>
      </bottom>
      <diagonal/>
    </border>
    <border>
      <left style="thin">
        <color theme="1"/>
      </left>
      <right style="dashed">
        <color theme="0" tint="-0.499984740745262"/>
      </right>
      <top style="dashed">
        <color theme="0" tint="-0.499984740745262"/>
      </top>
      <bottom style="dashed">
        <color theme="0" tint="-0.499984740745262"/>
      </bottom>
      <diagonal/>
    </border>
    <border>
      <left style="thin">
        <color theme="1"/>
      </left>
      <right style="dashed">
        <color theme="0" tint="-0.499984740745262"/>
      </right>
      <top style="dashed">
        <color theme="0" tint="-0.499984740745262"/>
      </top>
      <bottom style="hair">
        <color theme="1"/>
      </bottom>
      <diagonal/>
    </border>
    <border>
      <left style="dashed">
        <color theme="0" tint="-0.499984740745262"/>
      </left>
      <right style="dashed">
        <color theme="0" tint="-0.499984740745262"/>
      </right>
      <top style="hair">
        <color theme="1"/>
      </top>
      <bottom style="dashed">
        <color theme="0" tint="-0.499984740745262"/>
      </bottom>
      <diagonal/>
    </border>
    <border>
      <left style="dashed">
        <color theme="0" tint="-0.499984740745262"/>
      </left>
      <right style="thin">
        <color theme="1"/>
      </right>
      <top style="hair">
        <color theme="1"/>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style="thin">
        <color theme="1"/>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hair">
        <color theme="1"/>
      </bottom>
      <diagonal/>
    </border>
    <border>
      <left style="dashed">
        <color theme="0" tint="-0.499984740745262"/>
      </left>
      <right style="thin">
        <color theme="1"/>
      </right>
      <top style="dashed">
        <color theme="0" tint="-0.499984740745262"/>
      </top>
      <bottom style="hair">
        <color theme="1"/>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indexed="8"/>
      </left>
      <right style="thin">
        <color theme="1"/>
      </right>
      <top style="thin">
        <color indexed="8"/>
      </top>
      <bottom style="thin">
        <color indexed="8"/>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8">
    <xf numFmtId="0" fontId="0" fillId="0" borderId="0"/>
    <xf numFmtId="43" fontId="2" fillId="0" borderId="0" applyFont="0" applyFill="0" applyBorder="0" applyAlignment="0" applyProtection="0"/>
    <xf numFmtId="44" fontId="2" fillId="0" borderId="0" applyFont="0" applyFill="0" applyBorder="0" applyAlignment="0" applyProtection="0"/>
    <xf numFmtId="0" fontId="1" fillId="0" borderId="0"/>
    <xf numFmtId="37" fontId="15" fillId="0" borderId="0"/>
    <xf numFmtId="0" fontId="1" fillId="0" borderId="0"/>
    <xf numFmtId="0" fontId="1" fillId="0" borderId="0"/>
    <xf numFmtId="9" fontId="2" fillId="0" borderId="0" applyFont="0" applyFill="0" applyBorder="0" applyAlignment="0" applyProtection="0"/>
  </cellStyleXfs>
  <cellXfs count="813">
    <xf numFmtId="0" fontId="0" fillId="0" borderId="0" xfId="0"/>
    <xf numFmtId="0" fontId="3" fillId="0" borderId="0" xfId="0" applyFont="1" applyProtection="1"/>
    <xf numFmtId="0" fontId="4" fillId="0" borderId="0" xfId="0" applyFont="1" applyProtection="1"/>
    <xf numFmtId="0" fontId="4" fillId="0" borderId="0" xfId="0" applyFont="1" applyAlignment="1" applyProtection="1">
      <alignment horizontal="right"/>
    </xf>
    <xf numFmtId="37" fontId="4" fillId="0" borderId="0" xfId="0" applyNumberFormat="1" applyFont="1" applyProtection="1"/>
    <xf numFmtId="5" fontId="4" fillId="0" borderId="0" xfId="0" applyNumberFormat="1" applyFont="1" applyProtection="1"/>
    <xf numFmtId="37" fontId="4" fillId="0" borderId="0" xfId="0" applyNumberFormat="1" applyFont="1" applyAlignment="1" applyProtection="1">
      <alignment horizontal="right"/>
    </xf>
    <xf numFmtId="5" fontId="3" fillId="0" borderId="0" xfId="0" applyNumberFormat="1" applyFont="1" applyProtection="1"/>
    <xf numFmtId="0" fontId="7" fillId="0" borderId="0" xfId="0" applyFont="1" applyAlignment="1" applyProtection="1">
      <alignment horizontal="centerContinuous"/>
    </xf>
    <xf numFmtId="10" fontId="4" fillId="0" borderId="0" xfId="0" applyNumberFormat="1" applyFont="1" applyProtection="1"/>
    <xf numFmtId="5" fontId="4" fillId="0" borderId="0" xfId="0" applyNumberFormat="1" applyFont="1" applyAlignment="1" applyProtection="1">
      <alignment horizontal="right"/>
    </xf>
    <xf numFmtId="0" fontId="9" fillId="0" borderId="0" xfId="0" applyFont="1" applyProtection="1"/>
    <xf numFmtId="0" fontId="10" fillId="0" borderId="0" xfId="0" applyFont="1" applyProtection="1">
      <protection locked="0"/>
    </xf>
    <xf numFmtId="165" fontId="9" fillId="0" borderId="0" xfId="0" applyNumberFormat="1" applyFont="1" applyProtection="1"/>
    <xf numFmtId="5" fontId="8" fillId="0" borderId="1" xfId="0" applyNumberFormat="1" applyFont="1" applyBorder="1" applyProtection="1"/>
    <xf numFmtId="166" fontId="4" fillId="0" borderId="0" xfId="0" applyNumberFormat="1" applyFont="1" applyProtection="1"/>
    <xf numFmtId="37" fontId="3" fillId="0" borderId="0" xfId="0" applyNumberFormat="1" applyFont="1" applyProtection="1"/>
    <xf numFmtId="37" fontId="8" fillId="0" borderId="0" xfId="0" applyNumberFormat="1" applyFont="1" applyProtection="1"/>
    <xf numFmtId="0" fontId="8" fillId="0" borderId="0" xfId="0" applyFont="1" applyProtection="1"/>
    <xf numFmtId="164" fontId="8" fillId="0" borderId="0" xfId="0" applyNumberFormat="1" applyFont="1" applyProtection="1"/>
    <xf numFmtId="39" fontId="8" fillId="0" borderId="0" xfId="0" applyNumberFormat="1" applyFont="1" applyProtection="1"/>
    <xf numFmtId="5" fontId="8" fillId="0" borderId="0" xfId="0" applyNumberFormat="1" applyFont="1" applyProtection="1"/>
    <xf numFmtId="10" fontId="8" fillId="0" borderId="0" xfId="0" applyNumberFormat="1" applyFont="1" applyProtection="1"/>
    <xf numFmtId="0" fontId="13" fillId="0" borderId="0" xfId="0" applyFont="1" applyProtection="1"/>
    <xf numFmtId="0" fontId="7" fillId="0" borderId="0" xfId="0" applyFont="1" applyProtection="1"/>
    <xf numFmtId="0" fontId="3" fillId="0" borderId="0" xfId="0" applyFont="1" applyAlignment="1" applyProtection="1">
      <alignment horizontal="left"/>
    </xf>
    <xf numFmtId="0" fontId="9" fillId="0" borderId="2" xfId="0" applyFont="1" applyBorder="1" applyProtection="1"/>
    <xf numFmtId="168" fontId="9" fillId="0" borderId="3" xfId="0" applyNumberFormat="1" applyFont="1" applyBorder="1" applyProtection="1"/>
    <xf numFmtId="168" fontId="9" fillId="0" borderId="1" xfId="0" applyNumberFormat="1" applyFont="1" applyBorder="1" applyProtection="1"/>
    <xf numFmtId="0" fontId="8" fillId="0" borderId="4" xfId="0" applyFont="1" applyBorder="1" applyProtection="1"/>
    <xf numFmtId="0" fontId="4" fillId="0" borderId="0" xfId="0" applyFont="1" applyBorder="1" applyProtection="1"/>
    <xf numFmtId="5" fontId="4" fillId="0" borderId="0" xfId="0" applyNumberFormat="1" applyFont="1" applyBorder="1" applyProtection="1"/>
    <xf numFmtId="0" fontId="14" fillId="0" borderId="0" xfId="0" applyFont="1"/>
    <xf numFmtId="0" fontId="14" fillId="0" borderId="0" xfId="0" applyFont="1" applyBorder="1"/>
    <xf numFmtId="5" fontId="0" fillId="0" borderId="0" xfId="0" applyNumberFormat="1"/>
    <xf numFmtId="44" fontId="14" fillId="0" borderId="0" xfId="0" applyNumberFormat="1" applyFont="1"/>
    <xf numFmtId="7" fontId="0" fillId="0" borderId="0" xfId="0" applyNumberFormat="1"/>
    <xf numFmtId="0" fontId="8" fillId="0" borderId="3" xfId="0" applyFont="1" applyBorder="1" applyProtection="1"/>
    <xf numFmtId="0" fontId="8" fillId="0" borderId="1" xfId="0" applyFont="1" applyBorder="1" applyProtection="1"/>
    <xf numFmtId="0" fontId="9" fillId="0" borderId="3" xfId="0" applyFont="1" applyBorder="1" applyProtection="1"/>
    <xf numFmtId="0" fontId="9" fillId="0" borderId="1" xfId="0" applyFont="1" applyBorder="1" applyProtection="1"/>
    <xf numFmtId="10" fontId="9" fillId="0" borderId="1" xfId="0" applyNumberFormat="1" applyFont="1" applyBorder="1" applyProtection="1"/>
    <xf numFmtId="5" fontId="18" fillId="0" borderId="3" xfId="0" applyNumberFormat="1" applyFont="1" applyBorder="1" applyProtection="1"/>
    <xf numFmtId="5" fontId="9" fillId="0" borderId="3" xfId="0" applyNumberFormat="1" applyFont="1" applyBorder="1" applyProtection="1"/>
    <xf numFmtId="44" fontId="14" fillId="0" borderId="0" xfId="2" applyFont="1"/>
    <xf numFmtId="0" fontId="19" fillId="0" borderId="0" xfId="0" applyFont="1" applyProtection="1"/>
    <xf numFmtId="0" fontId="20" fillId="0" borderId="0" xfId="0" applyFont="1"/>
    <xf numFmtId="5" fontId="20" fillId="0" borderId="0" xfId="0" applyNumberFormat="1" applyFont="1"/>
    <xf numFmtId="0" fontId="21" fillId="0" borderId="0" xfId="0" applyFont="1"/>
    <xf numFmtId="0" fontId="22" fillId="0" borderId="0" xfId="0" applyFont="1" applyAlignment="1" applyProtection="1">
      <alignment horizontal="centerContinuous"/>
    </xf>
    <xf numFmtId="9" fontId="8" fillId="0" borderId="3" xfId="0" applyNumberFormat="1" applyFont="1" applyBorder="1" applyProtection="1"/>
    <xf numFmtId="170" fontId="22" fillId="0" borderId="0" xfId="0" applyNumberFormat="1" applyFont="1" applyAlignment="1" applyProtection="1">
      <alignment horizontal="centerContinuous"/>
    </xf>
    <xf numFmtId="170" fontId="8" fillId="0" borderId="0" xfId="0" applyNumberFormat="1" applyFont="1" applyAlignment="1" applyProtection="1">
      <alignment horizontal="centerContinuous"/>
    </xf>
    <xf numFmtId="0" fontId="8" fillId="0" borderId="0" xfId="0" applyFont="1" applyAlignment="1" applyProtection="1">
      <alignment horizontal="centerContinuous"/>
    </xf>
    <xf numFmtId="5" fontId="9" fillId="0" borderId="0" xfId="0" applyNumberFormat="1" applyFont="1" applyProtection="1"/>
    <xf numFmtId="10" fontId="9" fillId="0" borderId="0" xfId="0" applyNumberFormat="1" applyFont="1" applyProtection="1"/>
    <xf numFmtId="5" fontId="10" fillId="0" borderId="0" xfId="0" applyNumberFormat="1" applyFont="1" applyProtection="1">
      <protection locked="0"/>
    </xf>
    <xf numFmtId="10" fontId="10" fillId="0" borderId="0" xfId="0" applyNumberFormat="1" applyFont="1" applyProtection="1">
      <protection locked="0"/>
    </xf>
    <xf numFmtId="9" fontId="10" fillId="0" borderId="0" xfId="0" applyNumberFormat="1" applyFont="1" applyProtection="1">
      <protection locked="0"/>
    </xf>
    <xf numFmtId="7" fontId="10" fillId="0" borderId="0" xfId="0" applyNumberFormat="1" applyFont="1" applyProtection="1">
      <protection locked="0"/>
    </xf>
    <xf numFmtId="37" fontId="10" fillId="0" borderId="0" xfId="0" applyNumberFormat="1" applyFont="1" applyProtection="1">
      <protection locked="0"/>
    </xf>
    <xf numFmtId="0" fontId="20" fillId="0" borderId="0" xfId="0" applyFont="1" applyAlignment="1"/>
    <xf numFmtId="10" fontId="9" fillId="0" borderId="0" xfId="0" applyNumberFormat="1" applyFont="1" applyAlignment="1" applyProtection="1">
      <alignment horizontal="centerContinuous"/>
    </xf>
    <xf numFmtId="10" fontId="21" fillId="0" borderId="0" xfId="0" applyNumberFormat="1" applyFont="1"/>
    <xf numFmtId="0" fontId="20" fillId="0" borderId="0" xfId="0" applyFont="1" applyAlignment="1" applyProtection="1"/>
    <xf numFmtId="0" fontId="21" fillId="0" borderId="0" xfId="0" applyFont="1" applyAlignment="1" applyProtection="1">
      <protection locked="0"/>
    </xf>
    <xf numFmtId="5" fontId="21" fillId="0" borderId="0" xfId="0" applyNumberFormat="1" applyFont="1" applyAlignment="1" applyProtection="1">
      <protection locked="0"/>
    </xf>
    <xf numFmtId="0" fontId="21" fillId="0" borderId="0" xfId="0" applyFont="1" applyAlignment="1" applyProtection="1">
      <alignment horizontal="right"/>
      <protection locked="0"/>
    </xf>
    <xf numFmtId="0" fontId="8" fillId="0" borderId="0" xfId="0" applyFont="1" applyBorder="1" applyProtection="1"/>
    <xf numFmtId="0" fontId="8" fillId="0" borderId="5" xfId="0" applyFont="1" applyBorder="1" applyProtection="1"/>
    <xf numFmtId="0" fontId="8" fillId="0" borderId="6" xfId="0" applyFont="1" applyBorder="1" applyProtection="1"/>
    <xf numFmtId="0" fontId="8" fillId="0" borderId="0" xfId="0" applyFont="1" applyAlignment="1" applyProtection="1">
      <alignment horizontal="right"/>
    </xf>
    <xf numFmtId="7" fontId="8" fillId="0" borderId="0" xfId="0" applyNumberFormat="1" applyFont="1" applyProtection="1"/>
    <xf numFmtId="37" fontId="8" fillId="0" borderId="0" xfId="0" applyNumberFormat="1" applyFont="1" applyAlignment="1" applyProtection="1">
      <alignment horizontal="right"/>
    </xf>
    <xf numFmtId="9" fontId="8" fillId="0" borderId="0" xfId="0" applyNumberFormat="1" applyFont="1" applyProtection="1"/>
    <xf numFmtId="7" fontId="20" fillId="0" borderId="0" xfId="0" applyNumberFormat="1" applyFont="1"/>
    <xf numFmtId="0" fontId="17" fillId="0" borderId="0" xfId="0" applyFont="1" applyProtection="1"/>
    <xf numFmtId="5" fontId="3" fillId="0" borderId="0" xfId="0" applyNumberFormat="1" applyFont="1" applyBorder="1" applyProtection="1"/>
    <xf numFmtId="0" fontId="3" fillId="0" borderId="0" xfId="0" applyFont="1" applyBorder="1" applyProtection="1"/>
    <xf numFmtId="0" fontId="20" fillId="0" borderId="7" xfId="0" applyFont="1" applyBorder="1"/>
    <xf numFmtId="9" fontId="20" fillId="0" borderId="0" xfId="0" applyNumberFormat="1" applyFont="1"/>
    <xf numFmtId="10" fontId="20" fillId="0" borderId="0" xfId="0" applyNumberFormat="1" applyFont="1"/>
    <xf numFmtId="37" fontId="20" fillId="0" borderId="0" xfId="0" applyNumberFormat="1" applyFont="1"/>
    <xf numFmtId="170" fontId="8" fillId="0" borderId="0" xfId="0" applyNumberFormat="1" applyFont="1" applyAlignment="1" applyProtection="1">
      <alignment horizontal="center"/>
    </xf>
    <xf numFmtId="0" fontId="17" fillId="0" borderId="3" xfId="0" applyFont="1" applyBorder="1" applyProtection="1"/>
    <xf numFmtId="0" fontId="17" fillId="0" borderId="1" xfId="0" applyFont="1" applyBorder="1" applyProtection="1"/>
    <xf numFmtId="5" fontId="8" fillId="0" borderId="3" xfId="0" applyNumberFormat="1" applyFont="1" applyBorder="1" applyProtection="1"/>
    <xf numFmtId="10" fontId="8" fillId="0" borderId="3" xfId="0" applyNumberFormat="1" applyFont="1" applyBorder="1" applyProtection="1"/>
    <xf numFmtId="10" fontId="8" fillId="0" borderId="1" xfId="0" applyNumberFormat="1" applyFont="1" applyBorder="1" applyProtection="1"/>
    <xf numFmtId="170" fontId="20" fillId="0" borderId="0" xfId="0" applyNumberFormat="1" applyFont="1"/>
    <xf numFmtId="168" fontId="8" fillId="0" borderId="0" xfId="0" applyNumberFormat="1" applyFont="1" applyProtection="1"/>
    <xf numFmtId="39" fontId="8" fillId="0" borderId="0" xfId="0" applyNumberFormat="1" applyFont="1" applyAlignment="1" applyProtection="1">
      <alignment horizontal="center"/>
    </xf>
    <xf numFmtId="10" fontId="8" fillId="0" borderId="3" xfId="7" applyNumberFormat="1" applyFont="1" applyBorder="1" applyProtection="1"/>
    <xf numFmtId="5" fontId="8" fillId="0" borderId="1" xfId="0" quotePrefix="1" applyNumberFormat="1" applyFont="1" applyBorder="1" applyProtection="1"/>
    <xf numFmtId="10" fontId="20" fillId="0" borderId="3" xfId="0" applyNumberFormat="1" applyFont="1" applyBorder="1"/>
    <xf numFmtId="5" fontId="8" fillId="0" borderId="5" xfId="0" applyNumberFormat="1" applyFont="1" applyBorder="1" applyProtection="1"/>
    <xf numFmtId="5" fontId="8" fillId="0" borderId="6" xfId="0" applyNumberFormat="1" applyFont="1" applyBorder="1" applyProtection="1"/>
    <xf numFmtId="10" fontId="8" fillId="0" borderId="0" xfId="7" applyNumberFormat="1" applyFont="1" applyProtection="1"/>
    <xf numFmtId="3" fontId="14" fillId="0" borderId="0" xfId="0" applyNumberFormat="1" applyFont="1"/>
    <xf numFmtId="5" fontId="8" fillId="0" borderId="0" xfId="0" applyNumberFormat="1" applyFont="1" applyFill="1" applyBorder="1" applyProtection="1"/>
    <xf numFmtId="0" fontId="20" fillId="0" borderId="0" xfId="0" applyFont="1" applyBorder="1"/>
    <xf numFmtId="5" fontId="20" fillId="0" borderId="0" xfId="0" applyNumberFormat="1" applyFont="1" applyBorder="1" applyProtection="1"/>
    <xf numFmtId="5" fontId="20" fillId="0" borderId="0" xfId="0" applyNumberFormat="1" applyFont="1" applyBorder="1"/>
    <xf numFmtId="10" fontId="20" fillId="0" borderId="0" xfId="0" applyNumberFormat="1" applyFont="1" applyBorder="1" applyProtection="1"/>
    <xf numFmtId="10" fontId="24" fillId="0" borderId="0" xfId="0" applyNumberFormat="1" applyFont="1" applyBorder="1" applyProtection="1"/>
    <xf numFmtId="0" fontId="20" fillId="0" borderId="0" xfId="0" applyFont="1" applyBorder="1" applyAlignment="1">
      <alignment horizontal="right"/>
    </xf>
    <xf numFmtId="9" fontId="20" fillId="0" borderId="0" xfId="7" applyFont="1" applyBorder="1"/>
    <xf numFmtId="10" fontId="20" fillId="0" borderId="0" xfId="7" applyNumberFormat="1" applyFont="1" applyBorder="1"/>
    <xf numFmtId="10" fontId="20" fillId="0" borderId="0" xfId="0" applyNumberFormat="1" applyFont="1" applyBorder="1"/>
    <xf numFmtId="10" fontId="20" fillId="0" borderId="0" xfId="7" applyNumberFormat="1" applyFont="1" applyBorder="1" applyProtection="1"/>
    <xf numFmtId="44" fontId="20" fillId="0" borderId="0" xfId="2" applyFont="1" applyBorder="1"/>
    <xf numFmtId="168" fontId="20" fillId="0" borderId="0" xfId="7" applyNumberFormat="1" applyFont="1"/>
    <xf numFmtId="44" fontId="20" fillId="0" borderId="0" xfId="2" applyFont="1"/>
    <xf numFmtId="44" fontId="20" fillId="0" borderId="0" xfId="0" applyNumberFormat="1" applyFont="1"/>
    <xf numFmtId="5" fontId="20" fillId="0" borderId="7" xfId="0" applyNumberFormat="1" applyFont="1" applyBorder="1" applyProtection="1"/>
    <xf numFmtId="0" fontId="20" fillId="0" borderId="0" xfId="0" applyFont="1" applyAlignment="1">
      <alignment horizontal="right"/>
    </xf>
    <xf numFmtId="0" fontId="14" fillId="0" borderId="0" xfId="0" applyFont="1" applyBorder="1" applyAlignment="1">
      <alignment horizontal="right"/>
    </xf>
    <xf numFmtId="37" fontId="12" fillId="0" borderId="0" xfId="0" applyNumberFormat="1" applyFont="1" applyProtection="1"/>
    <xf numFmtId="10" fontId="20" fillId="2" borderId="8" xfId="0" applyNumberFormat="1" applyFont="1" applyFill="1" applyBorder="1" applyProtection="1"/>
    <xf numFmtId="0" fontId="20" fillId="2" borderId="8" xfId="0" applyFont="1" applyFill="1" applyBorder="1"/>
    <xf numFmtId="0" fontId="14" fillId="0" borderId="0" xfId="0" applyFont="1" applyBorder="1" applyAlignment="1">
      <alignment horizontal="left"/>
    </xf>
    <xf numFmtId="0" fontId="20" fillId="0" borderId="0" xfId="0" applyFont="1" applyFill="1" applyBorder="1" applyAlignment="1">
      <alignment horizontal="right"/>
    </xf>
    <xf numFmtId="0" fontId="20" fillId="0" borderId="0" xfId="0" applyFont="1" applyAlignment="1">
      <alignment horizontal="center"/>
    </xf>
    <xf numFmtId="0" fontId="20" fillId="0" borderId="0" xfId="0" applyFont="1" applyBorder="1" applyAlignment="1">
      <alignment horizontal="center"/>
    </xf>
    <xf numFmtId="9" fontId="20" fillId="0" borderId="0" xfId="0" applyNumberFormat="1" applyFont="1" applyAlignment="1">
      <alignment horizontal="center"/>
    </xf>
    <xf numFmtId="0" fontId="20" fillId="0" borderId="0" xfId="0" applyFont="1" applyFill="1" applyBorder="1" applyAlignment="1">
      <alignment horizontal="center"/>
    </xf>
    <xf numFmtId="7" fontId="14" fillId="0" borderId="0" xfId="0" applyNumberFormat="1" applyFont="1"/>
    <xf numFmtId="10" fontId="20" fillId="2" borderId="8" xfId="2" applyNumberFormat="1" applyFont="1" applyFill="1" applyBorder="1"/>
    <xf numFmtId="0" fontId="20" fillId="0" borderId="0" xfId="0" applyFont="1" applyAlignment="1">
      <alignment horizontal="right" wrapText="1"/>
    </xf>
    <xf numFmtId="39" fontId="8" fillId="0" borderId="0" xfId="0" applyNumberFormat="1" applyFont="1" applyAlignment="1" applyProtection="1">
      <alignment horizontal="left"/>
    </xf>
    <xf numFmtId="10" fontId="25" fillId="0" borderId="0" xfId="0" applyNumberFormat="1" applyFont="1" applyProtection="1"/>
    <xf numFmtId="39" fontId="25" fillId="0" borderId="0" xfId="0" applyNumberFormat="1" applyFont="1" applyProtection="1"/>
    <xf numFmtId="0" fontId="0" fillId="0" borderId="0" xfId="0" applyAlignment="1">
      <alignment horizontal="right"/>
    </xf>
    <xf numFmtId="0" fontId="4" fillId="0" borderId="0" xfId="0" applyFont="1" applyBorder="1" applyAlignment="1" applyProtection="1">
      <alignment horizontal="right"/>
    </xf>
    <xf numFmtId="0" fontId="0" fillId="0" borderId="0" xfId="0" applyBorder="1" applyAlignment="1">
      <alignment horizontal="right"/>
    </xf>
    <xf numFmtId="7" fontId="4" fillId="0" borderId="0" xfId="0" applyNumberFormat="1" applyFont="1" applyBorder="1" applyProtection="1"/>
    <xf numFmtId="9" fontId="4" fillId="0" borderId="0" xfId="0" applyNumberFormat="1" applyFont="1" applyBorder="1" applyProtection="1"/>
    <xf numFmtId="37" fontId="4" fillId="0" borderId="0" xfId="0" applyNumberFormat="1" applyFont="1" applyBorder="1" applyProtection="1"/>
    <xf numFmtId="2" fontId="0" fillId="0" borderId="0" xfId="0" applyNumberFormat="1" applyBorder="1"/>
    <xf numFmtId="0" fontId="16" fillId="0" borderId="0" xfId="0" applyFont="1"/>
    <xf numFmtId="37" fontId="21" fillId="0" borderId="0" xfId="4" applyFont="1"/>
    <xf numFmtId="3" fontId="0" fillId="0" borderId="0" xfId="0" applyNumberFormat="1"/>
    <xf numFmtId="3" fontId="20" fillId="0" borderId="0" xfId="0" applyNumberFormat="1" applyFont="1"/>
    <xf numFmtId="3" fontId="0" fillId="0" borderId="0" xfId="0" applyNumberFormat="1" applyAlignment="1">
      <alignment horizontal="right"/>
    </xf>
    <xf numFmtId="9" fontId="16" fillId="2" borderId="8" xfId="7" applyFont="1" applyFill="1" applyBorder="1"/>
    <xf numFmtId="0" fontId="14" fillId="0" borderId="0" xfId="0" applyFont="1" applyAlignment="1">
      <alignment horizontal="right"/>
    </xf>
    <xf numFmtId="3" fontId="0" fillId="0" borderId="8" xfId="0" applyNumberFormat="1" applyBorder="1" applyAlignment="1">
      <alignment horizontal="right"/>
    </xf>
    <xf numFmtId="3" fontId="0" fillId="0" borderId="0" xfId="0" applyNumberFormat="1" applyBorder="1" applyAlignment="1">
      <alignment horizontal="right"/>
    </xf>
    <xf numFmtId="0" fontId="17" fillId="0" borderId="0" xfId="0" applyFont="1" applyBorder="1" applyProtection="1"/>
    <xf numFmtId="0" fontId="8" fillId="0" borderId="4" xfId="0" applyFont="1" applyBorder="1" applyAlignment="1" applyProtection="1">
      <alignment horizontal="left" indent="1"/>
    </xf>
    <xf numFmtId="0" fontId="6" fillId="0" borderId="4" xfId="0" applyFont="1" applyBorder="1" applyProtection="1"/>
    <xf numFmtId="10" fontId="3" fillId="0" borderId="3" xfId="0" applyNumberFormat="1" applyFont="1" applyBorder="1" applyProtection="1"/>
    <xf numFmtId="0" fontId="3" fillId="0" borderId="1" xfId="0" applyFont="1" applyBorder="1" applyProtection="1"/>
    <xf numFmtId="0" fontId="6" fillId="0" borderId="9" xfId="0" applyFont="1" applyBorder="1" applyProtection="1"/>
    <xf numFmtId="0" fontId="6" fillId="0" borderId="2" xfId="0" applyFont="1" applyBorder="1" applyProtection="1"/>
    <xf numFmtId="0" fontId="6" fillId="0" borderId="3" xfId="0" applyFont="1" applyBorder="1" applyProtection="1"/>
    <xf numFmtId="0" fontId="6" fillId="0" borderId="1" xfId="0" applyFont="1" applyBorder="1" applyProtection="1"/>
    <xf numFmtId="0" fontId="25" fillId="0" borderId="4" xfId="0" applyFont="1" applyBorder="1" applyProtection="1"/>
    <xf numFmtId="0" fontId="3" fillId="0" borderId="4" xfId="0" applyFont="1" applyFill="1" applyBorder="1" applyAlignment="1" applyProtection="1">
      <alignment horizontal="right"/>
    </xf>
    <xf numFmtId="0" fontId="20" fillId="0" borderId="0" xfId="0" applyFont="1" applyFill="1"/>
    <xf numFmtId="5" fontId="14" fillId="0" borderId="1" xfId="0" applyNumberFormat="1" applyFont="1" applyFill="1" applyBorder="1" applyAlignment="1">
      <alignment horizontal="right"/>
    </xf>
    <xf numFmtId="5" fontId="14" fillId="0" borderId="0" xfId="0" applyNumberFormat="1" applyFont="1" applyFill="1" applyBorder="1" applyAlignment="1">
      <alignment horizontal="right"/>
    </xf>
    <xf numFmtId="2" fontId="8" fillId="0" borderId="3" xfId="0" applyNumberFormat="1" applyFont="1" applyBorder="1" applyProtection="1"/>
    <xf numFmtId="37" fontId="4" fillId="0" borderId="0" xfId="0" applyNumberFormat="1" applyFont="1" applyFill="1" applyBorder="1" applyProtection="1"/>
    <xf numFmtId="0" fontId="0" fillId="0" borderId="0" xfId="0" applyFill="1" applyBorder="1"/>
    <xf numFmtId="0" fontId="0" fillId="0" borderId="0" xfId="0" applyFill="1" applyBorder="1" applyAlignment="1">
      <alignment horizontal="right"/>
    </xf>
    <xf numFmtId="37" fontId="4" fillId="0" borderId="0" xfId="0" applyNumberFormat="1" applyFont="1" applyFill="1" applyBorder="1" applyAlignment="1" applyProtection="1">
      <alignment horizontal="right"/>
    </xf>
    <xf numFmtId="10" fontId="4" fillId="0" borderId="0" xfId="0" applyNumberFormat="1" applyFont="1" applyFill="1" applyBorder="1" applyProtection="1"/>
    <xf numFmtId="0" fontId="4" fillId="0" borderId="0" xfId="0" applyFont="1" applyFill="1" applyBorder="1" applyAlignment="1" applyProtection="1">
      <alignment horizontal="right"/>
    </xf>
    <xf numFmtId="0" fontId="4" fillId="0" borderId="0" xfId="0" applyFont="1" applyFill="1" applyBorder="1" applyProtection="1"/>
    <xf numFmtId="172" fontId="4" fillId="0" borderId="0" xfId="0" applyNumberFormat="1" applyFont="1" applyFill="1" applyBorder="1" applyProtection="1"/>
    <xf numFmtId="0" fontId="14" fillId="0" borderId="0" xfId="0" applyFont="1" applyBorder="1" applyProtection="1">
      <protection hidden="1"/>
    </xf>
    <xf numFmtId="5" fontId="20" fillId="0" borderId="0" xfId="0" applyNumberFormat="1" applyFont="1" applyBorder="1" applyProtection="1">
      <protection hidden="1"/>
    </xf>
    <xf numFmtId="0" fontId="20" fillId="0" borderId="0" xfId="0" applyFont="1" applyProtection="1">
      <protection hidden="1"/>
    </xf>
    <xf numFmtId="0" fontId="20" fillId="0" borderId="0" xfId="0" applyFont="1" applyBorder="1" applyProtection="1">
      <protection hidden="1"/>
    </xf>
    <xf numFmtId="0" fontId="20" fillId="0" borderId="0" xfId="0" applyFont="1" applyBorder="1" applyAlignment="1" applyProtection="1">
      <alignment horizontal="right"/>
      <protection hidden="1"/>
    </xf>
    <xf numFmtId="10" fontId="20" fillId="2" borderId="8" xfId="0" applyNumberFormat="1" applyFont="1" applyFill="1" applyBorder="1" applyProtection="1">
      <protection hidden="1"/>
    </xf>
    <xf numFmtId="49" fontId="20" fillId="0" borderId="0" xfId="0" quotePrefix="1" applyNumberFormat="1" applyFont="1" applyBorder="1" applyAlignment="1" applyProtection="1">
      <alignment horizontal="right"/>
      <protection hidden="1"/>
    </xf>
    <xf numFmtId="10" fontId="20" fillId="0" borderId="0" xfId="0" applyNumberFormat="1" applyFont="1" applyFill="1" applyBorder="1" applyProtection="1">
      <protection hidden="1"/>
    </xf>
    <xf numFmtId="0" fontId="8" fillId="0" borderId="0" xfId="0" applyFont="1" applyFill="1" applyBorder="1" applyProtection="1"/>
    <xf numFmtId="0" fontId="8" fillId="0" borderId="3" xfId="0" applyFont="1" applyFill="1" applyBorder="1" applyProtection="1"/>
    <xf numFmtId="0" fontId="8" fillId="0" borderId="1" xfId="0" applyFont="1" applyFill="1" applyBorder="1" applyProtection="1"/>
    <xf numFmtId="175" fontId="8" fillId="0" borderId="3" xfId="0" applyNumberFormat="1" applyFont="1" applyFill="1" applyBorder="1" applyProtection="1"/>
    <xf numFmtId="0" fontId="8" fillId="0" borderId="0" xfId="0" applyFont="1" applyFill="1" applyProtection="1"/>
    <xf numFmtId="0" fontId="0" fillId="0" borderId="0" xfId="0" applyBorder="1"/>
    <xf numFmtId="37" fontId="20" fillId="0" borderId="0" xfId="0" applyNumberFormat="1" applyFont="1" applyFill="1" applyBorder="1" applyAlignment="1" applyProtection="1">
      <alignment horizontal="right"/>
    </xf>
    <xf numFmtId="0" fontId="20" fillId="0" borderId="0" xfId="0" applyFont="1" applyFill="1" applyBorder="1" applyAlignment="1" applyProtection="1">
      <alignment horizontal="right"/>
    </xf>
    <xf numFmtId="41" fontId="8" fillId="0" borderId="4" xfId="0" applyNumberFormat="1" applyFont="1" applyBorder="1" applyProtection="1"/>
    <xf numFmtId="41" fontId="8" fillId="0" borderId="0" xfId="0" applyNumberFormat="1" applyFont="1" applyFill="1" applyBorder="1" applyProtection="1"/>
    <xf numFmtId="41" fontId="8" fillId="0" borderId="4" xfId="0" applyNumberFormat="1" applyFont="1" applyFill="1" applyBorder="1" applyProtection="1"/>
    <xf numFmtId="41" fontId="3" fillId="0" borderId="4" xfId="0" applyNumberFormat="1" applyFont="1" applyFill="1" applyBorder="1" applyProtection="1"/>
    <xf numFmtId="41" fontId="20" fillId="0" borderId="4" xfId="0" applyNumberFormat="1" applyFont="1" applyFill="1" applyBorder="1"/>
    <xf numFmtId="41" fontId="20" fillId="0" borderId="0" xfId="0" applyNumberFormat="1" applyFont="1" applyFill="1" applyAlignment="1"/>
    <xf numFmtId="41" fontId="8" fillId="0" borderId="0" xfId="0" applyNumberFormat="1" applyFont="1" applyProtection="1"/>
    <xf numFmtId="41" fontId="20" fillId="0" borderId="0" xfId="0" applyNumberFormat="1" applyFont="1"/>
    <xf numFmtId="41" fontId="9" fillId="0" borderId="0" xfId="0" applyNumberFormat="1" applyFont="1" applyAlignment="1" applyProtection="1">
      <alignment horizontal="center"/>
    </xf>
    <xf numFmtId="168" fontId="8" fillId="0" borderId="3" xfId="7" applyNumberFormat="1" applyFont="1" applyBorder="1" applyProtection="1"/>
    <xf numFmtId="43" fontId="9" fillId="0" borderId="10" xfId="0" applyNumberFormat="1" applyFont="1" applyBorder="1" applyProtection="1"/>
    <xf numFmtId="41" fontId="8" fillId="0" borderId="3" xfId="0" applyNumberFormat="1" applyFont="1" applyBorder="1" applyProtection="1"/>
    <xf numFmtId="43" fontId="8" fillId="0" borderId="3" xfId="0" applyNumberFormat="1" applyFont="1" applyBorder="1" applyProtection="1"/>
    <xf numFmtId="173" fontId="8" fillId="0" borderId="3" xfId="0" applyNumberFormat="1" applyFont="1" applyBorder="1" applyProtection="1"/>
    <xf numFmtId="41" fontId="8" fillId="0" borderId="0" xfId="0" applyNumberFormat="1" applyFont="1" applyFill="1" applyProtection="1"/>
    <xf numFmtId="172" fontId="20" fillId="0" borderId="0" xfId="0" applyNumberFormat="1" applyFont="1" applyFill="1" applyBorder="1" applyProtection="1"/>
    <xf numFmtId="41" fontId="8" fillId="0" borderId="0" xfId="0" applyNumberFormat="1" applyFont="1" applyFill="1" applyAlignment="1" applyProtection="1"/>
    <xf numFmtId="41" fontId="8" fillId="0" borderId="0" xfId="0" applyNumberFormat="1" applyFont="1" applyFill="1" applyAlignment="1" applyProtection="1">
      <alignment horizontal="right"/>
    </xf>
    <xf numFmtId="41" fontId="17" fillId="0" borderId="0" xfId="0" applyNumberFormat="1" applyFont="1" applyFill="1" applyAlignment="1" applyProtection="1">
      <alignment horizontal="right"/>
    </xf>
    <xf numFmtId="5" fontId="8" fillId="0" borderId="0" xfId="0" applyNumberFormat="1" applyFont="1" applyFill="1" applyProtection="1"/>
    <xf numFmtId="37" fontId="8" fillId="0" borderId="0" xfId="0" applyNumberFormat="1" applyFont="1" applyFill="1" applyProtection="1"/>
    <xf numFmtId="5" fontId="8" fillId="0" borderId="0" xfId="0" applyNumberFormat="1" applyFont="1" applyFill="1" applyAlignment="1" applyProtection="1">
      <alignment horizontal="right"/>
    </xf>
    <xf numFmtId="5" fontId="10" fillId="0" borderId="0" xfId="0" applyNumberFormat="1" applyFont="1" applyFill="1" applyProtection="1">
      <protection locked="0"/>
    </xf>
    <xf numFmtId="165" fontId="9" fillId="0" borderId="0" xfId="0" applyNumberFormat="1" applyFont="1" applyFill="1" applyProtection="1"/>
    <xf numFmtId="0" fontId="17" fillId="0" borderId="0" xfId="0" applyFont="1" applyFill="1" applyBorder="1" applyAlignment="1" applyProtection="1">
      <alignment horizontal="center"/>
    </xf>
    <xf numFmtId="0" fontId="8" fillId="0" borderId="0" xfId="0" applyFont="1" applyFill="1" applyBorder="1" applyAlignment="1" applyProtection="1">
      <alignment horizontal="centerContinuous"/>
    </xf>
    <xf numFmtId="0" fontId="8" fillId="0" borderId="0" xfId="0" applyFont="1" applyFill="1" applyBorder="1" applyAlignment="1" applyProtection="1">
      <alignment horizontal="center"/>
    </xf>
    <xf numFmtId="164"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8" fillId="0" borderId="0" xfId="0" applyFont="1" applyFill="1" applyBorder="1" applyAlignment="1" applyProtection="1">
      <alignment horizontal="right" wrapText="1"/>
    </xf>
    <xf numFmtId="169" fontId="8" fillId="0" borderId="0" xfId="2" applyNumberFormat="1" applyFont="1" applyFill="1" applyBorder="1" applyProtection="1"/>
    <xf numFmtId="0" fontId="3" fillId="0" borderId="0" xfId="0" applyFont="1" applyFill="1" applyBorder="1" applyProtection="1"/>
    <xf numFmtId="0" fontId="3" fillId="0" borderId="0" xfId="0" applyFont="1" applyFill="1" applyBorder="1" applyAlignment="1" applyProtection="1">
      <alignment horizontal="right"/>
    </xf>
    <xf numFmtId="5" fontId="3" fillId="0" borderId="0" xfId="0" applyNumberFormat="1" applyFont="1" applyFill="1" applyBorder="1" applyProtection="1"/>
    <xf numFmtId="173" fontId="20" fillId="0" borderId="0" xfId="1" applyNumberFormat="1" applyFont="1"/>
    <xf numFmtId="173" fontId="8" fillId="0" borderId="3" xfId="1" applyNumberFormat="1" applyFont="1" applyBorder="1" applyProtection="1"/>
    <xf numFmtId="3" fontId="8" fillId="0" borderId="1" xfId="0" applyNumberFormat="1" applyFont="1" applyBorder="1" applyProtection="1"/>
    <xf numFmtId="173" fontId="8" fillId="0" borderId="0" xfId="1" applyNumberFormat="1" applyFont="1" applyProtection="1"/>
    <xf numFmtId="173" fontId="6" fillId="0" borderId="0" xfId="1" applyNumberFormat="1" applyFont="1" applyProtection="1"/>
    <xf numFmtId="173" fontId="9" fillId="0" borderId="0" xfId="1" applyNumberFormat="1" applyFont="1" applyProtection="1"/>
    <xf numFmtId="8" fontId="0" fillId="0" borderId="0" xfId="0" applyNumberFormat="1"/>
    <xf numFmtId="173" fontId="0" fillId="0" borderId="0" xfId="1" applyNumberFormat="1" applyFont="1"/>
    <xf numFmtId="173" fontId="4" fillId="0" borderId="0" xfId="0" applyNumberFormat="1" applyFont="1" applyBorder="1" applyProtection="1"/>
    <xf numFmtId="0" fontId="20" fillId="0" borderId="0" xfId="0" applyFont="1" applyFill="1" applyBorder="1"/>
    <xf numFmtId="0" fontId="3" fillId="0" borderId="0" xfId="0" applyFont="1" applyFill="1" applyBorder="1" applyAlignment="1" applyProtection="1">
      <alignment horizontal="left"/>
    </xf>
    <xf numFmtId="0" fontId="8" fillId="0" borderId="0" xfId="0" applyFont="1" applyFill="1" applyBorder="1" applyAlignment="1" applyProtection="1">
      <alignment horizontal="left"/>
    </xf>
    <xf numFmtId="3" fontId="14" fillId="0" borderId="0" xfId="0" applyNumberFormat="1" applyFont="1" applyFill="1" applyBorder="1"/>
    <xf numFmtId="170" fontId="8" fillId="0" borderId="0" xfId="0" applyNumberFormat="1" applyFont="1" applyFill="1" applyBorder="1" applyAlignment="1" applyProtection="1">
      <alignment horizontal="centerContinuous"/>
    </xf>
    <xf numFmtId="0" fontId="14" fillId="0" borderId="0" xfId="0" applyFont="1" applyFill="1" applyBorder="1"/>
    <xf numFmtId="173" fontId="14" fillId="0" borderId="0" xfId="1" applyNumberFormat="1" applyFont="1" applyFill="1" applyBorder="1"/>
    <xf numFmtId="37" fontId="8" fillId="0" borderId="0" xfId="0" applyNumberFormat="1" applyFont="1" applyFill="1" applyBorder="1" applyProtection="1"/>
    <xf numFmtId="0" fontId="8" fillId="0" borderId="0" xfId="0" applyFont="1" applyFill="1" applyBorder="1" applyAlignment="1" applyProtection="1">
      <alignment wrapText="1"/>
    </xf>
    <xf numFmtId="7" fontId="8" fillId="0" borderId="0" xfId="0" applyNumberFormat="1" applyFont="1" applyFill="1" applyBorder="1" applyProtection="1"/>
    <xf numFmtId="0" fontId="20" fillId="0" borderId="0" xfId="0" applyFont="1" applyFill="1" applyBorder="1" applyAlignment="1">
      <alignment wrapText="1"/>
    </xf>
    <xf numFmtId="7" fontId="20" fillId="0" borderId="0" xfId="0" applyNumberFormat="1" applyFont="1" applyFill="1" applyBorder="1"/>
    <xf numFmtId="10" fontId="9" fillId="0" borderId="0" xfId="0" applyNumberFormat="1" applyFont="1" applyFill="1" applyBorder="1" applyAlignment="1" applyProtection="1">
      <alignment horizontal="left"/>
    </xf>
    <xf numFmtId="0" fontId="8" fillId="0" borderId="4" xfId="0" applyFont="1" applyFill="1" applyBorder="1" applyProtection="1"/>
    <xf numFmtId="0" fontId="20" fillId="0" borderId="4" xfId="0" applyFont="1" applyBorder="1"/>
    <xf numFmtId="10" fontId="20" fillId="0" borderId="0" xfId="0" applyNumberFormat="1" applyFont="1" applyFill="1"/>
    <xf numFmtId="41" fontId="8" fillId="0" borderId="1" xfId="0" applyNumberFormat="1" applyFont="1" applyFill="1" applyBorder="1" applyProtection="1"/>
    <xf numFmtId="41" fontId="17" fillId="0" borderId="1" xfId="0" applyNumberFormat="1" applyFont="1" applyFill="1" applyBorder="1" applyProtection="1"/>
    <xf numFmtId="165" fontId="9" fillId="0" borderId="0" xfId="0" applyNumberFormat="1" applyFont="1" applyBorder="1" applyProtection="1"/>
    <xf numFmtId="0" fontId="13" fillId="0" borderId="0" xfId="0" applyFont="1" applyBorder="1" applyProtection="1"/>
    <xf numFmtId="0" fontId="0" fillId="0" borderId="11" xfId="0" applyBorder="1"/>
    <xf numFmtId="0" fontId="3" fillId="0" borderId="12" xfId="0" applyFont="1" applyBorder="1" applyProtection="1"/>
    <xf numFmtId="0" fontId="8" fillId="0" borderId="12" xfId="0" applyFont="1" applyBorder="1" applyProtection="1"/>
    <xf numFmtId="0" fontId="21" fillId="0" borderId="12" xfId="0" applyFont="1" applyBorder="1" applyAlignment="1" applyProtection="1">
      <protection locked="0"/>
    </xf>
    <xf numFmtId="10" fontId="9" fillId="0" borderId="12" xfId="0" applyNumberFormat="1" applyFont="1" applyBorder="1" applyProtection="1"/>
    <xf numFmtId="0" fontId="8" fillId="0" borderId="12" xfId="0" applyFont="1" applyFill="1" applyBorder="1" applyProtection="1"/>
    <xf numFmtId="5" fontId="21" fillId="0" borderId="12" xfId="0" applyNumberFormat="1" applyFont="1" applyBorder="1" applyAlignment="1" applyProtection="1">
      <protection locked="0"/>
    </xf>
    <xf numFmtId="10" fontId="9" fillId="0" borderId="12" xfId="0" applyNumberFormat="1" applyFont="1" applyBorder="1" applyAlignment="1" applyProtection="1">
      <alignment horizontal="center"/>
    </xf>
    <xf numFmtId="5" fontId="8" fillId="0" borderId="11" xfId="0" applyNumberFormat="1" applyFont="1" applyFill="1" applyBorder="1" applyProtection="1"/>
    <xf numFmtId="5" fontId="21" fillId="0" borderId="11" xfId="0" applyNumberFormat="1" applyFont="1" applyBorder="1" applyAlignment="1" applyProtection="1">
      <protection locked="0"/>
    </xf>
    <xf numFmtId="10" fontId="9" fillId="0" borderId="13" xfId="0" applyNumberFormat="1" applyFont="1" applyBorder="1" applyProtection="1"/>
    <xf numFmtId="10" fontId="9" fillId="0" borderId="6" xfId="0" applyNumberFormat="1" applyFont="1" applyBorder="1" applyProtection="1"/>
    <xf numFmtId="0" fontId="3" fillId="0" borderId="14" xfId="0" applyFont="1" applyBorder="1" applyProtection="1"/>
    <xf numFmtId="0" fontId="10" fillId="0" borderId="3" xfId="0" applyFont="1" applyBorder="1" applyProtection="1">
      <protection locked="0"/>
    </xf>
    <xf numFmtId="10" fontId="9" fillId="0" borderId="1" xfId="0" applyNumberFormat="1" applyFont="1" applyBorder="1" applyAlignment="1" applyProtection="1">
      <alignment horizontal="fill"/>
      <protection locked="0"/>
    </xf>
    <xf numFmtId="10" fontId="9" fillId="0" borderId="13" xfId="0" applyNumberFormat="1" applyFont="1" applyBorder="1" applyAlignment="1" applyProtection="1">
      <alignment horizontal="right"/>
    </xf>
    <xf numFmtId="0" fontId="8" fillId="0" borderId="15" xfId="0" applyFont="1" applyFill="1" applyBorder="1" applyProtection="1"/>
    <xf numFmtId="5" fontId="21" fillId="0" borderId="15" xfId="0" applyNumberFormat="1" applyFont="1" applyBorder="1" applyAlignment="1" applyProtection="1">
      <protection locked="0"/>
    </xf>
    <xf numFmtId="0" fontId="9" fillId="0" borderId="0" xfId="0" applyFont="1" applyFill="1" applyBorder="1" applyProtection="1"/>
    <xf numFmtId="0" fontId="9" fillId="0" borderId="0" xfId="0" applyFont="1" applyFill="1" applyBorder="1" applyAlignment="1" applyProtection="1"/>
    <xf numFmtId="0" fontId="21" fillId="0" borderId="0" xfId="0" applyFont="1" applyFill="1" applyBorder="1"/>
    <xf numFmtId="10" fontId="9" fillId="0" borderId="0" xfId="0" applyNumberFormat="1" applyFont="1" applyFill="1" applyBorder="1" applyProtection="1"/>
    <xf numFmtId="170" fontId="9" fillId="0" borderId="0" xfId="0" applyNumberFormat="1" applyFont="1" applyFill="1" applyBorder="1" applyProtection="1"/>
    <xf numFmtId="165" fontId="9" fillId="0" borderId="0" xfId="0" applyNumberFormat="1" applyFont="1" applyFill="1" applyBorder="1" applyAlignment="1" applyProtection="1">
      <alignment horizontal="left"/>
    </xf>
    <xf numFmtId="173" fontId="14" fillId="0" borderId="0" xfId="1" applyNumberFormat="1" applyFont="1"/>
    <xf numFmtId="5" fontId="14" fillId="0" borderId="0" xfId="0" applyNumberFormat="1" applyFont="1" applyBorder="1"/>
    <xf numFmtId="5" fontId="14" fillId="0" borderId="0" xfId="0" applyNumberFormat="1" applyFont="1" applyFill="1" applyBorder="1"/>
    <xf numFmtId="37" fontId="14" fillId="0" borderId="0" xfId="0" applyNumberFormat="1" applyFont="1" applyFill="1" applyBorder="1"/>
    <xf numFmtId="0" fontId="20" fillId="0" borderId="0" xfId="0" applyFont="1" applyBorder="1" applyAlignment="1">
      <alignment wrapText="1"/>
    </xf>
    <xf numFmtId="37" fontId="8" fillId="0" borderId="0" xfId="0" applyNumberFormat="1" applyFont="1" applyFill="1" applyBorder="1" applyAlignment="1" applyProtection="1">
      <alignment wrapText="1"/>
    </xf>
    <xf numFmtId="169" fontId="20" fillId="0" borderId="0" xfId="2" applyNumberFormat="1" applyFont="1" applyFill="1" applyBorder="1"/>
    <xf numFmtId="0" fontId="20" fillId="0" borderId="12" xfId="0" applyFont="1" applyFill="1" applyBorder="1"/>
    <xf numFmtId="0" fontId="3" fillId="0" borderId="12" xfId="0" applyFont="1" applyFill="1" applyBorder="1" applyAlignment="1" applyProtection="1">
      <alignment horizontal="left"/>
    </xf>
    <xf numFmtId="0" fontId="8" fillId="0" borderId="12" xfId="0" applyFont="1" applyFill="1" applyBorder="1" applyAlignment="1" applyProtection="1">
      <alignment horizontal="centerContinuous"/>
    </xf>
    <xf numFmtId="170" fontId="8" fillId="0" borderId="12" xfId="0" applyNumberFormat="1" applyFont="1" applyFill="1" applyBorder="1" applyAlignment="1" applyProtection="1">
      <alignment horizontal="centerContinuous"/>
    </xf>
    <xf numFmtId="3" fontId="14" fillId="0" borderId="12" xfId="0" applyNumberFormat="1" applyFont="1" applyFill="1" applyBorder="1"/>
    <xf numFmtId="173" fontId="14" fillId="0" borderId="12" xfId="1" applyNumberFormat="1" applyFont="1" applyFill="1" applyBorder="1"/>
    <xf numFmtId="0" fontId="20" fillId="0" borderId="1" xfId="0" applyFont="1" applyFill="1" applyBorder="1"/>
    <xf numFmtId="0" fontId="20" fillId="0" borderId="6" xfId="0" applyFont="1" applyFill="1" applyBorder="1"/>
    <xf numFmtId="0" fontId="8" fillId="0" borderId="3" xfId="0" applyFont="1" applyFill="1" applyBorder="1" applyAlignment="1" applyProtection="1">
      <alignment horizontal="right"/>
    </xf>
    <xf numFmtId="0" fontId="3" fillId="0" borderId="3" xfId="0" applyFont="1" applyFill="1" applyBorder="1" applyAlignment="1" applyProtection="1">
      <alignment horizontal="left"/>
    </xf>
    <xf numFmtId="0" fontId="20" fillId="0" borderId="13" xfId="0" applyFont="1" applyFill="1" applyBorder="1"/>
    <xf numFmtId="0" fontId="20" fillId="0" borderId="11" xfId="0" applyFont="1" applyFill="1" applyBorder="1"/>
    <xf numFmtId="0" fontId="3" fillId="0" borderId="14" xfId="0" applyFont="1" applyFill="1" applyBorder="1" applyAlignment="1" applyProtection="1">
      <alignment horizontal="left"/>
    </xf>
    <xf numFmtId="0" fontId="5" fillId="0" borderId="3" xfId="0" applyFont="1" applyFill="1" applyBorder="1" applyAlignment="1" applyProtection="1">
      <alignment horizontal="centerContinuous"/>
    </xf>
    <xf numFmtId="0" fontId="20" fillId="0" borderId="3" xfId="0" applyFont="1" applyFill="1" applyBorder="1"/>
    <xf numFmtId="0" fontId="20" fillId="0" borderId="5" xfId="0" applyFont="1" applyFill="1" applyBorder="1"/>
    <xf numFmtId="10" fontId="21" fillId="0" borderId="3" xfId="0" applyNumberFormat="1" applyFont="1" applyFill="1" applyBorder="1"/>
    <xf numFmtId="170" fontId="8" fillId="0" borderId="3" xfId="0" applyNumberFormat="1" applyFont="1" applyFill="1" applyBorder="1" applyAlignment="1" applyProtection="1">
      <alignment horizontal="centerContinuous"/>
    </xf>
    <xf numFmtId="0" fontId="3" fillId="0" borderId="5" xfId="0" applyFont="1" applyFill="1" applyBorder="1" applyAlignment="1" applyProtection="1">
      <alignment horizontal="left"/>
    </xf>
    <xf numFmtId="0" fontId="8" fillId="0" borderId="11" xfId="0" applyFont="1" applyFill="1" applyBorder="1" applyAlignment="1" applyProtection="1">
      <alignment horizontal="centerContinuous"/>
    </xf>
    <xf numFmtId="170" fontId="8" fillId="0" borderId="11" xfId="0" applyNumberFormat="1" applyFont="1" applyFill="1" applyBorder="1" applyAlignment="1" applyProtection="1">
      <alignment horizontal="centerContinuous"/>
    </xf>
    <xf numFmtId="3" fontId="14" fillId="0" borderId="11" xfId="0" applyNumberFormat="1" applyFont="1" applyFill="1" applyBorder="1"/>
    <xf numFmtId="0" fontId="3" fillId="0" borderId="14" xfId="0" applyFont="1" applyFill="1" applyBorder="1" applyProtection="1"/>
    <xf numFmtId="0" fontId="8" fillId="0" borderId="3" xfId="0" applyFont="1" applyFill="1" applyBorder="1" applyAlignment="1" applyProtection="1">
      <alignment wrapText="1"/>
    </xf>
    <xf numFmtId="0" fontId="8" fillId="0" borderId="3" xfId="0" applyFont="1" applyFill="1" applyBorder="1" applyAlignment="1" applyProtection="1">
      <alignment horizontal="right" wrapText="1"/>
    </xf>
    <xf numFmtId="37" fontId="27" fillId="0" borderId="0" xfId="0" applyNumberFormat="1" applyFont="1" applyFill="1" applyBorder="1"/>
    <xf numFmtId="173" fontId="27" fillId="0" borderId="0" xfId="1" applyNumberFormat="1" applyFont="1" applyFill="1" applyBorder="1"/>
    <xf numFmtId="39" fontId="8" fillId="0" borderId="1" xfId="0" applyNumberFormat="1" applyFont="1" applyBorder="1" applyProtection="1"/>
    <xf numFmtId="5" fontId="25" fillId="0" borderId="1" xfId="0" applyNumberFormat="1" applyFont="1" applyBorder="1" applyProtection="1"/>
    <xf numFmtId="0" fontId="20" fillId="0" borderId="1" xfId="0" applyFont="1" applyBorder="1"/>
    <xf numFmtId="5" fontId="3" fillId="0" borderId="1" xfId="0" applyNumberFormat="1" applyFont="1" applyBorder="1" applyAlignment="1" applyProtection="1">
      <alignment horizontal="right"/>
    </xf>
    <xf numFmtId="5" fontId="3" fillId="0" borderId="1" xfId="0" applyNumberFormat="1" applyFont="1" applyBorder="1" applyProtection="1"/>
    <xf numFmtId="0" fontId="0" fillId="0" borderId="1" xfId="0" applyBorder="1"/>
    <xf numFmtId="2" fontId="0" fillId="0" borderId="1" xfId="0" applyNumberFormat="1" applyBorder="1"/>
    <xf numFmtId="5" fontId="4" fillId="0" borderId="1" xfId="0" applyNumberFormat="1" applyFont="1" applyBorder="1" applyProtection="1"/>
    <xf numFmtId="37" fontId="8" fillId="0" borderId="11" xfId="0" applyNumberFormat="1" applyFont="1" applyBorder="1" applyProtection="1"/>
    <xf numFmtId="37" fontId="3" fillId="0" borderId="3" xfId="0" applyNumberFormat="1" applyFont="1" applyBorder="1" applyProtection="1"/>
    <xf numFmtId="37" fontId="8" fillId="0" borderId="3" xfId="0" applyNumberFormat="1" applyFont="1" applyBorder="1" applyAlignment="1" applyProtection="1">
      <alignment horizontal="left" indent="1"/>
    </xf>
    <xf numFmtId="37" fontId="8" fillId="0" borderId="3" xfId="0" applyNumberFormat="1" applyFont="1" applyBorder="1" applyAlignment="1" applyProtection="1">
      <alignment horizontal="left" indent="2"/>
    </xf>
    <xf numFmtId="0" fontId="25" fillId="0" borderId="3" xfId="0" applyFont="1" applyBorder="1" applyAlignment="1" applyProtection="1">
      <alignment horizontal="left" indent="1"/>
    </xf>
    <xf numFmtId="0" fontId="20" fillId="0" borderId="3" xfId="0" applyFont="1" applyBorder="1" applyAlignment="1">
      <alignment horizontal="left" indent="1"/>
    </xf>
    <xf numFmtId="37" fontId="8" fillId="0" borderId="3" xfId="0" applyNumberFormat="1" applyFont="1" applyFill="1" applyBorder="1" applyAlignment="1" applyProtection="1">
      <alignment horizontal="left" indent="2"/>
    </xf>
    <xf numFmtId="37" fontId="25" fillId="0" borderId="3" xfId="0" applyNumberFormat="1" applyFont="1" applyBorder="1" applyAlignment="1" applyProtection="1">
      <alignment horizontal="left" indent="1"/>
    </xf>
    <xf numFmtId="37" fontId="3" fillId="0" borderId="3" xfId="0" applyNumberFormat="1" applyFont="1" applyBorder="1" applyAlignment="1" applyProtection="1">
      <alignment horizontal="left" indent="1"/>
    </xf>
    <xf numFmtId="37" fontId="8" fillId="0" borderId="3" xfId="0" applyNumberFormat="1" applyFont="1" applyBorder="1" applyProtection="1"/>
    <xf numFmtId="0" fontId="0" fillId="0" borderId="3" xfId="0" applyBorder="1"/>
    <xf numFmtId="0" fontId="0" fillId="0" borderId="3" xfId="0" applyBorder="1" applyAlignment="1">
      <alignment horizontal="right"/>
    </xf>
    <xf numFmtId="0" fontId="8" fillId="0" borderId="3" xfId="0" applyFont="1" applyBorder="1" applyAlignment="1" applyProtection="1">
      <alignment horizontal="right"/>
    </xf>
    <xf numFmtId="0" fontId="4" fillId="0" borderId="3" xfId="0" applyFont="1" applyBorder="1" applyProtection="1"/>
    <xf numFmtId="0" fontId="4" fillId="0" borderId="5" xfId="0" applyFont="1" applyBorder="1" applyProtection="1"/>
    <xf numFmtId="0" fontId="4" fillId="0" borderId="11" xfId="0" applyFont="1" applyBorder="1" applyProtection="1"/>
    <xf numFmtId="5" fontId="4" fillId="0" borderId="6" xfId="0" applyNumberFormat="1" applyFont="1" applyBorder="1" applyProtection="1"/>
    <xf numFmtId="37" fontId="8" fillId="0" borderId="0" xfId="0" applyNumberFormat="1" applyFont="1" applyBorder="1" applyProtection="1"/>
    <xf numFmtId="37" fontId="3" fillId="0" borderId="12" xfId="0" applyNumberFormat="1" applyFont="1" applyBorder="1" applyProtection="1"/>
    <xf numFmtId="37" fontId="8" fillId="0" borderId="12" xfId="0" applyNumberFormat="1" applyFont="1" applyBorder="1" applyProtection="1"/>
    <xf numFmtId="37" fontId="3" fillId="0" borderId="0" xfId="0" applyNumberFormat="1" applyFont="1" applyFill="1" applyBorder="1" applyProtection="1"/>
    <xf numFmtId="37" fontId="4" fillId="0" borderId="12" xfId="0" applyNumberFormat="1" applyFont="1" applyBorder="1" applyProtection="1"/>
    <xf numFmtId="0" fontId="0" fillId="0" borderId="12" xfId="0" applyBorder="1"/>
    <xf numFmtId="0" fontId="0" fillId="0" borderId="13" xfId="0" applyFill="1" applyBorder="1"/>
    <xf numFmtId="0" fontId="0" fillId="0" borderId="1" xfId="0" applyFill="1" applyBorder="1" applyAlignment="1">
      <alignment horizontal="right"/>
    </xf>
    <xf numFmtId="10" fontId="4" fillId="0" borderId="1" xfId="0" applyNumberFormat="1" applyFont="1" applyFill="1" applyBorder="1" applyProtection="1"/>
    <xf numFmtId="0" fontId="4" fillId="0" borderId="1" xfId="0" applyFont="1" applyFill="1" applyBorder="1" applyProtection="1"/>
    <xf numFmtId="37" fontId="20" fillId="0" borderId="0" xfId="0" applyNumberFormat="1" applyFont="1" applyFill="1" applyBorder="1" applyProtection="1"/>
    <xf numFmtId="37" fontId="8" fillId="0" borderId="4" xfId="0" applyNumberFormat="1" applyFont="1" applyBorder="1" applyProtection="1"/>
    <xf numFmtId="0" fontId="0" fillId="0" borderId="4" xfId="0" applyBorder="1"/>
    <xf numFmtId="37" fontId="4" fillId="0" borderId="5" xfId="0" applyNumberFormat="1" applyFont="1" applyBorder="1" applyProtection="1"/>
    <xf numFmtId="0" fontId="4" fillId="0" borderId="11" xfId="0" applyFont="1" applyBorder="1" applyAlignment="1" applyProtection="1">
      <alignment horizontal="right"/>
    </xf>
    <xf numFmtId="2" fontId="0" fillId="0" borderId="11" xfId="0" applyNumberFormat="1" applyBorder="1"/>
    <xf numFmtId="0" fontId="4" fillId="0" borderId="1" xfId="0" applyFont="1" applyBorder="1" applyProtection="1"/>
    <xf numFmtId="0" fontId="4" fillId="0" borderId="6" xfId="0" applyFont="1" applyBorder="1" applyProtection="1"/>
    <xf numFmtId="167" fontId="4" fillId="0" borderId="12" xfId="0" applyNumberFormat="1" applyFont="1" applyBorder="1" applyProtection="1"/>
    <xf numFmtId="0" fontId="4" fillId="0" borderId="12" xfId="0" applyFont="1" applyBorder="1" applyProtection="1"/>
    <xf numFmtId="0" fontId="8" fillId="0" borderId="15" xfId="0" applyFont="1" applyBorder="1" applyProtection="1"/>
    <xf numFmtId="0" fontId="4" fillId="0" borderId="15" xfId="0" applyFont="1" applyBorder="1" applyProtection="1"/>
    <xf numFmtId="37" fontId="3" fillId="0" borderId="0" xfId="0" applyNumberFormat="1" applyFont="1" applyBorder="1" applyProtection="1"/>
    <xf numFmtId="169" fontId="4" fillId="2" borderId="16" xfId="2" applyNumberFormat="1" applyFont="1" applyFill="1" applyBorder="1" applyProtection="1"/>
    <xf numFmtId="169" fontId="4" fillId="2" borderId="17" xfId="2" applyNumberFormat="1" applyFont="1" applyFill="1" applyBorder="1" applyProtection="1"/>
    <xf numFmtId="9" fontId="8" fillId="2" borderId="16" xfId="7" applyNumberFormat="1" applyFont="1" applyFill="1" applyBorder="1" applyProtection="1"/>
    <xf numFmtId="9" fontId="8" fillId="2" borderId="17" xfId="0" applyNumberFormat="1" applyFont="1" applyFill="1" applyBorder="1" applyProtection="1"/>
    <xf numFmtId="2" fontId="0" fillId="2" borderId="17" xfId="0" applyNumberFormat="1" applyFill="1" applyBorder="1"/>
    <xf numFmtId="2" fontId="0" fillId="2" borderId="18" xfId="0" applyNumberFormat="1" applyFill="1" applyBorder="1"/>
    <xf numFmtId="0" fontId="4" fillId="0" borderId="0" xfId="0" applyFont="1" applyBorder="1" applyAlignment="1" applyProtection="1">
      <alignment horizontal="center"/>
    </xf>
    <xf numFmtId="0" fontId="3" fillId="0" borderId="0" xfId="0" applyFont="1" applyBorder="1" applyAlignment="1" applyProtection="1">
      <alignment horizontal="left"/>
    </xf>
    <xf numFmtId="0" fontId="4" fillId="0" borderId="0" xfId="0" applyFont="1" applyBorder="1" applyAlignment="1" applyProtection="1">
      <alignment horizontal="centerContinuous"/>
    </xf>
    <xf numFmtId="173" fontId="0" fillId="0" borderId="0" xfId="1" applyNumberFormat="1" applyFont="1" applyBorder="1"/>
    <xf numFmtId="37" fontId="8" fillId="0" borderId="4" xfId="0" applyNumberFormat="1" applyFont="1" applyBorder="1" applyAlignment="1" applyProtection="1">
      <alignment horizontal="left" indent="2"/>
    </xf>
    <xf numFmtId="10" fontId="4" fillId="0" borderId="0" xfId="0" applyNumberFormat="1" applyFont="1" applyBorder="1" applyProtection="1"/>
    <xf numFmtId="0" fontId="0" fillId="0" borderId="6" xfId="0" applyBorder="1"/>
    <xf numFmtId="0" fontId="0" fillId="0" borderId="5" xfId="0" applyBorder="1"/>
    <xf numFmtId="37" fontId="4" fillId="0" borderId="3" xfId="0" applyNumberFormat="1" applyFont="1" applyBorder="1" applyProtection="1"/>
    <xf numFmtId="10" fontId="20" fillId="0" borderId="0" xfId="0" applyNumberFormat="1" applyFont="1" applyFill="1" applyBorder="1" applyProtection="1"/>
    <xf numFmtId="169" fontId="4" fillId="0" borderId="0" xfId="2" applyNumberFormat="1" applyFont="1" applyAlignment="1" applyProtection="1">
      <alignment horizontal="right"/>
    </xf>
    <xf numFmtId="169" fontId="16" fillId="0" borderId="0" xfId="2" applyNumberFormat="1" applyFont="1" applyAlignment="1" applyProtection="1">
      <alignment horizontal="right"/>
    </xf>
    <xf numFmtId="169" fontId="0" fillId="0" borderId="0" xfId="2" applyNumberFormat="1" applyFont="1" applyAlignment="1">
      <alignment horizontal="right"/>
    </xf>
    <xf numFmtId="169" fontId="16" fillId="0" borderId="0" xfId="2" applyNumberFormat="1" applyFont="1" applyAlignment="1">
      <alignment horizontal="right"/>
    </xf>
    <xf numFmtId="0" fontId="4" fillId="0" borderId="1" xfId="0" applyFont="1" applyBorder="1" applyAlignment="1" applyProtection="1">
      <alignment horizontal="right"/>
    </xf>
    <xf numFmtId="164" fontId="4" fillId="2" borderId="17" xfId="0" applyNumberFormat="1" applyFont="1" applyFill="1" applyBorder="1" applyProtection="1"/>
    <xf numFmtId="37" fontId="4" fillId="2" borderId="17" xfId="0" applyNumberFormat="1" applyFont="1" applyFill="1" applyBorder="1" applyAlignment="1" applyProtection="1">
      <alignment horizontal="right"/>
    </xf>
    <xf numFmtId="168" fontId="4" fillId="2" borderId="17" xfId="0" applyNumberFormat="1" applyFont="1" applyFill="1" applyBorder="1" applyProtection="1"/>
    <xf numFmtId="0" fontId="20" fillId="0" borderId="9" xfId="0" applyFont="1" applyFill="1" applyBorder="1"/>
    <xf numFmtId="0" fontId="8" fillId="0" borderId="19" xfId="0" applyFont="1" applyFill="1" applyBorder="1" applyProtection="1"/>
    <xf numFmtId="0" fontId="20" fillId="0" borderId="11" xfId="0" applyFont="1" applyBorder="1"/>
    <xf numFmtId="0" fontId="20" fillId="0" borderId="19" xfId="0" applyFont="1" applyFill="1" applyBorder="1"/>
    <xf numFmtId="1" fontId="20" fillId="0" borderId="0" xfId="0" applyNumberFormat="1" applyFont="1" applyFill="1" applyBorder="1"/>
    <xf numFmtId="9" fontId="14" fillId="0" borderId="0" xfId="7" applyFont="1" applyFill="1" applyBorder="1"/>
    <xf numFmtId="173" fontId="14" fillId="0" borderId="11" xfId="1" applyNumberFormat="1" applyFont="1" applyFill="1" applyBorder="1"/>
    <xf numFmtId="0" fontId="8" fillId="0" borderId="11" xfId="0" applyFont="1" applyFill="1" applyBorder="1" applyProtection="1"/>
    <xf numFmtId="0" fontId="20" fillId="0" borderId="1" xfId="0" applyFont="1" applyFill="1" applyBorder="1" applyAlignment="1">
      <alignment wrapText="1"/>
    </xf>
    <xf numFmtId="5" fontId="20" fillId="0" borderId="0" xfId="0" applyNumberFormat="1" applyFont="1" applyFill="1" applyBorder="1"/>
    <xf numFmtId="0" fontId="3" fillId="0" borderId="0" xfId="0" applyFont="1" applyFill="1" applyBorder="1" applyAlignment="1" applyProtection="1">
      <alignment wrapText="1"/>
    </xf>
    <xf numFmtId="9" fontId="8" fillId="0" borderId="0" xfId="0" applyNumberFormat="1" applyFont="1" applyFill="1" applyBorder="1" applyAlignment="1" applyProtection="1">
      <alignment wrapText="1"/>
    </xf>
    <xf numFmtId="0" fontId="4" fillId="0" borderId="20" xfId="0" applyFont="1" applyBorder="1" applyAlignment="1" applyProtection="1">
      <alignment horizontal="center"/>
    </xf>
    <xf numFmtId="0" fontId="4" fillId="0" borderId="21" xfId="0" applyFont="1" applyBorder="1" applyAlignment="1" applyProtection="1">
      <alignment horizontal="center"/>
    </xf>
    <xf numFmtId="0" fontId="4" fillId="0" borderId="19" xfId="0" applyFont="1" applyBorder="1" applyProtection="1"/>
    <xf numFmtId="0" fontId="4" fillId="0" borderId="19" xfId="0" applyFont="1" applyBorder="1" applyAlignment="1" applyProtection="1">
      <alignment horizontal="center"/>
    </xf>
    <xf numFmtId="10" fontId="0" fillId="0" borderId="11" xfId="0" applyNumberFormat="1" applyFill="1" applyBorder="1"/>
    <xf numFmtId="0" fontId="0" fillId="0" borderId="0" xfId="0" applyBorder="1" applyAlignment="1">
      <alignment horizontal="center"/>
    </xf>
    <xf numFmtId="0" fontId="28" fillId="0" borderId="4" xfId="0" applyFont="1" applyBorder="1" applyProtection="1"/>
    <xf numFmtId="0" fontId="29" fillId="0" borderId="4" xfId="0" applyFont="1" applyBorder="1" applyProtection="1"/>
    <xf numFmtId="0" fontId="28" fillId="0" borderId="22" xfId="0" applyFont="1" applyBorder="1" applyProtection="1"/>
    <xf numFmtId="0" fontId="29" fillId="0" borderId="4" xfId="0" applyFont="1" applyBorder="1" applyAlignment="1" applyProtection="1">
      <alignment horizontal="right"/>
    </xf>
    <xf numFmtId="0" fontId="29" fillId="0" borderId="16" xfId="0" applyFont="1" applyBorder="1" applyProtection="1"/>
    <xf numFmtId="41" fontId="3" fillId="0" borderId="16" xfId="0" applyNumberFormat="1" applyFont="1" applyBorder="1" applyProtection="1"/>
    <xf numFmtId="0" fontId="14"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0" fillId="2" borderId="8" xfId="0" applyFill="1" applyBorder="1"/>
    <xf numFmtId="0" fontId="0" fillId="0" borderId="23" xfId="0" applyBorder="1"/>
    <xf numFmtId="0" fontId="14" fillId="0" borderId="24" xfId="0" applyFont="1" applyBorder="1" applyAlignment="1">
      <alignment horizontal="center"/>
    </xf>
    <xf numFmtId="173" fontId="14" fillId="0" borderId="24" xfId="1" applyNumberFormat="1" applyFont="1" applyBorder="1"/>
    <xf numFmtId="0" fontId="14" fillId="0" borderId="25" xfId="0" applyFont="1" applyBorder="1"/>
    <xf numFmtId="0" fontId="30" fillId="0" borderId="21" xfId="0" applyFont="1" applyBorder="1"/>
    <xf numFmtId="0" fontId="0" fillId="0" borderId="20" xfId="0" applyBorder="1"/>
    <xf numFmtId="0" fontId="0" fillId="0" borderId="21" xfId="0" applyBorder="1"/>
    <xf numFmtId="173" fontId="0" fillId="0" borderId="20" xfId="1" applyNumberFormat="1" applyFont="1" applyBorder="1"/>
    <xf numFmtId="173" fontId="30" fillId="0" borderId="0" xfId="1" applyNumberFormat="1" applyFont="1" applyBorder="1"/>
    <xf numFmtId="173" fontId="30" fillId="0" borderId="20" xfId="1" applyNumberFormat="1" applyFont="1" applyBorder="1"/>
    <xf numFmtId="0" fontId="14" fillId="0" borderId="21" xfId="0" applyFont="1" applyBorder="1"/>
    <xf numFmtId="0" fontId="30" fillId="0" borderId="21" xfId="0" applyFont="1" applyBorder="1" applyAlignment="1">
      <alignment horizontal="right"/>
    </xf>
    <xf numFmtId="0" fontId="32" fillId="0" borderId="0" xfId="0" applyFont="1" applyBorder="1" applyAlignment="1">
      <alignment horizontal="center"/>
    </xf>
    <xf numFmtId="0" fontId="14" fillId="0" borderId="26" xfId="0" applyFont="1" applyBorder="1"/>
    <xf numFmtId="0" fontId="0" fillId="0" borderId="7" xfId="0" applyBorder="1" applyAlignment="1">
      <alignment horizontal="center"/>
    </xf>
    <xf numFmtId="173" fontId="0" fillId="0" borderId="27" xfId="1" applyNumberFormat="1" applyFont="1" applyBorder="1"/>
    <xf numFmtId="9" fontId="0" fillId="0" borderId="20" xfId="7" applyFont="1" applyBorder="1"/>
    <xf numFmtId="9" fontId="0" fillId="0" borderId="20" xfId="0" applyNumberFormat="1" applyBorder="1"/>
    <xf numFmtId="0" fontId="0" fillId="0" borderId="26" xfId="0" applyBorder="1"/>
    <xf numFmtId="0" fontId="0" fillId="0" borderId="7" xfId="0" applyBorder="1"/>
    <xf numFmtId="9" fontId="0" fillId="0" borderId="27" xfId="7" applyFont="1" applyBorder="1"/>
    <xf numFmtId="173" fontId="0" fillId="0" borderId="20" xfId="0" applyNumberFormat="1" applyBorder="1"/>
    <xf numFmtId="173" fontId="14" fillId="0" borderId="7" xfId="1" applyNumberFormat="1" applyFont="1" applyBorder="1"/>
    <xf numFmtId="173" fontId="14" fillId="0" borderId="27" xfId="1" applyNumberFormat="1" applyFont="1" applyBorder="1"/>
    <xf numFmtId="0" fontId="3" fillId="2" borderId="17" xfId="0" applyFont="1" applyFill="1" applyBorder="1" applyProtection="1"/>
    <xf numFmtId="0" fontId="14" fillId="0" borderId="0" xfId="0" applyFont="1" applyAlignment="1" applyProtection="1"/>
    <xf numFmtId="0" fontId="14" fillId="0" borderId="0" xfId="0" applyFont="1" applyAlignment="1">
      <alignment horizontal="left"/>
    </xf>
    <xf numFmtId="0" fontId="4" fillId="0" borderId="17" xfId="0" applyFont="1" applyBorder="1" applyAlignment="1" applyProtection="1">
      <alignment horizontal="left"/>
    </xf>
    <xf numFmtId="3" fontId="3" fillId="0" borderId="0" xfId="0" applyNumberFormat="1" applyFont="1" applyAlignment="1" applyProtection="1">
      <alignment horizontal="centerContinuous"/>
    </xf>
    <xf numFmtId="173" fontId="14" fillId="0" borderId="0" xfId="1" applyNumberFormat="1" applyFont="1" applyAlignment="1">
      <alignment horizontal="left"/>
    </xf>
    <xf numFmtId="173" fontId="14" fillId="0" borderId="0" xfId="1" applyNumberFormat="1" applyFont="1" applyAlignment="1"/>
    <xf numFmtId="0" fontId="32" fillId="0" borderId="0" xfId="0" applyFont="1"/>
    <xf numFmtId="37" fontId="8" fillId="0" borderId="0" xfId="0" applyNumberFormat="1" applyFont="1" applyFill="1" applyBorder="1" applyAlignment="1" applyProtection="1">
      <alignment horizontal="fill"/>
    </xf>
    <xf numFmtId="169" fontId="8" fillId="0" borderId="11" xfId="2" applyNumberFormat="1" applyFont="1" applyBorder="1" applyAlignment="1" applyProtection="1">
      <alignment horizontal="right"/>
    </xf>
    <xf numFmtId="41" fontId="20" fillId="0" borderId="0" xfId="0" applyNumberFormat="1" applyFont="1" applyBorder="1"/>
    <xf numFmtId="3" fontId="20" fillId="2" borderId="17" xfId="0" applyNumberFormat="1" applyFont="1" applyFill="1" applyBorder="1" applyAlignment="1">
      <alignment horizontal="center"/>
    </xf>
    <xf numFmtId="169" fontId="20" fillId="2" borderId="17" xfId="2" applyNumberFormat="1" applyFont="1" applyFill="1" applyBorder="1" applyAlignment="1">
      <alignment horizontal="center"/>
    </xf>
    <xf numFmtId="37" fontId="3" fillId="0" borderId="28" xfId="0" applyNumberFormat="1" applyFont="1" applyFill="1" applyBorder="1" applyProtection="1"/>
    <xf numFmtId="37" fontId="4" fillId="0" borderId="21" xfId="0" applyNumberFormat="1" applyFont="1" applyFill="1" applyBorder="1" applyProtection="1"/>
    <xf numFmtId="0" fontId="0" fillId="0" borderId="21" xfId="0" applyFill="1" applyBorder="1"/>
    <xf numFmtId="37" fontId="4" fillId="0" borderId="21" xfId="0" applyNumberFormat="1" applyFont="1" applyBorder="1" applyProtection="1"/>
    <xf numFmtId="0" fontId="0" fillId="0" borderId="29" xfId="0" applyBorder="1"/>
    <xf numFmtId="170" fontId="14" fillId="0" borderId="0" xfId="0" applyNumberFormat="1" applyFont="1"/>
    <xf numFmtId="0" fontId="20" fillId="0" borderId="30" xfId="0" applyFont="1" applyBorder="1"/>
    <xf numFmtId="0" fontId="3" fillId="0" borderId="31" xfId="0" applyFont="1" applyBorder="1" applyAlignment="1" applyProtection="1">
      <alignment horizontal="right"/>
    </xf>
    <xf numFmtId="0" fontId="20" fillId="0" borderId="0" xfId="0" applyFont="1" applyAlignment="1">
      <alignment horizontal="left" indent="1"/>
    </xf>
    <xf numFmtId="10" fontId="20" fillId="2" borderId="0" xfId="0" applyNumberFormat="1" applyFont="1" applyFill="1" applyBorder="1" applyProtection="1"/>
    <xf numFmtId="10" fontId="20" fillId="2" borderId="0" xfId="0" applyNumberFormat="1" applyFont="1" applyFill="1" applyBorder="1"/>
    <xf numFmtId="10" fontId="4" fillId="2" borderId="0" xfId="0" applyNumberFormat="1" applyFont="1" applyFill="1" applyBorder="1" applyProtection="1"/>
    <xf numFmtId="10" fontId="4" fillId="0" borderId="0" xfId="7" applyNumberFormat="1" applyFont="1" applyFill="1" applyBorder="1" applyProtection="1"/>
    <xf numFmtId="173" fontId="30" fillId="0" borderId="20" xfId="0" applyNumberFormat="1" applyFont="1" applyBorder="1"/>
    <xf numFmtId="0" fontId="8" fillId="0" borderId="3" xfId="0" applyFont="1" applyBorder="1" applyAlignment="1" applyProtection="1">
      <alignment horizontal="right" indent="1"/>
    </xf>
    <xf numFmtId="170" fontId="1" fillId="0" borderId="0" xfId="6" applyNumberFormat="1"/>
    <xf numFmtId="0" fontId="1" fillId="0" borderId="0" xfId="6"/>
    <xf numFmtId="0" fontId="34" fillId="0" borderId="0" xfId="6" applyFont="1" applyAlignment="1">
      <alignment horizontal="left"/>
    </xf>
    <xf numFmtId="0" fontId="34" fillId="0" borderId="0" xfId="6" applyFont="1"/>
    <xf numFmtId="0" fontId="34" fillId="0" borderId="0" xfId="6" applyFont="1" applyAlignment="1">
      <alignment horizontal="center"/>
    </xf>
    <xf numFmtId="0" fontId="1" fillId="0" borderId="0" xfId="6" applyAlignment="1">
      <alignment horizontal="left"/>
    </xf>
    <xf numFmtId="170" fontId="1" fillId="0" borderId="7" xfId="6" applyNumberFormat="1" applyBorder="1" applyAlignment="1">
      <alignment horizontal="center"/>
    </xf>
    <xf numFmtId="0" fontId="21" fillId="0" borderId="0" xfId="6" applyFont="1" applyAlignment="1">
      <alignment horizontal="left"/>
    </xf>
    <xf numFmtId="0" fontId="1" fillId="0" borderId="0" xfId="6" applyAlignment="1">
      <alignment horizontal="center"/>
    </xf>
    <xf numFmtId="0" fontId="21" fillId="0" borderId="0" xfId="6" applyFont="1"/>
    <xf numFmtId="3" fontId="1" fillId="0" borderId="7" xfId="6" applyNumberFormat="1" applyBorder="1" applyAlignment="1">
      <alignment horizontal="center"/>
    </xf>
    <xf numFmtId="3" fontId="34" fillId="0" borderId="7" xfId="6" applyNumberFormat="1" applyFont="1" applyBorder="1" applyAlignment="1">
      <alignment horizontal="center"/>
    </xf>
    <xf numFmtId="0" fontId="34" fillId="0" borderId="0" xfId="6" applyFont="1" applyAlignment="1">
      <alignment horizontal="left" wrapText="1"/>
    </xf>
    <xf numFmtId="0" fontId="1" fillId="0" borderId="0" xfId="6" applyAlignment="1">
      <alignment wrapText="1"/>
    </xf>
    <xf numFmtId="0" fontId="35" fillId="0" borderId="0" xfId="6" applyFont="1" applyAlignment="1">
      <alignment horizontal="center" wrapText="1"/>
    </xf>
    <xf numFmtId="0" fontId="35" fillId="0" borderId="0" xfId="6" applyFont="1" applyAlignment="1" applyProtection="1">
      <alignment horizontal="center" wrapText="1"/>
    </xf>
    <xf numFmtId="0" fontId="35" fillId="0" borderId="0" xfId="6" applyFont="1" applyAlignment="1">
      <alignment wrapText="1"/>
    </xf>
    <xf numFmtId="0" fontId="34" fillId="0" borderId="0" xfId="6" applyFont="1" applyAlignment="1">
      <alignment horizontal="center" wrapText="1"/>
    </xf>
    <xf numFmtId="0" fontId="35" fillId="0" borderId="0" xfId="6" applyFont="1" applyAlignment="1">
      <alignment horizontal="left"/>
    </xf>
    <xf numFmtId="0" fontId="35" fillId="0" borderId="0" xfId="6" applyFont="1"/>
    <xf numFmtId="0" fontId="1" fillId="0" borderId="7" xfId="6" applyBorder="1" applyAlignment="1" applyProtection="1">
      <alignment horizontal="center"/>
      <protection locked="0"/>
    </xf>
    <xf numFmtId="0" fontId="1" fillId="0" borderId="0" xfId="6" applyBorder="1" applyAlignment="1" applyProtection="1">
      <alignment horizontal="center"/>
    </xf>
    <xf numFmtId="0" fontId="1" fillId="0" borderId="0" xfId="6" applyBorder="1" applyAlignment="1">
      <alignment horizontal="center"/>
    </xf>
    <xf numFmtId="170" fontId="34" fillId="0" borderId="7" xfId="6" applyNumberFormat="1" applyFont="1" applyBorder="1" applyAlignment="1">
      <alignment horizontal="center"/>
    </xf>
    <xf numFmtId="170" fontId="1" fillId="0" borderId="31" xfId="6" applyNumberFormat="1" applyBorder="1" applyProtection="1">
      <protection locked="0"/>
    </xf>
    <xf numFmtId="170" fontId="1" fillId="0" borderId="0" xfId="6" applyNumberFormat="1" applyBorder="1" applyProtection="1"/>
    <xf numFmtId="170" fontId="34" fillId="0" borderId="7" xfId="6" applyNumberFormat="1" applyFont="1" applyBorder="1"/>
    <xf numFmtId="170" fontId="34" fillId="0" borderId="31" xfId="6" applyNumberFormat="1" applyFont="1" applyBorder="1"/>
    <xf numFmtId="170" fontId="34" fillId="0" borderId="0" xfId="6" applyNumberFormat="1" applyFont="1" applyBorder="1" applyProtection="1"/>
    <xf numFmtId="170" fontId="34" fillId="0" borderId="0" xfId="6" applyNumberFormat="1" applyFont="1"/>
    <xf numFmtId="170" fontId="34" fillId="0" borderId="0" xfId="6" applyNumberFormat="1" applyFont="1" applyBorder="1"/>
    <xf numFmtId="170" fontId="1" fillId="0" borderId="0" xfId="6" applyNumberFormat="1" applyBorder="1"/>
    <xf numFmtId="0" fontId="34" fillId="0" borderId="0" xfId="6" applyFont="1" applyBorder="1" applyAlignment="1"/>
    <xf numFmtId="0" fontId="34" fillId="0" borderId="0" xfId="6" applyFont="1" applyBorder="1" applyAlignment="1">
      <alignment horizontal="center"/>
    </xf>
    <xf numFmtId="170" fontId="1" fillId="0" borderId="0" xfId="6" applyNumberFormat="1" applyBorder="1" applyProtection="1">
      <protection locked="0"/>
    </xf>
    <xf numFmtId="0" fontId="21" fillId="0" borderId="0" xfId="6" applyFont="1" applyBorder="1" applyAlignment="1">
      <alignment wrapText="1"/>
    </xf>
    <xf numFmtId="0" fontId="21" fillId="0" borderId="21" xfId="6" applyFont="1" applyBorder="1" applyAlignment="1">
      <alignment wrapText="1"/>
    </xf>
    <xf numFmtId="170" fontId="1" fillId="0" borderId="7" xfId="6" applyNumberFormat="1" applyBorder="1" applyProtection="1">
      <protection locked="0"/>
    </xf>
    <xf numFmtId="170" fontId="34" fillId="0" borderId="7" xfId="6" applyNumberFormat="1" applyFont="1" applyBorder="1" applyProtection="1">
      <protection locked="0"/>
    </xf>
    <xf numFmtId="0" fontId="1" fillId="0" borderId="0" xfId="6" applyBorder="1"/>
    <xf numFmtId="3" fontId="1" fillId="0" borderId="0" xfId="6" applyNumberFormat="1" applyBorder="1"/>
    <xf numFmtId="0" fontId="34" fillId="0" borderId="0" xfId="6" applyFont="1" applyBorder="1"/>
    <xf numFmtId="0" fontId="34" fillId="0" borderId="0" xfId="6" applyFont="1" applyBorder="1" applyAlignment="1">
      <alignment wrapText="1"/>
    </xf>
    <xf numFmtId="0" fontId="1" fillId="0" borderId="0" xfId="6" applyBorder="1" applyProtection="1"/>
    <xf numFmtId="170" fontId="34" fillId="0" borderId="7" xfId="6" applyNumberFormat="1" applyFont="1" applyBorder="1" applyProtection="1"/>
    <xf numFmtId="0" fontId="1" fillId="0" borderId="7" xfId="6" applyNumberFormat="1" applyBorder="1" applyProtection="1">
      <protection locked="0"/>
    </xf>
    <xf numFmtId="0" fontId="1" fillId="0" borderId="0" xfId="6" applyNumberFormat="1" applyBorder="1" applyProtection="1"/>
    <xf numFmtId="0" fontId="34" fillId="0" borderId="7" xfId="6" applyNumberFormat="1" applyFont="1" applyBorder="1" applyProtection="1">
      <protection locked="0"/>
    </xf>
    <xf numFmtId="170" fontId="20" fillId="2" borderId="0" xfId="0" applyNumberFormat="1" applyFont="1" applyFill="1"/>
    <xf numFmtId="41" fontId="20" fillId="2" borderId="0" xfId="0" applyNumberFormat="1" applyFont="1" applyFill="1" applyAlignment="1"/>
    <xf numFmtId="5" fontId="14" fillId="0" borderId="4" xfId="0" applyNumberFormat="1" applyFont="1" applyFill="1" applyBorder="1" applyAlignment="1">
      <alignment horizontal="right"/>
    </xf>
    <xf numFmtId="0" fontId="3" fillId="0" borderId="17" xfId="0" applyFont="1" applyFill="1" applyBorder="1" applyProtection="1"/>
    <xf numFmtId="0" fontId="14" fillId="0" borderId="0" xfId="0" applyFont="1" applyFill="1" applyAlignment="1" applyProtection="1">
      <alignment horizontal="right"/>
    </xf>
    <xf numFmtId="44" fontId="20" fillId="2" borderId="17" xfId="2" applyFont="1" applyFill="1" applyBorder="1" applyAlignment="1">
      <alignment horizontal="center"/>
    </xf>
    <xf numFmtId="0" fontId="20" fillId="0" borderId="7" xfId="0" applyFont="1" applyBorder="1" applyAlignment="1">
      <alignment horizontal="center"/>
    </xf>
    <xf numFmtId="9" fontId="14" fillId="2" borderId="8" xfId="7" applyFont="1" applyFill="1" applyBorder="1" applyAlignment="1">
      <alignment horizontal="right"/>
    </xf>
    <xf numFmtId="3" fontId="20" fillId="0" borderId="17" xfId="0" applyNumberFormat="1" applyFont="1" applyFill="1" applyBorder="1" applyAlignment="1">
      <alignment horizontal="center"/>
    </xf>
    <xf numFmtId="41" fontId="20" fillId="2" borderId="0" xfId="0" applyNumberFormat="1" applyFont="1" applyFill="1"/>
    <xf numFmtId="41" fontId="26" fillId="2" borderId="32" xfId="0" applyNumberFormat="1" applyFont="1" applyFill="1" applyBorder="1" applyProtection="1"/>
    <xf numFmtId="41" fontId="20" fillId="2" borderId="1" xfId="0" applyNumberFormat="1" applyFont="1" applyFill="1" applyBorder="1"/>
    <xf numFmtId="41" fontId="8" fillId="2" borderId="0" xfId="0" applyNumberFormat="1" applyFont="1" applyFill="1" applyBorder="1" applyProtection="1"/>
    <xf numFmtId="41" fontId="26" fillId="2" borderId="0" xfId="0" applyNumberFormat="1" applyFont="1" applyFill="1" applyBorder="1" applyProtection="1"/>
    <xf numFmtId="41" fontId="20" fillId="2" borderId="4" xfId="0" applyNumberFormat="1" applyFont="1" applyFill="1" applyBorder="1"/>
    <xf numFmtId="41" fontId="3" fillId="2" borderId="4" xfId="0" applyNumberFormat="1" applyFont="1" applyFill="1" applyBorder="1" applyProtection="1"/>
    <xf numFmtId="0" fontId="0" fillId="0" borderId="0" xfId="0" applyFill="1"/>
    <xf numFmtId="0" fontId="1" fillId="0" borderId="0" xfId="6" applyFill="1"/>
    <xf numFmtId="0" fontId="33" fillId="0" borderId="0" xfId="6" applyFont="1" applyFill="1"/>
    <xf numFmtId="0" fontId="34" fillId="0" borderId="0" xfId="6" applyFont="1" applyAlignment="1">
      <alignment horizontal="right"/>
    </xf>
    <xf numFmtId="0" fontId="34" fillId="0" borderId="0" xfId="6" applyFont="1" applyFill="1"/>
    <xf numFmtId="0" fontId="34" fillId="3" borderId="0" xfId="6" applyFont="1" applyFill="1"/>
    <xf numFmtId="0" fontId="14" fillId="0" borderId="0" xfId="6" applyFont="1"/>
    <xf numFmtId="0" fontId="14" fillId="0" borderId="0" xfId="6" applyFont="1" applyFill="1"/>
    <xf numFmtId="0" fontId="14" fillId="3" borderId="0" xfId="6" applyFont="1" applyFill="1"/>
    <xf numFmtId="0" fontId="1" fillId="0" borderId="0" xfId="6" applyFont="1" applyFill="1"/>
    <xf numFmtId="0" fontId="20" fillId="0" borderId="0" xfId="5" applyFont="1" applyFill="1" applyBorder="1" applyAlignment="1">
      <alignment horizontal="center" wrapText="1"/>
    </xf>
    <xf numFmtId="0" fontId="20" fillId="0" borderId="0" xfId="0" applyFont="1" applyAlignment="1">
      <alignment horizontal="center" wrapText="1"/>
    </xf>
    <xf numFmtId="0" fontId="20" fillId="0" borderId="0" xfId="5" applyFont="1" applyFill="1" applyBorder="1" applyAlignment="1">
      <alignment horizontal="center"/>
    </xf>
    <xf numFmtId="173" fontId="20" fillId="0" borderId="0" xfId="1" applyNumberFormat="1" applyFont="1" applyFill="1" applyBorder="1"/>
    <xf numFmtId="3" fontId="20" fillId="0" borderId="0" xfId="0" applyNumberFormat="1" applyFont="1" applyAlignment="1">
      <alignment horizontal="center"/>
    </xf>
    <xf numFmtId="0" fontId="14" fillId="4" borderId="31" xfId="5" applyFont="1" applyFill="1" applyBorder="1" applyAlignment="1">
      <alignment horizontal="center"/>
    </xf>
    <xf numFmtId="3" fontId="20" fillId="4" borderId="33" xfId="0" applyNumberFormat="1" applyFont="1" applyFill="1" applyBorder="1" applyAlignment="1">
      <alignment horizontal="center"/>
    </xf>
    <xf numFmtId="9" fontId="20" fillId="0" borderId="0" xfId="5" applyNumberFormat="1" applyFont="1" applyFill="1" applyBorder="1" applyAlignment="1">
      <alignment horizontal="center"/>
    </xf>
    <xf numFmtId="43" fontId="20" fillId="0" borderId="0" xfId="5" applyNumberFormat="1" applyFont="1" applyFill="1" applyBorder="1" applyAlignment="1">
      <alignment horizontal="center"/>
    </xf>
    <xf numFmtId="0" fontId="20" fillId="0" borderId="1" xfId="5" applyFont="1" applyFill="1" applyBorder="1" applyAlignment="1">
      <alignment horizontal="center" wrapText="1"/>
    </xf>
    <xf numFmtId="0" fontId="3" fillId="0" borderId="11" xfId="0" applyFont="1" applyFill="1" applyBorder="1" applyAlignment="1" applyProtection="1">
      <alignment horizontal="right"/>
    </xf>
    <xf numFmtId="173" fontId="20" fillId="0" borderId="1" xfId="1" applyNumberFormat="1" applyFont="1" applyFill="1" applyBorder="1"/>
    <xf numFmtId="0" fontId="20" fillId="0" borderId="34" xfId="0" applyFont="1" applyBorder="1" applyAlignment="1">
      <alignment horizontal="center"/>
    </xf>
    <xf numFmtId="0" fontId="20" fillId="0" borderId="1" xfId="0" applyFont="1" applyBorder="1" applyAlignment="1">
      <alignment horizontal="center"/>
    </xf>
    <xf numFmtId="0" fontId="20" fillId="0" borderId="10" xfId="0" applyFont="1" applyBorder="1"/>
    <xf numFmtId="0" fontId="20" fillId="4" borderId="2" xfId="5" applyFont="1" applyFill="1" applyBorder="1" applyAlignment="1">
      <alignment horizontal="center" wrapText="1"/>
    </xf>
    <xf numFmtId="0" fontId="20" fillId="0" borderId="3" xfId="5" applyFont="1" applyFill="1" applyBorder="1" applyAlignment="1">
      <alignment horizontal="right"/>
    </xf>
    <xf numFmtId="0" fontId="20" fillId="0" borderId="5" xfId="5" applyFont="1" applyFill="1" applyBorder="1" applyAlignment="1">
      <alignment horizontal="right"/>
    </xf>
    <xf numFmtId="0" fontId="20" fillId="0" borderId="11" xfId="5" applyFont="1" applyFill="1" applyBorder="1" applyAlignment="1">
      <alignment horizontal="center"/>
    </xf>
    <xf numFmtId="0" fontId="20" fillId="0" borderId="2" xfId="0" applyFont="1" applyBorder="1" applyAlignment="1">
      <alignment horizontal="left"/>
    </xf>
    <xf numFmtId="9" fontId="20" fillId="0" borderId="5" xfId="7" applyFont="1" applyFill="1" applyBorder="1" applyAlignment="1">
      <alignment horizontal="left"/>
    </xf>
    <xf numFmtId="0" fontId="20" fillId="0" borderId="6" xfId="0" applyFont="1" applyBorder="1" applyAlignment="1">
      <alignment horizontal="left"/>
    </xf>
    <xf numFmtId="0" fontId="20" fillId="2" borderId="17" xfId="0" applyFont="1" applyFill="1" applyBorder="1"/>
    <xf numFmtId="170" fontId="3" fillId="0" borderId="4" xfId="0" applyNumberFormat="1" applyFont="1" applyFill="1" applyBorder="1" applyProtection="1"/>
    <xf numFmtId="10" fontId="8" fillId="2" borderId="3" xfId="0" applyNumberFormat="1" applyFont="1" applyFill="1" applyBorder="1" applyProtection="1"/>
    <xf numFmtId="10" fontId="0" fillId="2" borderId="8" xfId="0" applyNumberFormat="1" applyFill="1" applyBorder="1"/>
    <xf numFmtId="5" fontId="20" fillId="0" borderId="0" xfId="0" applyNumberFormat="1" applyFont="1" applyFill="1" applyAlignment="1"/>
    <xf numFmtId="173" fontId="20" fillId="0" borderId="0" xfId="1" applyNumberFormat="1" applyFont="1" applyBorder="1" applyAlignment="1">
      <alignment horizontal="right"/>
    </xf>
    <xf numFmtId="5" fontId="20" fillId="0" borderId="0" xfId="0" quotePrefix="1" applyNumberFormat="1" applyFont="1" applyBorder="1" applyProtection="1"/>
    <xf numFmtId="0" fontId="20" fillId="0" borderId="0" xfId="0" applyFont="1" applyProtection="1"/>
    <xf numFmtId="5" fontId="20" fillId="0" borderId="1" xfId="0" applyNumberFormat="1" applyFont="1" applyFill="1" applyBorder="1" applyProtection="1"/>
    <xf numFmtId="2" fontId="20" fillId="0" borderId="0" xfId="0" applyNumberFormat="1" applyFont="1" applyBorder="1"/>
    <xf numFmtId="41" fontId="20" fillId="0" borderId="0" xfId="0" applyNumberFormat="1" applyFont="1" applyFill="1"/>
    <xf numFmtId="10" fontId="8" fillId="0" borderId="3" xfId="0" applyNumberFormat="1" applyFont="1" applyFill="1" applyBorder="1" applyProtection="1"/>
    <xf numFmtId="0" fontId="14" fillId="0" borderId="0" xfId="0" applyFont="1" applyFill="1"/>
    <xf numFmtId="0" fontId="14" fillId="0" borderId="0" xfId="5" applyFont="1" applyFill="1" applyBorder="1" applyAlignment="1">
      <alignment horizontal="left"/>
    </xf>
    <xf numFmtId="0" fontId="20" fillId="0" borderId="7" xfId="0" applyFont="1" applyFill="1" applyBorder="1"/>
    <xf numFmtId="0" fontId="14" fillId="0" borderId="0" xfId="0" applyFont="1" applyFill="1" applyAlignment="1">
      <alignment horizontal="center"/>
    </xf>
    <xf numFmtId="0" fontId="3" fillId="0" borderId="3" xfId="0" applyFont="1" applyFill="1" applyBorder="1" applyAlignment="1" applyProtection="1">
      <alignment horizontal="right"/>
    </xf>
    <xf numFmtId="173" fontId="8" fillId="0" borderId="0" xfId="1" applyNumberFormat="1" applyFont="1" applyFill="1" applyAlignment="1" applyProtection="1">
      <alignment horizontal="right"/>
    </xf>
    <xf numFmtId="164" fontId="3" fillId="0" borderId="0" xfId="0" applyNumberFormat="1" applyFont="1" applyFill="1" applyBorder="1" applyAlignment="1" applyProtection="1">
      <alignment horizontal="left"/>
    </xf>
    <xf numFmtId="0" fontId="8" fillId="0" borderId="3" xfId="0" applyFont="1" applyFill="1" applyBorder="1" applyAlignment="1" applyProtection="1">
      <alignment horizontal="right" indent="1"/>
    </xf>
    <xf numFmtId="41" fontId="8" fillId="0" borderId="3" xfId="0" applyNumberFormat="1" applyFont="1" applyFill="1" applyBorder="1" applyProtection="1"/>
    <xf numFmtId="0" fontId="8" fillId="0" borderId="21" xfId="0" applyFont="1" applyFill="1" applyBorder="1" applyProtection="1"/>
    <xf numFmtId="41" fontId="26" fillId="0" borderId="3" xfId="0" applyNumberFormat="1" applyFont="1" applyFill="1" applyBorder="1" applyProtection="1"/>
    <xf numFmtId="41" fontId="3" fillId="0" borderId="3" xfId="0" applyNumberFormat="1" applyFont="1" applyFill="1" applyBorder="1" applyProtection="1"/>
    <xf numFmtId="7" fontId="8" fillId="0" borderId="21" xfId="0" applyNumberFormat="1" applyFont="1" applyBorder="1" applyProtection="1"/>
    <xf numFmtId="0" fontId="8" fillId="0" borderId="21" xfId="0" applyFont="1" applyBorder="1" applyProtection="1"/>
    <xf numFmtId="9" fontId="20" fillId="2" borderId="8" xfId="7" applyFont="1" applyFill="1" applyBorder="1"/>
    <xf numFmtId="0" fontId="8" fillId="0" borderId="0" xfId="0" applyFont="1" applyFill="1" applyBorder="1" applyAlignment="1" applyProtection="1">
      <alignment horizontal="left" wrapText="1"/>
    </xf>
    <xf numFmtId="37" fontId="8" fillId="0" borderId="0" xfId="0" applyNumberFormat="1" applyFont="1" applyFill="1" applyBorder="1" applyAlignment="1" applyProtection="1">
      <alignment horizontal="center" wrapText="1"/>
    </xf>
    <xf numFmtId="7" fontId="8" fillId="0" borderId="0" xfId="0" applyNumberFormat="1" applyFont="1" applyFill="1" applyBorder="1" applyAlignment="1" applyProtection="1">
      <alignment horizontal="center" wrapText="1"/>
    </xf>
    <xf numFmtId="0" fontId="20" fillId="2" borderId="4" xfId="0" applyNumberFormat="1" applyFont="1" applyFill="1" applyBorder="1"/>
    <xf numFmtId="0" fontId="37" fillId="4" borderId="31" xfId="5" applyFont="1" applyFill="1" applyBorder="1" applyAlignment="1">
      <alignment horizontal="center"/>
    </xf>
    <xf numFmtId="173" fontId="3" fillId="0" borderId="1" xfId="0" applyNumberFormat="1" applyFont="1" applyFill="1" applyBorder="1" applyProtection="1"/>
    <xf numFmtId="173" fontId="3" fillId="0" borderId="6" xfId="0" applyNumberFormat="1" applyFont="1" applyFill="1" applyBorder="1" applyProtection="1"/>
    <xf numFmtId="0" fontId="20" fillId="4" borderId="0" xfId="5" applyFont="1" applyFill="1" applyBorder="1" applyAlignment="1">
      <alignment horizontal="center"/>
    </xf>
    <xf numFmtId="43" fontId="20" fillId="4" borderId="0" xfId="5" applyNumberFormat="1" applyFont="1" applyFill="1" applyBorder="1" applyAlignment="1">
      <alignment horizontal="center"/>
    </xf>
    <xf numFmtId="173" fontId="20" fillId="4" borderId="0" xfId="1" applyNumberFormat="1" applyFont="1" applyFill="1" applyBorder="1"/>
    <xf numFmtId="3" fontId="20" fillId="4" borderId="0" xfId="0" applyNumberFormat="1" applyFont="1" applyFill="1" applyAlignment="1">
      <alignment horizontal="center"/>
    </xf>
    <xf numFmtId="0" fontId="0" fillId="4" borderId="0" xfId="0" applyFill="1"/>
    <xf numFmtId="0" fontId="0" fillId="0" borderId="0" xfId="0" applyAlignment="1">
      <alignment horizontal="left" wrapText="1" indent="2"/>
    </xf>
    <xf numFmtId="0" fontId="0" fillId="0" borderId="0" xfId="0" applyAlignment="1">
      <alignment horizontal="left" indent="1"/>
    </xf>
    <xf numFmtId="0" fontId="38" fillId="0" borderId="0" xfId="0" applyFont="1"/>
    <xf numFmtId="0" fontId="20" fillId="0" borderId="0" xfId="0" applyFont="1" applyAlignment="1">
      <alignment horizontal="left" wrapText="1" indent="2"/>
    </xf>
    <xf numFmtId="169" fontId="0" fillId="0" borderId="0" xfId="0" applyNumberFormat="1"/>
    <xf numFmtId="0" fontId="14" fillId="4" borderId="0" xfId="0" applyFont="1" applyFill="1"/>
    <xf numFmtId="171" fontId="20" fillId="0" borderId="0" xfId="0" applyNumberFormat="1" applyFont="1" applyBorder="1" applyAlignment="1">
      <alignment horizontal="center"/>
    </xf>
    <xf numFmtId="170" fontId="8" fillId="0" borderId="0" xfId="0" applyNumberFormat="1" applyFont="1" applyProtection="1"/>
    <xf numFmtId="41" fontId="20" fillId="0" borderId="0" xfId="0" applyNumberFormat="1" applyFont="1" applyFill="1" applyBorder="1"/>
    <xf numFmtId="41" fontId="20" fillId="2" borderId="0" xfId="0" applyNumberFormat="1" applyFont="1" applyFill="1" applyBorder="1"/>
    <xf numFmtId="174" fontId="4" fillId="0" borderId="11" xfId="0" applyNumberFormat="1" applyFont="1" applyBorder="1" applyProtection="1"/>
    <xf numFmtId="5" fontId="0" fillId="0" borderId="21" xfId="0" applyNumberFormat="1" applyBorder="1"/>
    <xf numFmtId="43" fontId="0" fillId="0" borderId="21" xfId="1" applyFont="1" applyBorder="1"/>
    <xf numFmtId="173" fontId="4" fillId="0" borderId="0" xfId="1" applyNumberFormat="1" applyFont="1" applyProtection="1"/>
    <xf numFmtId="173" fontId="0" fillId="0" borderId="0" xfId="0" applyNumberFormat="1"/>
    <xf numFmtId="173" fontId="39" fillId="0" borderId="0" xfId="1" applyNumberFormat="1" applyFont="1"/>
    <xf numFmtId="173" fontId="39" fillId="0" borderId="0" xfId="1" applyNumberFormat="1" applyFont="1" applyProtection="1"/>
    <xf numFmtId="0" fontId="20" fillId="0" borderId="0" xfId="5" applyFont="1" applyFill="1" applyBorder="1" applyAlignment="1">
      <alignment horizontal="right"/>
    </xf>
    <xf numFmtId="0" fontId="20" fillId="0" borderId="1" xfId="0" applyFont="1" applyFill="1" applyBorder="1" applyAlignment="1">
      <alignment horizontal="center"/>
    </xf>
    <xf numFmtId="0" fontId="14" fillId="0" borderId="0" xfId="0" applyFont="1" applyAlignment="1">
      <alignment horizontal="left" indent="2"/>
    </xf>
    <xf numFmtId="7" fontId="9" fillId="0" borderId="1" xfId="0" applyNumberFormat="1" applyFont="1" applyBorder="1" applyProtection="1"/>
    <xf numFmtId="41" fontId="8" fillId="2" borderId="0" xfId="0" applyNumberFormat="1" applyFont="1" applyFill="1" applyAlignment="1" applyProtection="1"/>
    <xf numFmtId="173" fontId="20" fillId="0" borderId="0" xfId="1" applyNumberFormat="1" applyFont="1" applyFill="1"/>
    <xf numFmtId="41" fontId="3" fillId="2" borderId="22" xfId="0" applyNumberFormat="1" applyFont="1" applyFill="1" applyBorder="1" applyProtection="1"/>
    <xf numFmtId="0" fontId="40" fillId="0" borderId="3" xfId="0" applyFont="1" applyBorder="1"/>
    <xf numFmtId="0" fontId="24" fillId="0" borderId="3" xfId="0" applyFont="1" applyBorder="1"/>
    <xf numFmtId="168" fontId="4" fillId="2" borderId="18" xfId="0" applyNumberFormat="1" applyFont="1" applyFill="1" applyBorder="1" applyProtection="1"/>
    <xf numFmtId="0" fontId="16" fillId="0" borderId="24" xfId="0" applyFont="1" applyFill="1" applyBorder="1"/>
    <xf numFmtId="0" fontId="39" fillId="0" borderId="24" xfId="0" applyFont="1" applyBorder="1"/>
    <xf numFmtId="173" fontId="0" fillId="2" borderId="8" xfId="1" applyNumberFormat="1" applyFont="1" applyFill="1" applyBorder="1"/>
    <xf numFmtId="173" fontId="0" fillId="4" borderId="20" xfId="1" applyNumberFormat="1" applyFont="1" applyFill="1" applyBorder="1"/>
    <xf numFmtId="0" fontId="0" fillId="4" borderId="20" xfId="0" applyFill="1" applyBorder="1"/>
    <xf numFmtId="171" fontId="20" fillId="0" borderId="0" xfId="0" applyNumberFormat="1" applyFont="1" applyFill="1" applyBorder="1" applyAlignment="1">
      <alignment horizontal="center"/>
    </xf>
    <xf numFmtId="169" fontId="4" fillId="0" borderId="0" xfId="0" applyNumberFormat="1" applyFont="1" applyFill="1" applyBorder="1" applyProtection="1"/>
    <xf numFmtId="170" fontId="0" fillId="0" borderId="0" xfId="0" applyNumberFormat="1" applyFill="1" applyBorder="1"/>
    <xf numFmtId="170" fontId="0" fillId="0" borderId="11" xfId="0" applyNumberFormat="1" applyFill="1" applyBorder="1"/>
    <xf numFmtId="0" fontId="44" fillId="0" borderId="0" xfId="0" applyFont="1" applyFill="1" applyBorder="1" applyAlignment="1">
      <alignment horizontal="center" wrapText="1"/>
    </xf>
    <xf numFmtId="0" fontId="44" fillId="0" borderId="0" xfId="0" applyFont="1" applyFill="1" applyBorder="1"/>
    <xf numFmtId="37" fontId="37" fillId="0" borderId="0" xfId="0" applyNumberFormat="1" applyFont="1" applyFill="1" applyBorder="1"/>
    <xf numFmtId="3" fontId="37" fillId="0" borderId="0" xfId="0" applyNumberFormat="1" applyFont="1" applyFill="1" applyBorder="1"/>
    <xf numFmtId="0" fontId="37" fillId="0" borderId="0" xfId="0" applyFont="1" applyFill="1" applyBorder="1"/>
    <xf numFmtId="0" fontId="34" fillId="0" borderId="0" xfId="6" applyFont="1" applyBorder="1" applyAlignment="1">
      <alignment horizontal="left" indent="1"/>
    </xf>
    <xf numFmtId="0" fontId="2" fillId="0" borderId="0" xfId="0" applyFont="1"/>
    <xf numFmtId="0" fontId="34" fillId="0" borderId="0" xfId="0" applyFont="1"/>
    <xf numFmtId="0" fontId="2" fillId="0" borderId="0" xfId="6" applyFont="1"/>
    <xf numFmtId="0" fontId="1" fillId="0" borderId="7" xfId="6" applyBorder="1"/>
    <xf numFmtId="0" fontId="1" fillId="0" borderId="31" xfId="6" applyBorder="1"/>
    <xf numFmtId="0" fontId="4" fillId="0" borderId="4" xfId="0" applyFont="1" applyBorder="1" applyProtection="1"/>
    <xf numFmtId="173" fontId="14" fillId="5" borderId="9" xfId="1" applyNumberFormat="1" applyFont="1" applyFill="1" applyBorder="1"/>
    <xf numFmtId="173" fontId="14" fillId="5" borderId="11" xfId="1" applyNumberFormat="1" applyFont="1" applyFill="1" applyBorder="1"/>
    <xf numFmtId="0" fontId="20" fillId="5" borderId="8" xfId="0" applyFont="1" applyFill="1" applyBorder="1" applyAlignment="1">
      <alignment horizontal="center"/>
    </xf>
    <xf numFmtId="0" fontId="20" fillId="5" borderId="35" xfId="0" applyFont="1" applyFill="1" applyBorder="1" applyAlignment="1">
      <alignment horizontal="center"/>
    </xf>
    <xf numFmtId="0" fontId="20" fillId="5" borderId="36" xfId="0" applyFont="1" applyFill="1" applyBorder="1" applyAlignment="1">
      <alignment horizontal="center"/>
    </xf>
    <xf numFmtId="0" fontId="20" fillId="5" borderId="37" xfId="0" applyFont="1" applyFill="1" applyBorder="1" applyAlignment="1">
      <alignment horizontal="center"/>
    </xf>
    <xf numFmtId="3" fontId="20" fillId="5" borderId="8" xfId="0" applyNumberFormat="1" applyFont="1" applyFill="1" applyBorder="1" applyAlignment="1">
      <alignment horizontal="center"/>
    </xf>
    <xf numFmtId="3" fontId="20" fillId="5" borderId="0" xfId="0" applyNumberFormat="1" applyFont="1" applyFill="1" applyAlignment="1">
      <alignment horizontal="center"/>
    </xf>
    <xf numFmtId="0" fontId="20" fillId="5" borderId="0" xfId="0" applyFont="1" applyFill="1" applyAlignment="1">
      <alignment horizontal="center"/>
    </xf>
    <xf numFmtId="0" fontId="20" fillId="5" borderId="7" xfId="0" applyFont="1" applyFill="1" applyBorder="1" applyAlignment="1">
      <alignment horizontal="center"/>
    </xf>
    <xf numFmtId="0" fontId="20" fillId="5" borderId="0" xfId="5" applyFont="1" applyFill="1" applyBorder="1" applyAlignment="1">
      <alignment horizontal="center" wrapText="1"/>
    </xf>
    <xf numFmtId="0" fontId="20" fillId="5" borderId="8" xfId="5" applyFont="1" applyFill="1" applyBorder="1" applyAlignment="1">
      <alignment horizontal="center" wrapText="1"/>
    </xf>
    <xf numFmtId="0" fontId="0" fillId="0" borderId="0" xfId="0" applyFill="1" applyBorder="1" applyAlignment="1">
      <alignment horizontal="center"/>
    </xf>
    <xf numFmtId="0" fontId="4" fillId="0" borderId="4" xfId="0" applyFont="1" applyFill="1" applyBorder="1" applyProtection="1"/>
    <xf numFmtId="0" fontId="0" fillId="0" borderId="20" xfId="7" applyNumberFormat="1" applyFont="1" applyBorder="1"/>
    <xf numFmtId="0" fontId="0" fillId="0" borderId="24" xfId="0" applyBorder="1"/>
    <xf numFmtId="173" fontId="0" fillId="0" borderId="25" xfId="0" applyNumberFormat="1" applyBorder="1"/>
    <xf numFmtId="0" fontId="0" fillId="0" borderId="20" xfId="0" applyNumberFormat="1" applyBorder="1"/>
    <xf numFmtId="9" fontId="0" fillId="2" borderId="8" xfId="0" applyNumberFormat="1" applyFill="1" applyBorder="1"/>
    <xf numFmtId="10" fontId="39" fillId="2" borderId="25" xfId="0" applyNumberFormat="1" applyFont="1" applyFill="1" applyBorder="1"/>
    <xf numFmtId="169" fontId="4" fillId="0" borderId="0" xfId="2" applyNumberFormat="1" applyFont="1" applyFill="1" applyAlignment="1" applyProtection="1">
      <alignment horizontal="right"/>
    </xf>
    <xf numFmtId="0" fontId="4" fillId="0" borderId="3" xfId="0" applyFont="1" applyFill="1" applyBorder="1" applyAlignment="1" applyProtection="1">
      <alignment horizontal="right"/>
    </xf>
    <xf numFmtId="173" fontId="8" fillId="0" borderId="0" xfId="1" applyNumberFormat="1" applyFont="1" applyBorder="1" applyProtection="1"/>
    <xf numFmtId="41" fontId="20" fillId="2" borderId="42" xfId="0" applyNumberFormat="1" applyFont="1" applyFill="1" applyBorder="1" applyAlignment="1"/>
    <xf numFmtId="41" fontId="8" fillId="2" borderId="42" xfId="0" applyNumberFormat="1" applyFont="1" applyFill="1" applyBorder="1" applyProtection="1"/>
    <xf numFmtId="41" fontId="20" fillId="2" borderId="42" xfId="0" applyNumberFormat="1" applyFont="1" applyFill="1" applyBorder="1"/>
    <xf numFmtId="41" fontId="20" fillId="2" borderId="42" xfId="0" applyNumberFormat="1" applyFont="1" applyFill="1" applyBorder="1" applyAlignment="1">
      <alignment horizontal="right"/>
    </xf>
    <xf numFmtId="41" fontId="26" fillId="2" borderId="43" xfId="0" applyNumberFormat="1" applyFont="1" applyFill="1" applyBorder="1" applyProtection="1"/>
    <xf numFmtId="41" fontId="8" fillId="2" borderId="3" xfId="0" applyNumberFormat="1" applyFont="1" applyFill="1" applyBorder="1" applyProtection="1"/>
    <xf numFmtId="0" fontId="20" fillId="2" borderId="0" xfId="0" applyNumberFormat="1" applyFont="1" applyFill="1"/>
    <xf numFmtId="0" fontId="4" fillId="0" borderId="0" xfId="0" applyNumberFormat="1" applyFont="1" applyFill="1" applyBorder="1" applyProtection="1"/>
    <xf numFmtId="0" fontId="21" fillId="0" borderId="11" xfId="0" applyNumberFormat="1" applyFont="1" applyBorder="1" applyAlignment="1" applyProtection="1">
      <protection locked="0"/>
    </xf>
    <xf numFmtId="0" fontId="16" fillId="0" borderId="0" xfId="0" applyFont="1" applyAlignment="1">
      <alignment horizontal="center"/>
    </xf>
    <xf numFmtId="0" fontId="16" fillId="4" borderId="9" xfId="5" applyFont="1" applyFill="1" applyBorder="1" applyAlignment="1">
      <alignment horizontal="center" wrapText="1"/>
    </xf>
    <xf numFmtId="3" fontId="20" fillId="0" borderId="0" xfId="0" applyNumberFormat="1" applyFont="1" applyBorder="1" applyAlignment="1">
      <alignment horizontal="center"/>
    </xf>
    <xf numFmtId="0" fontId="43" fillId="0" borderId="0" xfId="0" applyFont="1" applyBorder="1"/>
    <xf numFmtId="9" fontId="20" fillId="0" borderId="0" xfId="0" applyNumberFormat="1" applyFont="1" applyBorder="1" applyAlignment="1">
      <alignment horizontal="center" vertical="center"/>
    </xf>
    <xf numFmtId="0" fontId="16" fillId="0" borderId="0" xfId="0" applyFont="1" applyBorder="1" applyAlignment="1">
      <alignment horizontal="center" vertical="center" wrapText="1"/>
    </xf>
    <xf numFmtId="0" fontId="3" fillId="0" borderId="44" xfId="0" applyFont="1" applyFill="1" applyBorder="1" applyProtection="1"/>
    <xf numFmtId="0" fontId="20" fillId="0" borderId="45" xfId="0" applyFont="1" applyFill="1" applyBorder="1"/>
    <xf numFmtId="0" fontId="3" fillId="0" borderId="45" xfId="0" applyFont="1" applyFill="1" applyBorder="1" applyAlignment="1" applyProtection="1">
      <alignment horizontal="right"/>
    </xf>
    <xf numFmtId="0" fontId="3" fillId="0" borderId="45" xfId="0" applyFont="1" applyFill="1" applyBorder="1" applyProtection="1"/>
    <xf numFmtId="169" fontId="3" fillId="0" borderId="45" xfId="0" applyNumberFormat="1" applyFont="1" applyFill="1" applyBorder="1" applyProtection="1"/>
    <xf numFmtId="0" fontId="20" fillId="0" borderId="45" xfId="0" applyFont="1" applyBorder="1"/>
    <xf numFmtId="0" fontId="20" fillId="0" borderId="46" xfId="0" applyFont="1" applyBorder="1"/>
    <xf numFmtId="0" fontId="0" fillId="0" borderId="47" xfId="0" applyBorder="1"/>
    <xf numFmtId="0" fontId="0" fillId="0" borderId="48" xfId="0" applyBorder="1"/>
    <xf numFmtId="0" fontId="0" fillId="0" borderId="49" xfId="0" applyBorder="1" applyAlignment="1">
      <alignment horizontal="center"/>
    </xf>
    <xf numFmtId="0" fontId="0" fillId="0" borderId="50" xfId="0" applyBorder="1" applyAlignment="1">
      <alignment horizontal="center"/>
    </xf>
    <xf numFmtId="0" fontId="0" fillId="0" borderId="51" xfId="0" applyBorder="1" applyAlignment="1">
      <alignment horizontal="center"/>
    </xf>
    <xf numFmtId="0" fontId="20" fillId="0" borderId="52" xfId="0" applyFont="1" applyBorder="1" applyAlignment="1">
      <alignment horizontal="center"/>
    </xf>
    <xf numFmtId="9" fontId="20" fillId="0" borderId="53" xfId="0" applyNumberFormat="1" applyFont="1" applyBorder="1" applyAlignment="1">
      <alignment horizontal="center"/>
    </xf>
    <xf numFmtId="0" fontId="20" fillId="0" borderId="54" xfId="0" applyFont="1" applyBorder="1" applyAlignment="1">
      <alignment horizontal="center"/>
    </xf>
    <xf numFmtId="9" fontId="20" fillId="0" borderId="55" xfId="0" applyNumberFormat="1" applyFont="1" applyBorder="1" applyAlignment="1">
      <alignment horizontal="center"/>
    </xf>
    <xf numFmtId="3" fontId="20" fillId="0" borderId="54" xfId="0" applyNumberFormat="1" applyFont="1" applyBorder="1" applyAlignment="1">
      <alignment horizontal="center"/>
    </xf>
    <xf numFmtId="0" fontId="20" fillId="0" borderId="56" xfId="0" applyFont="1" applyBorder="1" applyAlignment="1">
      <alignment horizontal="center"/>
    </xf>
    <xf numFmtId="9" fontId="20" fillId="0" borderId="57" xfId="0" applyNumberFormat="1" applyFont="1" applyBorder="1" applyAlignment="1">
      <alignment horizontal="center"/>
    </xf>
    <xf numFmtId="0" fontId="20" fillId="0" borderId="58" xfId="0" applyFont="1" applyBorder="1" applyAlignment="1">
      <alignment horizontal="center"/>
    </xf>
    <xf numFmtId="9" fontId="16" fillId="0" borderId="59" xfId="0" applyNumberFormat="1" applyFont="1" applyFill="1" applyBorder="1" applyAlignment="1">
      <alignment horizontal="center"/>
    </xf>
    <xf numFmtId="0" fontId="20" fillId="0" borderId="59" xfId="0" applyFont="1" applyBorder="1" applyAlignment="1">
      <alignment horizontal="center"/>
    </xf>
    <xf numFmtId="0" fontId="20" fillId="0" borderId="60" xfId="0" applyFont="1" applyBorder="1" applyAlignment="1">
      <alignment horizontal="center"/>
    </xf>
    <xf numFmtId="0" fontId="20" fillId="2" borderId="17" xfId="0" applyFont="1" applyFill="1" applyBorder="1" applyAlignment="1">
      <alignment horizontal="center"/>
    </xf>
    <xf numFmtId="1" fontId="20" fillId="0" borderId="0" xfId="0" applyNumberFormat="1" applyFont="1" applyFill="1" applyBorder="1" applyAlignment="1">
      <alignment horizontal="center"/>
    </xf>
    <xf numFmtId="1" fontId="3" fillId="0" borderId="0" xfId="0" applyNumberFormat="1" applyFont="1" applyFill="1" applyBorder="1" applyAlignment="1" applyProtection="1">
      <alignment horizontal="center"/>
    </xf>
    <xf numFmtId="1" fontId="20" fillId="2" borderId="17" xfId="0" applyNumberFormat="1" applyFont="1" applyFill="1" applyBorder="1" applyAlignment="1">
      <alignment horizontal="center"/>
    </xf>
    <xf numFmtId="3" fontId="8" fillId="0" borderId="0" xfId="0" applyNumberFormat="1" applyFont="1" applyFill="1" applyBorder="1" applyAlignment="1" applyProtection="1">
      <alignment horizontal="center"/>
    </xf>
    <xf numFmtId="3" fontId="3" fillId="0" borderId="0" xfId="0" applyNumberFormat="1" applyFont="1" applyFill="1" applyBorder="1" applyAlignment="1" applyProtection="1">
      <alignment horizontal="center"/>
    </xf>
    <xf numFmtId="3" fontId="44" fillId="0" borderId="33" xfId="0" applyNumberFormat="1" applyFont="1" applyFill="1" applyBorder="1" applyAlignment="1">
      <alignment horizontal="center"/>
    </xf>
    <xf numFmtId="9" fontId="20" fillId="0" borderId="61" xfId="0" applyNumberFormat="1" applyFont="1" applyFill="1" applyBorder="1" applyAlignment="1">
      <alignment horizontal="center"/>
    </xf>
    <xf numFmtId="9" fontId="20" fillId="2" borderId="61" xfId="0" applyNumberFormat="1" applyFont="1" applyFill="1" applyBorder="1" applyAlignment="1">
      <alignment horizontal="center"/>
    </xf>
    <xf numFmtId="2" fontId="20" fillId="0" borderId="0" xfId="0" applyNumberFormat="1" applyFont="1"/>
    <xf numFmtId="1" fontId="4" fillId="0" borderId="17" xfId="0" applyNumberFormat="1" applyFont="1" applyBorder="1" applyAlignment="1" applyProtection="1">
      <alignment horizontal="center"/>
    </xf>
    <xf numFmtId="1" fontId="16" fillId="5" borderId="10" xfId="7" applyNumberFormat="1" applyFont="1" applyFill="1" applyBorder="1" applyAlignment="1">
      <alignment horizontal="right"/>
    </xf>
    <xf numFmtId="0" fontId="47" fillId="0" borderId="0" xfId="0" applyFont="1" applyFill="1" applyBorder="1"/>
    <xf numFmtId="0" fontId="11" fillId="0" borderId="5" xfId="0" applyFont="1" applyBorder="1" applyAlignment="1" applyProtection="1">
      <alignment vertical="center"/>
    </xf>
    <xf numFmtId="0" fontId="4" fillId="0" borderId="11" xfId="0" applyFont="1" applyBorder="1" applyAlignment="1" applyProtection="1">
      <alignment vertical="center"/>
    </xf>
    <xf numFmtId="0" fontId="3" fillId="0" borderId="11" xfId="0" applyFont="1" applyBorder="1" applyAlignment="1" applyProtection="1">
      <alignment horizontal="right" vertical="center"/>
    </xf>
    <xf numFmtId="0" fontId="4" fillId="0" borderId="6" xfId="0" applyFont="1" applyBorder="1" applyAlignment="1" applyProtection="1">
      <alignment vertical="center"/>
    </xf>
    <xf numFmtId="0" fontId="4" fillId="0" borderId="0" xfId="0" applyFont="1" applyBorder="1" applyAlignment="1" applyProtection="1">
      <alignment vertical="center"/>
    </xf>
    <xf numFmtId="0" fontId="0" fillId="0" borderId="0" xfId="0" applyBorder="1" applyAlignment="1">
      <alignment vertical="center"/>
    </xf>
    <xf numFmtId="0" fontId="4" fillId="0" borderId="3" xfId="0" applyFont="1" applyBorder="1" applyAlignment="1" applyProtection="1">
      <alignment vertical="center"/>
    </xf>
    <xf numFmtId="169" fontId="0" fillId="0" borderId="0" xfId="2" applyNumberFormat="1" applyFont="1" applyBorder="1" applyAlignment="1">
      <alignment vertical="center"/>
    </xf>
    <xf numFmtId="5" fontId="4" fillId="2" borderId="38" xfId="0" applyNumberFormat="1" applyFont="1" applyFill="1" applyBorder="1" applyAlignment="1" applyProtection="1">
      <alignment vertical="center"/>
    </xf>
    <xf numFmtId="0" fontId="4" fillId="0" borderId="1" xfId="0" applyFont="1" applyBorder="1" applyAlignment="1" applyProtection="1">
      <alignment vertical="center"/>
    </xf>
    <xf numFmtId="5" fontId="4" fillId="0" borderId="0" xfId="0" applyNumberFormat="1" applyFont="1" applyBorder="1" applyAlignment="1" applyProtection="1">
      <alignment vertical="center"/>
    </xf>
    <xf numFmtId="6" fontId="0" fillId="0" borderId="0" xfId="0" applyNumberFormat="1" applyBorder="1" applyAlignment="1">
      <alignment vertical="center"/>
    </xf>
    <xf numFmtId="5" fontId="16" fillId="2" borderId="20" xfId="0" applyNumberFormat="1" applyFont="1" applyFill="1" applyBorder="1" applyAlignment="1" applyProtection="1">
      <alignment vertical="center"/>
    </xf>
    <xf numFmtId="5" fontId="4" fillId="2" borderId="20" xfId="0" applyNumberFormat="1" applyFont="1" applyFill="1" applyBorder="1" applyAlignment="1" applyProtection="1">
      <alignment vertical="center"/>
    </xf>
    <xf numFmtId="5" fontId="0" fillId="0" borderId="0" xfId="0" applyNumberFormat="1" applyBorder="1" applyAlignment="1">
      <alignment vertical="center"/>
    </xf>
    <xf numFmtId="0" fontId="12" fillId="0" borderId="3" xfId="0" applyFont="1" applyBorder="1" applyAlignment="1" applyProtection="1">
      <alignment vertical="center"/>
    </xf>
    <xf numFmtId="0" fontId="12" fillId="0" borderId="0" xfId="0" applyFont="1" applyBorder="1" applyAlignment="1" applyProtection="1">
      <alignment vertical="center"/>
    </xf>
    <xf numFmtId="5" fontId="0" fillId="0" borderId="0" xfId="2" applyNumberFormat="1" applyFont="1" applyBorder="1" applyAlignment="1">
      <alignment vertical="center"/>
    </xf>
    <xf numFmtId="5" fontId="4" fillId="0" borderId="20" xfId="7" applyNumberFormat="1" applyFont="1" applyBorder="1" applyAlignment="1" applyProtection="1">
      <alignment vertical="center"/>
    </xf>
    <xf numFmtId="4" fontId="12" fillId="0" borderId="10" xfId="0" applyNumberFormat="1" applyFont="1" applyBorder="1" applyAlignment="1" applyProtection="1">
      <alignment vertical="center"/>
    </xf>
    <xf numFmtId="6" fontId="0" fillId="0" borderId="9" xfId="0" applyNumberFormat="1" applyBorder="1" applyAlignment="1">
      <alignment vertical="center"/>
    </xf>
    <xf numFmtId="4" fontId="4" fillId="0" borderId="2" xfId="0" applyNumberFormat="1" applyFont="1" applyBorder="1" applyAlignment="1" applyProtection="1">
      <alignment vertical="center"/>
    </xf>
    <xf numFmtId="0" fontId="0" fillId="0" borderId="11" xfId="0" applyBorder="1" applyAlignment="1">
      <alignment vertical="center"/>
    </xf>
    <xf numFmtId="4" fontId="4" fillId="0" borderId="3" xfId="0" applyNumberFormat="1" applyFont="1" applyBorder="1" applyAlignment="1" applyProtection="1">
      <alignment vertical="center"/>
    </xf>
    <xf numFmtId="0" fontId="0" fillId="0" borderId="62" xfId="0" applyBorder="1" applyAlignment="1">
      <alignment vertical="center"/>
    </xf>
    <xf numFmtId="0" fontId="16" fillId="0" borderId="63" xfId="0" applyFont="1" applyBorder="1" applyAlignment="1">
      <alignment horizontal="center" vertical="center"/>
    </xf>
    <xf numFmtId="0" fontId="0" fillId="0" borderId="64" xfId="0" applyBorder="1" applyAlignment="1">
      <alignment vertical="center"/>
    </xf>
    <xf numFmtId="0" fontId="4" fillId="0" borderId="3" xfId="0" applyFont="1" applyBorder="1" applyAlignment="1" applyProtection="1">
      <alignment horizontal="right" vertical="center"/>
    </xf>
    <xf numFmtId="0" fontId="4" fillId="2" borderId="17" xfId="0" applyFont="1" applyFill="1" applyBorder="1" applyAlignment="1" applyProtection="1">
      <alignment horizontal="center" vertical="center"/>
    </xf>
    <xf numFmtId="4" fontId="0" fillId="0" borderId="3" xfId="0" applyNumberFormat="1" applyBorder="1" applyAlignment="1">
      <alignment vertical="center"/>
    </xf>
    <xf numFmtId="0" fontId="4" fillId="0" borderId="47" xfId="0" applyFont="1" applyBorder="1" applyAlignment="1" applyProtection="1">
      <alignment horizontal="right" vertical="center"/>
    </xf>
    <xf numFmtId="6" fontId="0" fillId="0" borderId="0" xfId="0" applyNumberFormat="1" applyBorder="1" applyAlignment="1">
      <alignment horizontal="center" vertical="center"/>
    </xf>
    <xf numFmtId="0" fontId="4" fillId="0" borderId="58" xfId="0" applyFont="1" applyBorder="1" applyAlignment="1" applyProtection="1">
      <alignment vertical="center"/>
    </xf>
    <xf numFmtId="0" fontId="4" fillId="0" borderId="48" xfId="0" applyFont="1" applyBorder="1" applyAlignment="1" applyProtection="1">
      <alignment horizontal="right" vertical="center"/>
    </xf>
    <xf numFmtId="6" fontId="0" fillId="0" borderId="59" xfId="0" applyNumberFormat="1" applyBorder="1" applyAlignment="1">
      <alignment horizontal="center" vertical="center"/>
    </xf>
    <xf numFmtId="0" fontId="4" fillId="0" borderId="60" xfId="0" applyFont="1" applyBorder="1" applyAlignment="1" applyProtection="1">
      <alignment vertical="center"/>
    </xf>
    <xf numFmtId="0" fontId="4" fillId="0" borderId="0" xfId="0" applyFont="1" applyFill="1" applyBorder="1" applyAlignment="1" applyProtection="1">
      <alignment horizontal="center" vertical="center"/>
    </xf>
    <xf numFmtId="4" fontId="25" fillId="0" borderId="5" xfId="0" applyNumberFormat="1" applyFont="1" applyBorder="1" applyAlignment="1" applyProtection="1">
      <alignment vertical="center"/>
    </xf>
    <xf numFmtId="0" fontId="4" fillId="0" borderId="0" xfId="0" applyFont="1" applyBorder="1" applyAlignment="1" applyProtection="1">
      <alignment horizontal="right" vertical="center"/>
    </xf>
    <xf numFmtId="169" fontId="4" fillId="0" borderId="0" xfId="2" applyNumberFormat="1" applyFont="1" applyBorder="1" applyAlignment="1" applyProtection="1">
      <alignment vertical="center"/>
    </xf>
    <xf numFmtId="10" fontId="16" fillId="2" borderId="20" xfId="0" applyNumberFormat="1" applyFont="1" applyFill="1" applyBorder="1" applyAlignment="1" applyProtection="1">
      <alignment horizontal="right" vertical="center"/>
    </xf>
    <xf numFmtId="9" fontId="0" fillId="0" borderId="0" xfId="0" applyNumberFormat="1" applyBorder="1" applyAlignment="1">
      <alignment vertical="center"/>
    </xf>
    <xf numFmtId="0" fontId="25" fillId="0" borderId="0" xfId="0" applyFont="1" applyBorder="1" applyAlignment="1" applyProtection="1">
      <alignment vertical="center"/>
    </xf>
    <xf numFmtId="9" fontId="12" fillId="0" borderId="0" xfId="0" applyNumberFormat="1" applyFont="1" applyBorder="1" applyAlignment="1" applyProtection="1">
      <alignment vertical="center"/>
    </xf>
    <xf numFmtId="169" fontId="16" fillId="0" borderId="0" xfId="2" applyNumberFormat="1" applyFont="1" applyFill="1" applyBorder="1" applyAlignment="1">
      <alignment vertical="center"/>
    </xf>
    <xf numFmtId="10" fontId="12" fillId="0" borderId="0" xfId="0" applyNumberFormat="1" applyFont="1" applyBorder="1" applyAlignment="1" applyProtection="1">
      <alignment vertical="center"/>
    </xf>
    <xf numFmtId="9" fontId="4" fillId="0" borderId="0" xfId="0" applyNumberFormat="1" applyFont="1" applyBorder="1" applyAlignment="1" applyProtection="1">
      <alignment vertical="center"/>
    </xf>
    <xf numFmtId="0" fontId="0" fillId="2" borderId="0" xfId="0" applyFill="1" applyBorder="1" applyAlignment="1">
      <alignment vertical="center"/>
    </xf>
    <xf numFmtId="0" fontId="3" fillId="0" borderId="9" xfId="0" applyFont="1" applyBorder="1" applyAlignment="1" applyProtection="1">
      <alignment vertical="center"/>
    </xf>
    <xf numFmtId="0" fontId="0" fillId="0" borderId="9" xfId="0" applyBorder="1" applyAlignment="1">
      <alignment vertical="center"/>
    </xf>
    <xf numFmtId="169" fontId="0" fillId="0" borderId="0" xfId="2" applyNumberFormat="1" applyFont="1" applyFill="1" applyBorder="1" applyAlignment="1">
      <alignment vertical="center"/>
    </xf>
    <xf numFmtId="0" fontId="0" fillId="0" borderId="0" xfId="0" applyFill="1" applyBorder="1" applyAlignment="1">
      <alignment vertical="center"/>
    </xf>
    <xf numFmtId="0" fontId="12" fillId="0" borderId="0" xfId="0" applyFont="1" applyFill="1" applyBorder="1" applyAlignment="1" applyProtection="1">
      <alignment vertical="center"/>
    </xf>
    <xf numFmtId="6" fontId="0" fillId="0" borderId="0" xfId="0" applyNumberFormat="1" applyFill="1" applyBorder="1" applyAlignment="1">
      <alignment vertical="center"/>
    </xf>
    <xf numFmtId="0" fontId="4" fillId="0" borderId="0" xfId="0" applyFont="1" applyFill="1" applyBorder="1" applyAlignment="1" applyProtection="1">
      <alignment vertical="center"/>
    </xf>
    <xf numFmtId="0" fontId="3" fillId="0" borderId="3" xfId="0" applyFont="1" applyBorder="1" applyAlignment="1" applyProtection="1">
      <alignment vertical="center"/>
    </xf>
    <xf numFmtId="169" fontId="3" fillId="0" borderId="0" xfId="0" applyNumberFormat="1" applyFont="1" applyBorder="1" applyAlignment="1" applyProtection="1">
      <alignment vertical="center"/>
    </xf>
    <xf numFmtId="0" fontId="3" fillId="0" borderId="1" xfId="0" applyFont="1" applyBorder="1" applyAlignment="1" applyProtection="1">
      <alignment vertical="center"/>
    </xf>
    <xf numFmtId="0" fontId="0" fillId="0" borderId="3" xfId="0" applyBorder="1" applyAlignment="1">
      <alignment vertical="center"/>
    </xf>
    <xf numFmtId="5" fontId="3" fillId="0" borderId="0" xfId="0" applyNumberFormat="1" applyFont="1" applyBorder="1" applyAlignment="1" applyProtection="1">
      <alignment vertical="center"/>
    </xf>
    <xf numFmtId="7" fontId="4" fillId="0" borderId="0" xfId="0" applyNumberFormat="1" applyFont="1" applyBorder="1" applyAlignment="1" applyProtection="1">
      <alignment vertical="center"/>
    </xf>
    <xf numFmtId="5" fontId="4" fillId="0" borderId="3" xfId="0" applyNumberFormat="1" applyFont="1" applyBorder="1" applyAlignment="1" applyProtection="1">
      <alignment vertical="center"/>
    </xf>
    <xf numFmtId="0" fontId="23" fillId="0" borderId="1" xfId="0" applyFont="1" applyBorder="1" applyAlignment="1" applyProtection="1">
      <alignment vertical="center"/>
    </xf>
    <xf numFmtId="5" fontId="4" fillId="2" borderId="17" xfId="0" applyNumberFormat="1" applyFont="1" applyFill="1" applyBorder="1" applyAlignment="1" applyProtection="1">
      <alignment vertical="center"/>
    </xf>
    <xf numFmtId="7" fontId="4" fillId="0" borderId="3" xfId="0" applyNumberFormat="1" applyFont="1" applyBorder="1" applyAlignment="1" applyProtection="1">
      <alignment vertical="center"/>
    </xf>
    <xf numFmtId="0" fontId="4" fillId="0" borderId="5" xfId="0" applyFont="1" applyBorder="1" applyAlignment="1" applyProtection="1">
      <alignment vertical="center"/>
    </xf>
    <xf numFmtId="5" fontId="3" fillId="0" borderId="11" xfId="0" applyNumberFormat="1" applyFont="1" applyBorder="1" applyAlignment="1" applyProtection="1">
      <alignment vertical="center"/>
    </xf>
    <xf numFmtId="0" fontId="3" fillId="0" borderId="6" xfId="0" applyFont="1" applyBorder="1" applyAlignment="1" applyProtection="1">
      <alignment vertical="center"/>
    </xf>
    <xf numFmtId="0" fontId="20" fillId="0" borderId="0" xfId="0" applyFont="1" applyAlignment="1">
      <alignment horizontal="left" wrapText="1" indent="2"/>
    </xf>
    <xf numFmtId="0" fontId="16" fillId="0" borderId="0" xfId="0" applyFont="1" applyAlignment="1">
      <alignment horizontal="left" wrapText="1" indent="2"/>
    </xf>
    <xf numFmtId="0" fontId="0" fillId="0" borderId="0" xfId="0" applyAlignment="1">
      <alignment horizontal="left" wrapText="1" indent="2"/>
    </xf>
    <xf numFmtId="0" fontId="16" fillId="0" borderId="0" xfId="0" applyFont="1" applyBorder="1" applyAlignment="1">
      <alignment horizontal="center" vertical="center"/>
    </xf>
    <xf numFmtId="0" fontId="16" fillId="0" borderId="58" xfId="0" applyFont="1" applyBorder="1" applyAlignment="1">
      <alignment horizontal="center" vertical="center"/>
    </xf>
    <xf numFmtId="0" fontId="16" fillId="0" borderId="0" xfId="0" applyFont="1" applyBorder="1" applyAlignment="1">
      <alignment horizontal="left" vertical="center"/>
    </xf>
    <xf numFmtId="0" fontId="20" fillId="2" borderId="0" xfId="2" applyNumberFormat="1" applyFont="1" applyFill="1" applyBorder="1" applyAlignment="1">
      <alignment horizontal="center" vertical="center" wrapText="1"/>
    </xf>
    <xf numFmtId="0" fontId="0" fillId="0" borderId="0" xfId="0" applyBorder="1" applyAlignment="1">
      <alignment horizontal="center" vertical="center"/>
    </xf>
    <xf numFmtId="4" fontId="25" fillId="0" borderId="11" xfId="0" applyNumberFormat="1" applyFont="1" applyBorder="1" applyAlignment="1" applyProtection="1">
      <alignment horizontal="center" vertical="center"/>
    </xf>
    <xf numFmtId="4" fontId="25" fillId="0" borderId="6" xfId="0" applyNumberFormat="1" applyFont="1" applyBorder="1" applyAlignment="1" applyProtection="1">
      <alignment horizontal="center" vertical="center"/>
    </xf>
    <xf numFmtId="0" fontId="11" fillId="0" borderId="39" xfId="0" applyFont="1" applyBorder="1" applyAlignment="1" applyProtection="1">
      <alignment horizontal="center" vertical="center"/>
    </xf>
    <xf numFmtId="0" fontId="11" fillId="0" borderId="40" xfId="0" applyFont="1" applyBorder="1" applyAlignment="1" applyProtection="1">
      <alignment horizontal="center" vertical="center"/>
    </xf>
    <xf numFmtId="0" fontId="11" fillId="0" borderId="41" xfId="0" applyFont="1" applyBorder="1" applyAlignment="1" applyProtection="1">
      <alignment horizontal="center" vertical="center"/>
    </xf>
    <xf numFmtId="4" fontId="16" fillId="0" borderId="0" xfId="0" applyNumberFormat="1" applyFont="1" applyBorder="1" applyAlignment="1">
      <alignment horizontal="center" vertical="center"/>
    </xf>
    <xf numFmtId="4" fontId="16" fillId="0" borderId="1" xfId="0" applyNumberFormat="1" applyFont="1" applyBorder="1" applyAlignment="1">
      <alignment horizontal="center" vertical="center"/>
    </xf>
    <xf numFmtId="6" fontId="0" fillId="0" borderId="0" xfId="0" applyNumberFormat="1" applyBorder="1" applyAlignment="1">
      <alignment horizontal="center" vertical="center"/>
    </xf>
    <xf numFmtId="6" fontId="0" fillId="0" borderId="1" xfId="0" applyNumberFormat="1" applyBorder="1" applyAlignment="1">
      <alignment horizontal="center" vertical="center"/>
    </xf>
    <xf numFmtId="4" fontId="4" fillId="0" borderId="0" xfId="0" applyNumberFormat="1" applyFont="1" applyBorder="1" applyAlignment="1" applyProtection="1">
      <alignment horizontal="center" vertical="center"/>
    </xf>
    <xf numFmtId="4" fontId="4" fillId="0" borderId="1" xfId="0" applyNumberFormat="1" applyFont="1" applyBorder="1" applyAlignment="1" applyProtection="1">
      <alignment horizontal="center" vertical="center"/>
    </xf>
    <xf numFmtId="0" fontId="34" fillId="0" borderId="0" xfId="6" applyFont="1" applyAlignment="1">
      <alignment horizontal="left" wrapText="1"/>
    </xf>
    <xf numFmtId="0" fontId="1" fillId="0" borderId="0" xfId="6" applyAlignment="1">
      <alignment wrapText="1"/>
    </xf>
    <xf numFmtId="0" fontId="35" fillId="0" borderId="0" xfId="6" applyFont="1" applyAlignment="1"/>
    <xf numFmtId="0" fontId="34" fillId="0" borderId="0" xfId="6" applyFont="1" applyBorder="1" applyAlignment="1"/>
    <xf numFmtId="0" fontId="1" fillId="0" borderId="0" xfId="6" applyBorder="1" applyAlignment="1"/>
    <xf numFmtId="0" fontId="34" fillId="0" borderId="0" xfId="6" applyFont="1" applyFill="1" applyBorder="1" applyAlignment="1"/>
    <xf numFmtId="0" fontId="35" fillId="0" borderId="0" xfId="6" applyFont="1" applyBorder="1" applyAlignment="1"/>
    <xf numFmtId="0" fontId="1" fillId="0" borderId="0" xfId="6" applyAlignment="1"/>
    <xf numFmtId="0" fontId="34" fillId="0" borderId="0" xfId="6" applyFont="1" applyBorder="1" applyAlignment="1">
      <alignment horizontal="left" indent="1"/>
    </xf>
  </cellXfs>
  <cellStyles count="8">
    <cellStyle name="Comma" xfId="1" builtinId="3"/>
    <cellStyle name="Currency" xfId="2" builtinId="4"/>
    <cellStyle name="Normal" xfId="0" builtinId="0"/>
    <cellStyle name="Normal 2" xfId="3" xr:uid="{00000000-0005-0000-0000-000003000000}"/>
    <cellStyle name="Normal_1471bedford" xfId="4" xr:uid="{00000000-0005-0000-0000-000004000000}"/>
    <cellStyle name="Normal_coop sale price analysis v2" xfId="5" xr:uid="{00000000-0005-0000-0000-000005000000}"/>
    <cellStyle name="Normal_Form F - Financing Proposal" xfId="6" xr:uid="{00000000-0005-0000-0000-000006000000}"/>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940594</xdr:colOff>
      <xdr:row>18</xdr:row>
      <xdr:rowOff>107156</xdr:rowOff>
    </xdr:from>
    <xdr:to>
      <xdr:col>10</xdr:col>
      <xdr:colOff>631031</xdr:colOff>
      <xdr:row>19</xdr:row>
      <xdr:rowOff>107155</xdr:rowOff>
    </xdr:to>
    <xdr:sp macro="" textlink="">
      <xdr:nvSpPr>
        <xdr:cNvPr id="2" name="Right Arrow 1">
          <a:extLst>
            <a:ext uri="{FF2B5EF4-FFF2-40B4-BE49-F238E27FC236}">
              <a16:creationId xmlns:a16="http://schemas.microsoft.com/office/drawing/2014/main" id="{C04A6D10-1007-46F5-B3C3-F54FFB7806A2}"/>
            </a:ext>
          </a:extLst>
        </xdr:cNvPr>
        <xdr:cNvSpPr/>
      </xdr:nvSpPr>
      <xdr:spPr>
        <a:xfrm>
          <a:off x="14132719" y="3631406"/>
          <a:ext cx="952500" cy="190499"/>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Sandy%20Rad\Local%20Settings\Temporary%20Internet%20Files\OLK18F\Casablanca%20Houses82806%2075%20k%20in%20subsidy%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NHOP\VillageCar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2001%20Series%20C,%20Sept%202001\East%20148th%20Street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Spring%20Creek%20I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PLP--Round%20III\670stan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hared\PLP\plp%20shells\Credit%20Memo%20PLP%20Shell%202006%20B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s and Uses"/>
      <sheetName val="Unit Distrib."/>
      <sheetName val="m &amp; O"/>
      <sheetName val="Devel. Bud"/>
      <sheetName val="Mort"/>
      <sheetName val="Cred Memo"/>
    </sheetNames>
    <sheetDataSet>
      <sheetData sheetId="0" refreshError="1"/>
      <sheetData sheetId="1" refreshError="1"/>
      <sheetData sheetId="2" refreshError="1"/>
      <sheetData sheetId="3" refreshError="1"/>
      <sheetData sheetId="4" refreshError="1"/>
      <sheetData sheetId="5" refreshError="1">
        <row r="2">
          <cell r="B2" t="str">
            <v>Project Summary</v>
          </cell>
        </row>
        <row r="3">
          <cell r="B3" t="str">
            <v xml:space="preserve"> Project Name </v>
          </cell>
          <cell r="C3" t="str">
            <v>Casablanca</v>
          </cell>
        </row>
        <row r="4">
          <cell r="B4" t="str">
            <v xml:space="preserve"> HPD Project Manager</v>
          </cell>
          <cell r="C4" t="str">
            <v>Shawn Larson</v>
          </cell>
        </row>
        <row r="5">
          <cell r="B5" t="str">
            <v xml:space="preserve"> Formerly City-Owned Site</v>
          </cell>
        </row>
        <row r="6">
          <cell r="B6" t="str">
            <v xml:space="preserve"> HPD Program</v>
          </cell>
          <cell r="C6" t="str">
            <v>Multi-Family New Construction</v>
          </cell>
        </row>
        <row r="7">
          <cell r="B7" t="str">
            <v xml:space="preserve"> Development Category</v>
          </cell>
          <cell r="C7" t="str">
            <v>New Construction</v>
          </cell>
        </row>
        <row r="8">
          <cell r="B8" t="str">
            <v xml:space="preserve"> Occupancy Type</v>
          </cell>
          <cell r="C8" t="str">
            <v>Rental</v>
          </cell>
        </row>
        <row r="9">
          <cell r="B9" t="str">
            <v xml:space="preserve"> Number of Buildings</v>
          </cell>
          <cell r="C9">
            <v>1</v>
          </cell>
        </row>
        <row r="10">
          <cell r="B10" t="str">
            <v xml:space="preserve"> Number of Stories</v>
          </cell>
          <cell r="C10">
            <v>7</v>
          </cell>
        </row>
        <row r="15">
          <cell r="B15" t="str">
            <v>Square Footage</v>
          </cell>
          <cell r="C15" t="str">
            <v>Gross</v>
          </cell>
          <cell r="D15" t="str">
            <v>Net</v>
          </cell>
        </row>
        <row r="16">
          <cell r="B16" t="str">
            <v>Residential</v>
          </cell>
          <cell r="C16">
            <v>40220</v>
          </cell>
          <cell r="D16">
            <v>31851</v>
          </cell>
        </row>
        <row r="17">
          <cell r="B17" t="str">
            <v>Commercial/Retail</v>
          </cell>
          <cell r="C17">
            <v>8840</v>
          </cell>
        </row>
        <row r="18">
          <cell r="B18" t="str">
            <v>Community Facility</v>
          </cell>
          <cell r="C18">
            <v>0</v>
          </cell>
        </row>
        <row r="19">
          <cell r="B19" t="str">
            <v>Other</v>
          </cell>
        </row>
        <row r="21">
          <cell r="B21" t="str">
            <v>Total Square Feet</v>
          </cell>
          <cell r="C21">
            <v>49060</v>
          </cell>
          <cell r="D21">
            <v>31851</v>
          </cell>
        </row>
        <row r="25">
          <cell r="B25" t="str">
            <v>Number of Parking Spaces</v>
          </cell>
          <cell r="C25">
            <v>0</v>
          </cell>
        </row>
        <row r="30">
          <cell r="B30" t="str">
            <v>Unit Breakdown by Rent Level</v>
          </cell>
          <cell r="C30" t="str">
            <v># Units</v>
          </cell>
          <cell r="D30" t="str">
            <v>% of Total</v>
          </cell>
        </row>
        <row r="31">
          <cell r="B31" t="str">
            <v>Market Rate</v>
          </cell>
          <cell r="C31">
            <v>37</v>
          </cell>
          <cell r="D31">
            <v>0.77083333333333337</v>
          </cell>
        </row>
        <row r="32">
          <cell r="B32" t="str">
            <v>High HOME (Tax Credit)</v>
          </cell>
          <cell r="C32">
            <v>8</v>
          </cell>
          <cell r="D32">
            <v>0.16666666666666666</v>
          </cell>
        </row>
        <row r="33">
          <cell r="B33" t="str">
            <v>Low HOME (Tax Credit)</v>
          </cell>
          <cell r="C33">
            <v>3</v>
          </cell>
          <cell r="D33">
            <v>6.25E-2</v>
          </cell>
        </row>
        <row r="34">
          <cell r="B34" t="str">
            <v>Non-HOME Tax Credit</v>
          </cell>
          <cell r="C34">
            <v>0</v>
          </cell>
          <cell r="D34"/>
        </row>
        <row r="35">
          <cell r="B35" t="str">
            <v>Other</v>
          </cell>
          <cell r="C35"/>
          <cell r="D35"/>
        </row>
        <row r="36">
          <cell r="B36" t="str">
            <v xml:space="preserve">  Subtotal</v>
          </cell>
          <cell r="C36">
            <v>48</v>
          </cell>
          <cell r="D36">
            <v>1</v>
          </cell>
        </row>
        <row r="38">
          <cell r="B38" t="str">
            <v>Super's Unit</v>
          </cell>
          <cell r="C38">
            <v>0</v>
          </cell>
        </row>
        <row r="40">
          <cell r="B40" t="str">
            <v>Total Units</v>
          </cell>
          <cell r="C40">
            <v>48</v>
          </cell>
        </row>
        <row r="41">
          <cell r="B41" t="str">
            <v>Total Rooms / Average Rms/du</v>
          </cell>
          <cell r="C41">
            <v>137</v>
          </cell>
          <cell r="D41">
            <v>2.8541666666666665</v>
          </cell>
        </row>
        <row r="44">
          <cell r="B44" t="str">
            <v># of units for formerly homeless tenants</v>
          </cell>
          <cell r="C44">
            <v>0</v>
          </cell>
          <cell r="D44">
            <v>0</v>
          </cell>
        </row>
        <row r="45">
          <cell r="B45" t="str">
            <v>Percentage homeless units</v>
          </cell>
          <cell r="C45">
            <v>0</v>
          </cell>
          <cell r="D45">
            <v>0</v>
          </cell>
        </row>
        <row r="49">
          <cell r="B49" t="str">
            <v>Location Information</v>
          </cell>
        </row>
        <row r="50">
          <cell r="B50" t="str">
            <v>Borough &amp; Neighborhood</v>
          </cell>
          <cell r="C50" t="str">
            <v xml:space="preserve">Manhattan </v>
          </cell>
        </row>
        <row r="51">
          <cell r="B51" t="str">
            <v>Address</v>
          </cell>
          <cell r="C51" t="str">
            <v>121-125 E. 110th St</v>
          </cell>
        </row>
        <row r="52">
          <cell r="B52" t="str">
            <v>Community Board</v>
          </cell>
          <cell r="C52">
            <v>11</v>
          </cell>
        </row>
        <row r="53">
          <cell r="B53" t="str">
            <v>Block / Lot(s)</v>
          </cell>
          <cell r="C53" t="str">
            <v>1638 / 7,8,9,10</v>
          </cell>
        </row>
        <row r="57">
          <cell r="B57" t="str">
            <v>Development Team</v>
          </cell>
        </row>
        <row r="58">
          <cell r="B58" t="str">
            <v>Owner / Borrower</v>
          </cell>
          <cell r="C58" t="str">
            <v>121-125 E. 110th St, LLC, Principal Luis Perez</v>
          </cell>
        </row>
        <row r="59">
          <cell r="B59" t="str">
            <v>Community Sponsor</v>
          </cell>
          <cell r="C59" t="str">
            <v>None</v>
          </cell>
        </row>
        <row r="60">
          <cell r="B60" t="str">
            <v>General Contractor</v>
          </cell>
          <cell r="C60" t="str">
            <v>CatsPaw</v>
          </cell>
        </row>
        <row r="61">
          <cell r="B61" t="str">
            <v>Managing Agent</v>
          </cell>
          <cell r="C61" t="str">
            <v>N/A</v>
          </cell>
        </row>
        <row r="66">
          <cell r="B66" t="str">
            <v>Financing Information</v>
          </cell>
        </row>
        <row r="67">
          <cell r="B67" t="str">
            <v>Construction Lender</v>
          </cell>
          <cell r="C67" t="str">
            <v>HDC</v>
          </cell>
        </row>
        <row r="68">
          <cell r="B68" t="str">
            <v>Permanent Lender</v>
          </cell>
          <cell r="C68" t="str">
            <v>HDC</v>
          </cell>
        </row>
        <row r="69">
          <cell r="B69" t="str">
            <v>Tax Credit Syndicator</v>
          </cell>
          <cell r="C69" t="str">
            <v xml:space="preserve"> </v>
          </cell>
        </row>
        <row r="70">
          <cell r="B70" t="str">
            <v>Tax Credit Raise</v>
          </cell>
          <cell r="C70" t="e">
            <v>#REF!</v>
          </cell>
        </row>
        <row r="71">
          <cell r="B71" t="str">
            <v>Debt Coverage: First Mortgage</v>
          </cell>
          <cell r="C71">
            <v>1.2833023603196596</v>
          </cell>
          <cell r="D71" t="str">
            <v>X</v>
          </cell>
        </row>
        <row r="72">
          <cell r="B72" t="str">
            <v>Debt Coverage: All Mortgages</v>
          </cell>
          <cell r="C72">
            <v>1.1499999999999999</v>
          </cell>
          <cell r="D72" t="str">
            <v>X</v>
          </cell>
        </row>
        <row r="73">
          <cell r="B73" t="str">
            <v>Income to Expense Ratio</v>
          </cell>
          <cell r="C73">
            <v>1.1064114667335889</v>
          </cell>
          <cell r="D73" t="str">
            <v>X</v>
          </cell>
        </row>
        <row r="74">
          <cell r="B74" t="str">
            <v>Mortgage Insurer</v>
          </cell>
          <cell r="C74" t="str">
            <v>SONYMA</v>
          </cell>
        </row>
        <row r="75">
          <cell r="B75" t="str">
            <v>Permanent Loan Servicer</v>
          </cell>
          <cell r="C75" t="str">
            <v>HDC</v>
          </cell>
        </row>
        <row r="82">
          <cell r="B82" t="str">
            <v>Development Costs</v>
          </cell>
          <cell r="C82" t="str">
            <v>Total</v>
          </cell>
          <cell r="D82" t="str">
            <v>Per DU</v>
          </cell>
          <cell r="E82" t="str">
            <v>Per GSF (Residential)</v>
          </cell>
          <cell r="F82" t="str">
            <v>Per GSF (Project)</v>
          </cell>
        </row>
        <row r="83">
          <cell r="B83" t="str">
            <v>Acquisition</v>
          </cell>
          <cell r="C83">
            <v>1600000</v>
          </cell>
          <cell r="D83">
            <v>33333.333333333336</v>
          </cell>
          <cell r="E83">
            <v>39.781203381402285</v>
          </cell>
          <cell r="F83">
            <v>32.613126783530369</v>
          </cell>
        </row>
        <row r="84">
          <cell r="B84" t="str">
            <v>Demolition</v>
          </cell>
          <cell r="C84">
            <v>0</v>
          </cell>
          <cell r="D84"/>
          <cell r="E84"/>
          <cell r="F84"/>
        </row>
        <row r="85">
          <cell r="B85" t="str">
            <v>Total Acquisition / Demolition</v>
          </cell>
          <cell r="C85">
            <v>1600000</v>
          </cell>
          <cell r="D85">
            <v>33333.333333333336</v>
          </cell>
          <cell r="E85">
            <v>39.781203381402285</v>
          </cell>
          <cell r="F85">
            <v>32.613126783530369</v>
          </cell>
        </row>
        <row r="87">
          <cell r="B87" t="str">
            <v>Residential Portion</v>
          </cell>
          <cell r="C87">
            <v>10600000</v>
          </cell>
          <cell r="D87">
            <v>220833.33333333334</v>
          </cell>
          <cell r="E87">
            <v>263.55047240179016</v>
          </cell>
          <cell r="F87">
            <v>216.06196494088871</v>
          </cell>
        </row>
        <row r="88">
          <cell r="B88" t="str">
            <v xml:space="preserve">Commercial </v>
          </cell>
          <cell r="C88"/>
          <cell r="D88"/>
          <cell r="E88"/>
          <cell r="F88"/>
        </row>
        <row r="89">
          <cell r="B89" t="str">
            <v>Community</v>
          </cell>
          <cell r="C89"/>
          <cell r="D89"/>
          <cell r="E89"/>
          <cell r="F89"/>
        </row>
        <row r="90">
          <cell r="B90" t="str">
            <v>Parking</v>
          </cell>
          <cell r="C90"/>
          <cell r="D90"/>
          <cell r="E90"/>
          <cell r="F90"/>
        </row>
        <row r="91">
          <cell r="B91" t="str">
            <v xml:space="preserve">  Total Project</v>
          </cell>
          <cell r="C91">
            <v>10600000</v>
          </cell>
          <cell r="D91">
            <v>220833.33333333334</v>
          </cell>
          <cell r="E91">
            <v>263.55047240179016</v>
          </cell>
          <cell r="F91">
            <v>216.06196494088871</v>
          </cell>
        </row>
        <row r="92">
          <cell r="B92" t="str">
            <v>Contingency  ~5%</v>
          </cell>
          <cell r="C92">
            <v>530000</v>
          </cell>
          <cell r="D92">
            <v>11041.666666666666</v>
          </cell>
          <cell r="E92">
            <v>13.177523620089508</v>
          </cell>
          <cell r="F92">
            <v>10.803098247044435</v>
          </cell>
        </row>
        <row r="93">
          <cell r="B93" t="str">
            <v>Other</v>
          </cell>
          <cell r="C93">
            <v>0</v>
          </cell>
          <cell r="D93"/>
          <cell r="E93"/>
          <cell r="F93"/>
        </row>
        <row r="94">
          <cell r="B94" t="str">
            <v>Total Hard Costs</v>
          </cell>
          <cell r="C94">
            <v>11130000</v>
          </cell>
          <cell r="D94">
            <v>231875</v>
          </cell>
          <cell r="E94">
            <v>276.72799602187968</v>
          </cell>
          <cell r="F94">
            <v>226.86506318793315</v>
          </cell>
        </row>
        <row r="96">
          <cell r="B96" t="str">
            <v>Total Soft Costs</v>
          </cell>
          <cell r="C96">
            <v>2333748.2127187257</v>
          </cell>
          <cell r="D96">
            <v>48619.754431640118</v>
          </cell>
          <cell r="E96">
            <v>58.02457018196732</v>
          </cell>
          <cell r="F96">
            <v>47.569266463895751</v>
          </cell>
        </row>
        <row r="98">
          <cell r="B98" t="str">
            <v>Dev. Fee – Up Front</v>
          </cell>
          <cell r="C98">
            <v>0</v>
          </cell>
          <cell r="D98"/>
          <cell r="E98"/>
          <cell r="F98"/>
        </row>
        <row r="99">
          <cell r="B99" t="str">
            <v>Dev. Fee - Deferred</v>
          </cell>
          <cell r="C99">
            <v>0</v>
          </cell>
          <cell r="D99"/>
          <cell r="E99"/>
          <cell r="F99"/>
        </row>
        <row r="100">
          <cell r="B100" t="str">
            <v>Total Developer Fee</v>
          </cell>
          <cell r="C100">
            <v>0</v>
          </cell>
          <cell r="D100">
            <v>0</v>
          </cell>
          <cell r="E100">
            <v>0</v>
          </cell>
          <cell r="F100">
            <v>0</v>
          </cell>
        </row>
        <row r="102">
          <cell r="B102" t="str">
            <v>TOTAL COSTS</v>
          </cell>
          <cell r="C102">
            <v>15063748.212718725</v>
          </cell>
          <cell r="D102">
            <v>313828.08776497346</v>
          </cell>
          <cell r="E102">
            <v>374.53376958524927</v>
          </cell>
          <cell r="F102">
            <v>307.04745643535927</v>
          </cell>
        </row>
        <row r="108">
          <cell r="B108" t="str">
            <v>Construction Period Sources of Funds</v>
          </cell>
          <cell r="C108" t="str">
            <v>Total</v>
          </cell>
          <cell r="D108" t="str">
            <v>Per DU</v>
          </cell>
          <cell r="E108" t="str">
            <v>% of TDC</v>
          </cell>
        </row>
        <row r="109">
          <cell r="B109" t="str">
            <v>HDC First</v>
          </cell>
          <cell r="C109">
            <v>6665000</v>
          </cell>
          <cell r="D109">
            <v>138854.16666666666</v>
          </cell>
          <cell r="E109">
            <v>0.44245296096841041</v>
          </cell>
        </row>
        <row r="110">
          <cell r="B110" t="str">
            <v>HDC Second</v>
          </cell>
          <cell r="C110">
            <v>3600000</v>
          </cell>
          <cell r="D110">
            <v>75000</v>
          </cell>
          <cell r="E110">
            <v>0.23898434500919391</v>
          </cell>
        </row>
        <row r="111">
          <cell r="B111" t="str">
            <v>HPD Capital</v>
          </cell>
          <cell r="C111">
            <v>1278059.2127187252</v>
          </cell>
          <cell r="D111">
            <v>26626.233598306775</v>
          </cell>
          <cell r="E111">
            <v>8.4843373287375165E-2</v>
          </cell>
        </row>
        <row r="112">
          <cell r="B112" t="str">
            <v>HPD HOME</v>
          </cell>
          <cell r="C112">
            <v>1620689</v>
          </cell>
          <cell r="D112">
            <v>33764.354166666664</v>
          </cell>
          <cell r="E112">
            <v>0.10758869420239041</v>
          </cell>
        </row>
        <row r="113">
          <cell r="B113" t="str">
            <v>Other (specify)</v>
          </cell>
          <cell r="C113"/>
          <cell r="D113"/>
          <cell r="E113"/>
        </row>
        <row r="114">
          <cell r="B114" t="str">
            <v>Total Mortgages</v>
          </cell>
          <cell r="C114">
            <v>13163748.212718725</v>
          </cell>
          <cell r="D114">
            <v>274244.75443164009</v>
          </cell>
          <cell r="E114">
            <v>0.87386937346736993</v>
          </cell>
        </row>
        <row r="116">
          <cell r="B116" t="str">
            <v>Tax Credit Equity</v>
          </cell>
          <cell r="C116">
            <v>0</v>
          </cell>
          <cell r="D116"/>
          <cell r="E116"/>
        </row>
        <row r="117">
          <cell r="B117" t="str">
            <v>Developer Equity</v>
          </cell>
          <cell r="C117">
            <v>1900000</v>
          </cell>
          <cell r="D117">
            <v>39583.333333333336</v>
          </cell>
          <cell r="E117">
            <v>0.12613062653263013</v>
          </cell>
        </row>
        <row r="118">
          <cell r="B118" t="str">
            <v>Deferred Developer Fee</v>
          </cell>
          <cell r="C118">
            <v>0</v>
          </cell>
          <cell r="D118"/>
          <cell r="E118"/>
        </row>
        <row r="119">
          <cell r="B119" t="str">
            <v>Reso A Funds</v>
          </cell>
          <cell r="C119"/>
          <cell r="D119"/>
          <cell r="E119"/>
        </row>
        <row r="120">
          <cell r="B120" t="str">
            <v>Other (specify)</v>
          </cell>
          <cell r="C120"/>
          <cell r="D120"/>
          <cell r="E120"/>
        </row>
        <row r="121">
          <cell r="B121" t="str">
            <v>Total Equity</v>
          </cell>
          <cell r="C121">
            <v>1900000</v>
          </cell>
          <cell r="D121">
            <v>39583.333333333336</v>
          </cell>
          <cell r="E121">
            <v>0.12613062653263013</v>
          </cell>
        </row>
        <row r="122">
          <cell r="B122" t="str">
            <v>TOTAL CONSTRUCTION SOURCES</v>
          </cell>
          <cell r="C122">
            <v>15063748.212718725</v>
          </cell>
          <cell r="D122">
            <v>313828.08776497346</v>
          </cell>
          <cell r="E122">
            <v>1</v>
          </cell>
        </row>
        <row r="130">
          <cell r="B130" t="str">
            <v>Permanent Sources of Funds</v>
          </cell>
          <cell r="C130" t="str">
            <v>Total</v>
          </cell>
          <cell r="D130" t="str">
            <v>Per DU</v>
          </cell>
          <cell r="E130" t="str">
            <v>% of TDC</v>
          </cell>
          <cell r="F130" t="str">
            <v>Rate</v>
          </cell>
          <cell r="G130" t="str">
            <v>Term</v>
          </cell>
        </row>
        <row r="131">
          <cell r="B131" t="str">
            <v>HDC First</v>
          </cell>
          <cell r="C131">
            <v>6665000</v>
          </cell>
          <cell r="D131">
            <v>138854.16666666666</v>
          </cell>
          <cell r="E131">
            <v>0.44245296096841041</v>
          </cell>
          <cell r="F131">
            <v>6.7500000000000004E-2</v>
          </cell>
          <cell r="G131">
            <v>30</v>
          </cell>
        </row>
        <row r="132">
          <cell r="B132" t="str">
            <v>HDC Second</v>
          </cell>
          <cell r="C132">
            <v>3600000</v>
          </cell>
          <cell r="D132">
            <v>75000</v>
          </cell>
          <cell r="E132">
            <v>0.23898434500919391</v>
          </cell>
          <cell r="F132">
            <v>0.01</v>
          </cell>
          <cell r="G132">
            <v>30</v>
          </cell>
        </row>
        <row r="133">
          <cell r="B133" t="str">
            <v>HPD City Capital</v>
          </cell>
          <cell r="C133">
            <v>1278059.2127187252</v>
          </cell>
          <cell r="D133">
            <v>26626.233598306775</v>
          </cell>
          <cell r="E133">
            <v>8.4843373287375165E-2</v>
          </cell>
          <cell r="F133">
            <v>0.01</v>
          </cell>
          <cell r="G133">
            <v>30</v>
          </cell>
        </row>
        <row r="134">
          <cell r="B134" t="str">
            <v>HPD HOME</v>
          </cell>
          <cell r="C134">
            <v>1620689</v>
          </cell>
          <cell r="D134">
            <v>33764.354166666664</v>
          </cell>
          <cell r="E134">
            <v>0.10758869420239041</v>
          </cell>
          <cell r="F134">
            <v>0</v>
          </cell>
          <cell r="G134">
            <v>20</v>
          </cell>
        </row>
        <row r="135">
          <cell r="B135" t="str">
            <v>Other (specify)</v>
          </cell>
          <cell r="C135"/>
          <cell r="D135"/>
          <cell r="E135"/>
        </row>
        <row r="136">
          <cell r="B136" t="str">
            <v>Total Mortgages</v>
          </cell>
          <cell r="C136">
            <v>13163748.212718725</v>
          </cell>
          <cell r="D136">
            <v>274244.75443164009</v>
          </cell>
          <cell r="E136">
            <v>0.87386937346736993</v>
          </cell>
        </row>
        <row r="138">
          <cell r="B138" t="str">
            <v>Tax Credit Equity</v>
          </cell>
          <cell r="C138">
            <v>0</v>
          </cell>
          <cell r="D138"/>
          <cell r="E138"/>
        </row>
        <row r="139">
          <cell r="B139" t="str">
            <v>Developer Equity</v>
          </cell>
          <cell r="C139">
            <v>1900000</v>
          </cell>
          <cell r="D139">
            <v>39583.333333333336</v>
          </cell>
          <cell r="E139">
            <v>0.12613062653263013</v>
          </cell>
        </row>
        <row r="140">
          <cell r="B140" t="str">
            <v>Deferred Developer Fee</v>
          </cell>
          <cell r="C140">
            <v>0</v>
          </cell>
          <cell r="D140"/>
          <cell r="E140"/>
        </row>
        <row r="141">
          <cell r="B141" t="str">
            <v>Reso A Funds</v>
          </cell>
          <cell r="C141"/>
          <cell r="D141"/>
          <cell r="E141"/>
        </row>
        <row r="142">
          <cell r="B142" t="str">
            <v>Other (specify)</v>
          </cell>
          <cell r="C142"/>
          <cell r="D142"/>
          <cell r="E142"/>
        </row>
        <row r="143">
          <cell r="B143" t="str">
            <v>Total Equity</v>
          </cell>
          <cell r="C143">
            <v>1900000</v>
          </cell>
          <cell r="D143">
            <v>39583.333333333336</v>
          </cell>
          <cell r="E143">
            <v>0.12613062653263013</v>
          </cell>
        </row>
        <row r="144">
          <cell r="B144" t="str">
            <v>TOTAL PERMANENT SOURCES</v>
          </cell>
          <cell r="C144">
            <v>15063748.212718725</v>
          </cell>
          <cell r="D144">
            <v>313828.08776497346</v>
          </cell>
          <cell r="E144">
            <v>1</v>
          </cell>
        </row>
        <row r="146">
          <cell r="B146" t="str">
            <v>Balloon on HDC Second Mortgage</v>
          </cell>
          <cell r="C146">
            <v>3600000.0000000005</v>
          </cell>
          <cell r="D146">
            <v>0</v>
          </cell>
        </row>
        <row r="148">
          <cell r="B148" t="str">
            <v>Balloon on HPD Second Mortgage</v>
          </cell>
          <cell r="C148">
            <v>885727.53749297361</v>
          </cell>
          <cell r="D148">
            <v>0</v>
          </cell>
        </row>
        <row r="150">
          <cell r="B150" t="str">
            <v>Balloon on HOME Loan</v>
          </cell>
          <cell r="C150">
            <v>0</v>
          </cell>
          <cell r="D150">
            <v>0</v>
          </cell>
        </row>
        <row r="152">
          <cell r="B152" t="str">
            <v xml:space="preserve"> Amount of HOME Funds per HOME DU  </v>
          </cell>
          <cell r="C152">
            <v>147335.36363636365</v>
          </cell>
          <cell r="D152">
            <v>147335.36363636365</v>
          </cell>
        </row>
        <row r="156">
          <cell r="H156" t="str">
            <v>Unit Distribution by Rent Level</v>
          </cell>
        </row>
        <row r="157">
          <cell r="H157" t="str">
            <v>Size of Unit</v>
          </cell>
          <cell r="I157" t="str">
            <v>Total # of Units</v>
          </cell>
          <cell r="J157" t="str">
            <v>Market Rate</v>
          </cell>
          <cell r="K157" t="str">
            <v>High HOME (58% AMI)</v>
          </cell>
          <cell r="L157" t="str">
            <v>Low HOME (48% AMI)</v>
          </cell>
          <cell r="M157" t="str">
            <v>Tax Credit (60%)</v>
          </cell>
          <cell r="N157" t="str">
            <v>Tax Credit (50%)</v>
          </cell>
        </row>
        <row r="158">
          <cell r="H158" t="str">
            <v>Studio</v>
          </cell>
          <cell r="I158">
            <v>25</v>
          </cell>
          <cell r="J158">
            <v>21</v>
          </cell>
          <cell r="K158">
            <v>3</v>
          </cell>
          <cell r="L158">
            <v>1</v>
          </cell>
          <cell r="M158">
            <v>0</v>
          </cell>
          <cell r="N158">
            <v>0</v>
          </cell>
        </row>
        <row r="159">
          <cell r="H159" t="str">
            <v>1-Bdrm</v>
          </cell>
          <cell r="I159">
            <v>5</v>
          </cell>
          <cell r="J159">
            <v>2</v>
          </cell>
          <cell r="K159">
            <v>2</v>
          </cell>
          <cell r="L159">
            <v>1</v>
          </cell>
          <cell r="M159">
            <v>0</v>
          </cell>
          <cell r="N159">
            <v>0</v>
          </cell>
        </row>
        <row r="160">
          <cell r="H160" t="str">
            <v>2-Bdrm</v>
          </cell>
          <cell r="I160">
            <v>18</v>
          </cell>
          <cell r="J160">
            <v>14</v>
          </cell>
          <cell r="K160">
            <v>3</v>
          </cell>
          <cell r="L160">
            <v>1</v>
          </cell>
          <cell r="M160">
            <v>0</v>
          </cell>
          <cell r="N160">
            <v>0</v>
          </cell>
        </row>
        <row r="161">
          <cell r="H161" t="str">
            <v>3-Bdrm</v>
          </cell>
          <cell r="I161"/>
          <cell r="J161">
            <v>0</v>
          </cell>
          <cell r="K161">
            <v>0</v>
          </cell>
          <cell r="L161">
            <v>0</v>
          </cell>
          <cell r="M161">
            <v>0</v>
          </cell>
          <cell r="N161">
            <v>0</v>
          </cell>
        </row>
        <row r="162">
          <cell r="H162" t="str">
            <v>4-Bdrm</v>
          </cell>
          <cell r="I162"/>
        </row>
        <row r="163">
          <cell r="H163" t="str">
            <v>Total</v>
          </cell>
          <cell r="I163">
            <v>48</v>
          </cell>
          <cell r="J163">
            <v>37</v>
          </cell>
          <cell r="K163">
            <v>8</v>
          </cell>
          <cell r="L163">
            <v>3</v>
          </cell>
          <cell r="M163">
            <v>0</v>
          </cell>
          <cell r="N163">
            <v>0</v>
          </cell>
        </row>
        <row r="169">
          <cell r="H169" t="str">
            <v>Unit Distribution by Monthly Rent</v>
          </cell>
        </row>
        <row r="170">
          <cell r="H170" t="str">
            <v>Size of Unit</v>
          </cell>
          <cell r="I170" t="str">
            <v>Total # of Units</v>
          </cell>
          <cell r="J170" t="str">
            <v>Market Rate</v>
          </cell>
          <cell r="K170" t="str">
            <v>High HOME (58% AMI)</v>
          </cell>
          <cell r="L170" t="str">
            <v>Low HOME (48% AMI)</v>
          </cell>
          <cell r="M170" t="str">
            <v>Tax Credit</v>
          </cell>
          <cell r="N170" t="str">
            <v>Other</v>
          </cell>
          <cell r="O170" t="str">
            <v>Average Rent by Unit Size</v>
          </cell>
        </row>
        <row r="171">
          <cell r="H171" t="str">
            <v>Studio</v>
          </cell>
          <cell r="I171">
            <v>25</v>
          </cell>
          <cell r="J171">
            <v>1019</v>
          </cell>
          <cell r="K171">
            <v>742</v>
          </cell>
          <cell r="L171">
            <v>576</v>
          </cell>
          <cell r="M171">
            <v>0</v>
          </cell>
          <cell r="N171">
            <v>0</v>
          </cell>
          <cell r="O171">
            <v>968.04</v>
          </cell>
        </row>
        <row r="172">
          <cell r="H172" t="str">
            <v>1-Bdrm</v>
          </cell>
          <cell r="I172">
            <v>5</v>
          </cell>
          <cell r="J172">
            <v>1475</v>
          </cell>
          <cell r="K172">
            <v>796</v>
          </cell>
          <cell r="L172">
            <v>616</v>
          </cell>
          <cell r="M172">
            <v>1031.5999999999999</v>
          </cell>
          <cell r="N172">
            <v>0</v>
          </cell>
          <cell r="O172">
            <v>1031.5999999999999</v>
          </cell>
        </row>
        <row r="173">
          <cell r="H173" t="str">
            <v>2-Bdrm</v>
          </cell>
          <cell r="I173">
            <v>18</v>
          </cell>
          <cell r="J173">
            <v>1775</v>
          </cell>
          <cell r="K173">
            <v>962</v>
          </cell>
          <cell r="L173">
            <v>743</v>
          </cell>
          <cell r="M173">
            <v>1582.1666666666667</v>
          </cell>
          <cell r="N173">
            <v>0</v>
          </cell>
          <cell r="O173">
            <v>1582.1666666666667</v>
          </cell>
        </row>
        <row r="174">
          <cell r="H174" t="str">
            <v>3-Bdrm</v>
          </cell>
          <cell r="I174">
            <v>0</v>
          </cell>
          <cell r="J174">
            <v>0</v>
          </cell>
          <cell r="K174">
            <v>0</v>
          </cell>
          <cell r="L174">
            <v>0</v>
          </cell>
          <cell r="M174">
            <v>0</v>
          </cell>
          <cell r="N174">
            <v>0</v>
          </cell>
          <cell r="O174">
            <v>0</v>
          </cell>
        </row>
        <row r="175">
          <cell r="H175" t="str">
            <v>4-Bdrm</v>
          </cell>
          <cell r="I175">
            <v>0</v>
          </cell>
        </row>
        <row r="176">
          <cell r="H176" t="str">
            <v>Total</v>
          </cell>
          <cell r="I176">
            <v>48</v>
          </cell>
          <cell r="J176">
            <v>1204.9583333333333</v>
          </cell>
          <cell r="K176">
            <v>0</v>
          </cell>
          <cell r="L176">
            <v>0</v>
          </cell>
          <cell r="M176">
            <v>0</v>
          </cell>
          <cell r="N176">
            <v>0</v>
          </cell>
          <cell r="O176">
            <v>1204.9583333333333</v>
          </cell>
        </row>
        <row r="181">
          <cell r="H181" t="str">
            <v>Average Size of Units</v>
          </cell>
          <cell r="I181" t="str">
            <v>Studio</v>
          </cell>
          <cell r="J181" t="str">
            <v>1 BR</v>
          </cell>
          <cell r="K181" t="str">
            <v>2 BR</v>
          </cell>
          <cell r="L181" t="str">
            <v>3 BR</v>
          </cell>
          <cell r="M181" t="str">
            <v>4 BR</v>
          </cell>
          <cell r="N181" t="str">
            <v>Average all Units</v>
          </cell>
        </row>
        <row r="182">
          <cell r="H182" t="str">
            <v>(Net Sq Ft)</v>
          </cell>
          <cell r="I182">
            <v>479</v>
          </cell>
          <cell r="J182">
            <v>728</v>
          </cell>
          <cell r="K182">
            <v>902</v>
          </cell>
          <cell r="L182">
            <v>0</v>
          </cell>
          <cell r="M182">
            <v>0</v>
          </cell>
          <cell r="N182">
            <v>663.5625</v>
          </cell>
        </row>
        <row r="188">
          <cell r="H188" t="str">
            <v>Residential Data</v>
          </cell>
        </row>
        <row r="190">
          <cell r="H190" t="str">
            <v>Annual</v>
          </cell>
          <cell r="I190" t="str">
            <v xml:space="preserve"> Rent</v>
          </cell>
          <cell r="J190" t="str">
            <v>Expenses</v>
          </cell>
        </row>
        <row r="191">
          <cell r="H191" t="str">
            <v>Per DU</v>
          </cell>
          <cell r="I191">
            <v>14459.5</v>
          </cell>
          <cell r="J191">
            <v>4749.416666666667</v>
          </cell>
        </row>
        <row r="192">
          <cell r="H192" t="str">
            <v>Per Room</v>
          </cell>
          <cell r="I192">
            <v>5066.1021897810215</v>
          </cell>
          <cell r="J192">
            <v>1664.0291970802921</v>
          </cell>
        </row>
        <row r="193">
          <cell r="H193" t="str">
            <v>Per NSF</v>
          </cell>
          <cell r="I193">
            <v>21.790713007440896</v>
          </cell>
          <cell r="J193">
            <v>7.1574518853411195</v>
          </cell>
        </row>
        <row r="195">
          <cell r="H195" t="str">
            <v>Monthly</v>
          </cell>
          <cell r="I195" t="str">
            <v xml:space="preserve"> Rent</v>
          </cell>
          <cell r="J195" t="str">
            <v>Expenses</v>
          </cell>
        </row>
        <row r="196">
          <cell r="H196" t="str">
            <v>Per DU</v>
          </cell>
          <cell r="I196">
            <v>1204.9583333333333</v>
          </cell>
          <cell r="J196">
            <v>395.78472222222223</v>
          </cell>
        </row>
        <row r="197">
          <cell r="H197" t="str">
            <v>Per Room</v>
          </cell>
          <cell r="I197">
            <v>422.17518248175179</v>
          </cell>
          <cell r="J197">
            <v>138.669099756691</v>
          </cell>
        </row>
        <row r="201">
          <cell r="H201" t="str">
            <v>Non-Residential Revenues</v>
          </cell>
        </row>
        <row r="202">
          <cell r="H202" t="str">
            <v>Commercial Space</v>
          </cell>
          <cell r="I202">
            <v>30</v>
          </cell>
          <cell r="J202">
            <v>30</v>
          </cell>
          <cell r="K202" t="str">
            <v>Annual Rent/s.f.</v>
          </cell>
        </row>
        <row r="203">
          <cell r="H203" t="str">
            <v>Community Space</v>
          </cell>
          <cell r="I203">
            <v>0</v>
          </cell>
          <cell r="J203">
            <v>0</v>
          </cell>
          <cell r="K203" t="str">
            <v>Annual Rent/s.f.</v>
          </cell>
        </row>
        <row r="204">
          <cell r="H204" t="str">
            <v>Parking</v>
          </cell>
          <cell r="I204"/>
          <cell r="J204"/>
          <cell r="K204" t="str">
            <v>Per space/month</v>
          </cell>
        </row>
        <row r="205">
          <cell r="H205" t="str">
            <v>Laundry</v>
          </cell>
          <cell r="I205">
            <v>100</v>
          </cell>
          <cell r="J205">
            <v>100</v>
          </cell>
          <cell r="K205" t="str">
            <v>Annual per unit</v>
          </cell>
        </row>
        <row r="225">
          <cell r="B225" t="str">
            <v>Operating Budget</v>
          </cell>
          <cell r="C225" t="str">
            <v>Annual Amount</v>
          </cell>
          <cell r="D225" t="str">
            <v>Comments</v>
          </cell>
        </row>
        <row r="226">
          <cell r="B226" t="str">
            <v xml:space="preserve">  Residential Rent</v>
          </cell>
          <cell r="C226">
            <v>694056</v>
          </cell>
        </row>
        <row r="227">
          <cell r="B227" t="str">
            <v xml:space="preserve">  Vacancy and Collection Loss</v>
          </cell>
          <cell r="C227">
            <v>-34702.800000000003</v>
          </cell>
          <cell r="D227">
            <v>0.05</v>
          </cell>
        </row>
        <row r="228">
          <cell r="B228" t="str">
            <v xml:space="preserve">  Commercial Rent</v>
          </cell>
          <cell r="C228">
            <v>265200</v>
          </cell>
          <cell r="D228"/>
        </row>
        <row r="229">
          <cell r="B229" t="str">
            <v xml:space="preserve">  Vacancy and Collection Loss</v>
          </cell>
          <cell r="C229">
            <v>-26520</v>
          </cell>
          <cell r="D229">
            <v>0.1</v>
          </cell>
        </row>
        <row r="230">
          <cell r="B230" t="str">
            <v xml:space="preserve">  Community Space</v>
          </cell>
          <cell r="C230">
            <v>0</v>
          </cell>
        </row>
        <row r="231">
          <cell r="B231" t="str">
            <v xml:space="preserve">  Vacancy and Collection Loss</v>
          </cell>
          <cell r="C231">
            <v>0</v>
          </cell>
          <cell r="D231">
            <v>0.1</v>
          </cell>
        </row>
        <row r="232">
          <cell r="B232" t="str">
            <v xml:space="preserve">  Parking</v>
          </cell>
          <cell r="C232">
            <v>0</v>
          </cell>
        </row>
        <row r="233">
          <cell r="B233" t="str">
            <v xml:space="preserve">  Vacancy and Collection Loss</v>
          </cell>
          <cell r="C233">
            <v>0</v>
          </cell>
          <cell r="D233">
            <v>0.1</v>
          </cell>
        </row>
        <row r="234">
          <cell r="B234" t="str">
            <v xml:space="preserve">  Other Income</v>
          </cell>
          <cell r="C234">
            <v>4800</v>
          </cell>
          <cell r="D234" t="str">
            <v xml:space="preserve">Ancillary/Laundry </v>
          </cell>
        </row>
        <row r="235">
          <cell r="B235" t="str">
            <v xml:space="preserve">  Effective Project Income</v>
          </cell>
          <cell r="C235">
            <v>902833.2</v>
          </cell>
        </row>
        <row r="236">
          <cell r="B236" t="str">
            <v xml:space="preserve">  Operating Expenses</v>
          </cell>
          <cell r="C236">
            <v>227972</v>
          </cell>
        </row>
        <row r="237">
          <cell r="B237" t="str">
            <v xml:space="preserve">  Real Estate Taxes</v>
          </cell>
          <cell r="C237">
            <v>9150</v>
          </cell>
          <cell r="D237" t="str">
            <v>421 a</v>
          </cell>
        </row>
        <row r="238">
          <cell r="B238" t="str">
            <v xml:space="preserve">  Net Operating Income</v>
          </cell>
          <cell r="C238">
            <v>665711.19999999995</v>
          </cell>
        </row>
        <row r="239">
          <cell r="B239" t="str">
            <v xml:space="preserve">  First Mortgage Debt Service</v>
          </cell>
          <cell r="C239">
            <v>518748.51990000001</v>
          </cell>
          <cell r="D239" t="str">
            <v xml:space="preserve"> </v>
          </cell>
        </row>
        <row r="240">
          <cell r="B240" t="str">
            <v xml:space="preserve">  Second Mortgage Debt Service</v>
          </cell>
          <cell r="C240">
            <v>60130.784447826038</v>
          </cell>
          <cell r="D240" t="str">
            <v xml:space="preserve"> </v>
          </cell>
        </row>
        <row r="241">
          <cell r="B241" t="str">
            <v xml:space="preserve">  Net Cash to Owner</v>
          </cell>
          <cell r="C241">
            <v>86831.895652173902</v>
          </cell>
        </row>
        <row r="242">
          <cell r="B242" t="str">
            <v xml:space="preserve">  Return on Equity (1st year)</v>
          </cell>
          <cell r="C242">
            <v>4.5700997711670473E-2</v>
          </cell>
        </row>
        <row r="243">
          <cell r="B243" t="str">
            <v xml:space="preserve">  Return on TDC (1st year)</v>
          </cell>
          <cell r="C243">
            <v>4.4192931971467911E-2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ources and Use"/>
      <sheetName val="Unit Distrib."/>
      <sheetName val="exp comp"/>
      <sheetName val="M and O"/>
      <sheetName val="Calc"/>
      <sheetName val="Devel. Bud (2)"/>
      <sheetName val="Mort (2)"/>
      <sheetName val="expenses (2)"/>
      <sheetName val="I_E"/>
      <sheetName val="expenses (1)"/>
      <sheetName val="Mort (1)"/>
      <sheetName val="Devel. Bud (1)"/>
      <sheetName val="service"/>
      <sheetName val="Sources_and_Use"/>
      <sheetName val="Unit_Distrib_"/>
      <sheetName val="exp_comp"/>
      <sheetName val="M_and_O"/>
      <sheetName val="Devel__Bud_(2)"/>
      <sheetName val="Mort_(2)"/>
      <sheetName val="expenses_(2)"/>
      <sheetName val="expenses_(1)"/>
      <sheetName val="Mort_(1)"/>
      <sheetName val="Devel__Bud_(1)"/>
      <sheetName val="Sources_&amp;_Uses"/>
      <sheetName val="Income"/>
      <sheetName val="Amortization_Table"/>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istrib."/>
      <sheetName val="Sources and Use"/>
      <sheetName val="M and O"/>
      <sheetName val="Mort"/>
      <sheetName val="Devel. Bud"/>
      <sheetName val="Int Calc (LT1st)"/>
      <sheetName val="Tax Credits"/>
      <sheetName val="Unit_Distrib_"/>
      <sheetName val="Sources_and_Use"/>
      <sheetName val="M_and_O"/>
      <sheetName val="Devel__Bud"/>
      <sheetName val="Int_Calc_(LT1st)"/>
      <sheetName val="Tax_Credits"/>
      <sheetName val="Devel_ Bu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ev Budg"/>
      <sheetName val="Int Calc "/>
      <sheetName val="Sources"/>
      <sheetName val="Unit Distrib."/>
      <sheetName val="M and O"/>
      <sheetName val="Mort"/>
      <sheetName val="Cash Flow"/>
      <sheetName val="Escrows"/>
      <sheetName val="Dev_Budg"/>
      <sheetName val="Int_Calc_"/>
      <sheetName val="Unit_Distrib_"/>
      <sheetName val="M_and_O"/>
      <sheetName val="Cash_Flow"/>
    </sheetNames>
    <sheetDataSet>
      <sheetData sheetId="0" refreshError="1"/>
      <sheetData sheetId="1" refreshError="1"/>
      <sheetData sheetId="2" refreshError="1"/>
      <sheetData sheetId="3" refreshError="1"/>
      <sheetData sheetId="4" refreshError="1"/>
      <sheetData sheetId="5" refreshError="1"/>
      <sheetData sheetId="6" refreshError="1">
        <row r="13">
          <cell r="D13">
            <v>533771.64</v>
          </cell>
        </row>
      </sheetData>
      <sheetData sheetId="7" refreshError="1"/>
      <sheetData sheetId="8" refreshError="1"/>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nses"/>
      <sheetName val="Income"/>
      <sheetName val="Loan Info."/>
      <sheetName val="Loan_Info_"/>
      <sheetName val="Unit Distrib."/>
      <sheetName val="Mort"/>
      <sheetName val="Sources and Use"/>
      <sheetName val="Devel. Bud"/>
      <sheetName val="M and O"/>
      <sheetName val="Cash Flow"/>
      <sheetName val="Loan_Info_1"/>
      <sheetName val="Unit_Distrib_"/>
      <sheetName val="Sources_and_Use"/>
      <sheetName val="Devel__Bud"/>
      <sheetName val="M_and_O"/>
      <sheetName val="Cash_Flow"/>
    </sheetNames>
    <sheetDataSet>
      <sheetData sheetId="0" refreshError="1"/>
      <sheetData sheetId="1" refreshError="1">
        <row r="24">
          <cell r="D24">
            <v>27716.694769230769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CMem1"/>
      <sheetName val="CMem2"/>
      <sheetName val="Mort"/>
      <sheetName val="Rents"/>
      <sheetName val="I&amp;E"/>
      <sheetName val="I&amp;A"/>
      <sheetName val="IA2"/>
      <sheetName val="Calcs"/>
      <sheetName val="CFA"/>
    </sheetNames>
    <sheetDataSet>
      <sheetData sheetId="0" refreshError="1">
        <row r="75">
          <cell r="M75">
            <v>31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5.bin"/><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10" Type="http://schemas.openxmlformats.org/officeDocument/2006/relationships/drawing" Target="../drawings/drawing1.xml"/><Relationship Id="rId4" Type="http://schemas.openxmlformats.org/officeDocument/2006/relationships/printerSettings" Target="../printerSettings/printerSettings41.bin"/><Relationship Id="rId9" Type="http://schemas.openxmlformats.org/officeDocument/2006/relationships/printerSettings" Target="../printerSettings/printerSettings4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4.bin"/><Relationship Id="rId3" Type="http://schemas.openxmlformats.org/officeDocument/2006/relationships/printerSettings" Target="../printerSettings/printerSettings49.bin"/><Relationship Id="rId7" Type="http://schemas.openxmlformats.org/officeDocument/2006/relationships/printerSettings" Target="../printerSettings/printerSettings53.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6" Type="http://schemas.openxmlformats.org/officeDocument/2006/relationships/printerSettings" Target="../printerSettings/printerSettings52.bin"/><Relationship Id="rId11" Type="http://schemas.openxmlformats.org/officeDocument/2006/relationships/comments" Target="../comments1.xml"/><Relationship Id="rId5" Type="http://schemas.openxmlformats.org/officeDocument/2006/relationships/printerSettings" Target="../printerSettings/printerSettings51.bin"/><Relationship Id="rId10" Type="http://schemas.openxmlformats.org/officeDocument/2006/relationships/vmlDrawing" Target="../drawings/vmlDrawing1.vml"/><Relationship Id="rId4" Type="http://schemas.openxmlformats.org/officeDocument/2006/relationships/printerSettings" Target="../printerSettings/printerSettings50.bin"/><Relationship Id="rId9" Type="http://schemas.openxmlformats.org/officeDocument/2006/relationships/printerSettings" Target="../printerSettings/printerSettings5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
  <sheetViews>
    <sheetView tabSelected="1" zoomScaleNormal="100" zoomScaleSheetLayoutView="100" workbookViewId="0">
      <selection activeCell="H13" sqref="H13"/>
    </sheetView>
  </sheetViews>
  <sheetFormatPr defaultRowHeight="15"/>
  <sheetData>
    <row r="1" spans="1:11" ht="15.75">
      <c r="A1" s="600" t="s">
        <v>529</v>
      </c>
      <c r="B1" s="594"/>
      <c r="C1" s="594"/>
      <c r="D1" s="594"/>
      <c r="E1" s="594"/>
      <c r="F1" s="594"/>
      <c r="G1" s="594"/>
      <c r="H1" s="594"/>
    </row>
    <row r="2" spans="1:11" ht="15.75">
      <c r="A2" s="600" t="s">
        <v>526</v>
      </c>
      <c r="B2" s="594"/>
      <c r="C2" s="594"/>
      <c r="D2" s="594"/>
      <c r="E2" s="594"/>
      <c r="F2" s="594"/>
      <c r="G2" s="594"/>
      <c r="H2" s="594"/>
    </row>
    <row r="4" spans="1:11" ht="15.75">
      <c r="A4" s="597" t="s">
        <v>387</v>
      </c>
      <c r="B4" s="46"/>
      <c r="C4" s="46"/>
      <c r="D4" s="46"/>
      <c r="E4" s="46"/>
      <c r="F4" s="46"/>
      <c r="G4" s="46"/>
      <c r="H4" s="46"/>
      <c r="I4" s="46"/>
      <c r="J4" s="46"/>
    </row>
    <row r="5" spans="1:11" ht="15.75">
      <c r="A5" s="597"/>
      <c r="B5" s="46"/>
      <c r="C5" s="46"/>
      <c r="D5" s="46"/>
      <c r="E5" s="46"/>
      <c r="F5" s="46"/>
      <c r="G5" s="46"/>
      <c r="H5" s="46"/>
      <c r="I5" s="46"/>
      <c r="J5" s="46"/>
    </row>
    <row r="6" spans="1:11" ht="45" customHeight="1">
      <c r="A6" s="785" t="s">
        <v>389</v>
      </c>
      <c r="B6" s="785"/>
      <c r="C6" s="785"/>
      <c r="D6" s="785"/>
      <c r="E6" s="785"/>
      <c r="F6" s="785"/>
      <c r="G6" s="785"/>
      <c r="H6" s="785"/>
      <c r="I6" s="598"/>
      <c r="J6" s="598"/>
    </row>
    <row r="7" spans="1:11">
      <c r="A7" s="46"/>
      <c r="B7" s="46"/>
      <c r="C7" s="46"/>
      <c r="D7" s="46"/>
      <c r="E7" s="46"/>
      <c r="F7" s="46"/>
      <c r="G7" s="46"/>
      <c r="H7" s="46"/>
      <c r="I7" s="46"/>
      <c r="J7" s="46"/>
    </row>
    <row r="8" spans="1:11" ht="30.75" customHeight="1">
      <c r="A8" s="785" t="s">
        <v>388</v>
      </c>
      <c r="B8" s="785"/>
      <c r="C8" s="785"/>
      <c r="D8" s="785"/>
      <c r="E8" s="785"/>
      <c r="F8" s="785"/>
      <c r="G8" s="785"/>
      <c r="H8" s="785"/>
      <c r="I8" s="595"/>
      <c r="J8" s="595"/>
      <c r="K8" s="596"/>
    </row>
    <row r="10" spans="1:11" ht="30.75" customHeight="1">
      <c r="A10" s="786" t="s">
        <v>527</v>
      </c>
      <c r="B10" s="787"/>
      <c r="C10" s="787"/>
      <c r="D10" s="787"/>
      <c r="E10" s="787"/>
      <c r="F10" s="787"/>
      <c r="G10" s="787"/>
      <c r="H10" s="787"/>
    </row>
    <row r="12" spans="1:11" ht="15.75">
      <c r="A12" s="614"/>
    </row>
  </sheetData>
  <mergeCells count="3">
    <mergeCell ref="A6:H6"/>
    <mergeCell ref="A8:H8"/>
    <mergeCell ref="A10:H10"/>
  </mergeCells>
  <phoneticPr fontId="31" type="noConversion"/>
  <pageMargins left="0.75" right="0.75" top="1" bottom="1" header="0.5" footer="0.5"/>
  <pageSetup firstPageNumber="205" fitToHeight="0" orientation="portrait"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6"/>
  <sheetViews>
    <sheetView zoomScale="60" zoomScaleNormal="100" workbookViewId="0">
      <selection activeCell="A2" sqref="A2"/>
    </sheetView>
  </sheetViews>
  <sheetFormatPr defaultColWidth="7.109375" defaultRowHeight="12.75"/>
  <cols>
    <col min="1" max="1" width="3.44140625" style="465" customWidth="1"/>
    <col min="2" max="2" width="18.5546875" style="461" bestFit="1" customWidth="1"/>
    <col min="3" max="3" width="17.77734375" style="461" customWidth="1"/>
    <col min="4" max="4" width="16.6640625" style="468" customWidth="1"/>
    <col min="5" max="16384" width="7.109375" style="461"/>
  </cols>
  <sheetData>
    <row r="1" spans="1:6" s="46" customFormat="1" ht="16.5" customHeight="1">
      <c r="A1" s="1" t="str">
        <f>'Sources and Use'!A1</f>
        <v>Seniors First RFP: Kingsborough and Morris Houses</v>
      </c>
      <c r="C1" s="24"/>
      <c r="D1" s="450" t="str">
        <f>'Sources and Use'!C2</f>
        <v>Units:</v>
      </c>
      <c r="E1" s="1">
        <f>'Units &amp; Income'!B22</f>
        <v>0</v>
      </c>
      <c r="F1" s="25"/>
    </row>
    <row r="2" spans="1:6" s="46" customFormat="1" ht="16.5" customHeight="1">
      <c r="A2" s="1" t="str">
        <f>'Sources and Use'!A2</f>
        <v>Site:</v>
      </c>
      <c r="C2" s="24"/>
      <c r="D2" s="89"/>
      <c r="E2" s="1"/>
      <c r="F2" s="25"/>
    </row>
    <row r="4" spans="1:6" s="463" customFormat="1">
      <c r="A4" s="462" t="s">
        <v>264</v>
      </c>
      <c r="D4" s="464" t="s">
        <v>265</v>
      </c>
    </row>
    <row r="6" spans="1:6" ht="20.25" customHeight="1">
      <c r="A6" s="465">
        <v>1</v>
      </c>
      <c r="B6" s="461" t="s">
        <v>266</v>
      </c>
      <c r="D6" s="466"/>
    </row>
    <row r="7" spans="1:6" ht="20.25" customHeight="1">
      <c r="A7" s="465">
        <v>2</v>
      </c>
      <c r="B7" s="461" t="s">
        <v>267</v>
      </c>
      <c r="D7" s="466"/>
    </row>
    <row r="8" spans="1:6" ht="20.25" customHeight="1">
      <c r="A8" s="465">
        <v>3</v>
      </c>
      <c r="B8" s="533" t="s">
        <v>336</v>
      </c>
      <c r="D8" s="466"/>
    </row>
    <row r="9" spans="1:6" ht="20.25" customHeight="1">
      <c r="A9" s="465">
        <v>4</v>
      </c>
      <c r="B9" s="461" t="s">
        <v>268</v>
      </c>
      <c r="D9" s="466"/>
    </row>
    <row r="10" spans="1:6" ht="20.25" customHeight="1">
      <c r="A10" s="465">
        <v>5</v>
      </c>
      <c r="B10" s="461" t="s">
        <v>269</v>
      </c>
      <c r="D10" s="466"/>
    </row>
    <row r="11" spans="1:6" ht="20.25" customHeight="1">
      <c r="A11" s="465" t="s">
        <v>270</v>
      </c>
      <c r="B11" s="461" t="s">
        <v>271</v>
      </c>
      <c r="D11" s="466"/>
    </row>
    <row r="12" spans="1:6" ht="20.25" customHeight="1">
      <c r="A12" s="465" t="s">
        <v>272</v>
      </c>
      <c r="B12" s="461" t="s">
        <v>273</v>
      </c>
      <c r="D12" s="466"/>
    </row>
    <row r="13" spans="1:6" ht="20.25" customHeight="1">
      <c r="A13" s="465">
        <v>7</v>
      </c>
      <c r="B13" s="461" t="s">
        <v>274</v>
      </c>
      <c r="D13" s="466"/>
    </row>
    <row r="14" spans="1:6" ht="20.25" customHeight="1">
      <c r="A14" s="465">
        <v>8</v>
      </c>
      <c r="B14" s="461" t="s">
        <v>275</v>
      </c>
      <c r="D14" s="466"/>
    </row>
    <row r="15" spans="1:6" ht="20.25" customHeight="1">
      <c r="A15" s="465">
        <v>9</v>
      </c>
      <c r="B15" s="461" t="s">
        <v>276</v>
      </c>
      <c r="D15" s="466"/>
    </row>
    <row r="16" spans="1:6" ht="20.25" customHeight="1">
      <c r="A16" s="465">
        <v>10</v>
      </c>
      <c r="B16" s="461" t="s">
        <v>277</v>
      </c>
      <c r="D16" s="466"/>
    </row>
    <row r="17" spans="1:4" ht="20.25" customHeight="1">
      <c r="A17" s="465">
        <v>11</v>
      </c>
      <c r="B17" s="461" t="s">
        <v>278</v>
      </c>
      <c r="D17" s="466"/>
    </row>
    <row r="18" spans="1:4" ht="20.25" customHeight="1">
      <c r="A18" s="465">
        <v>12</v>
      </c>
      <c r="B18" s="461" t="s">
        <v>279</v>
      </c>
      <c r="D18" s="466"/>
    </row>
    <row r="19" spans="1:4" ht="20.25" customHeight="1">
      <c r="A19" s="465">
        <v>13</v>
      </c>
      <c r="B19" s="461" t="s">
        <v>280</v>
      </c>
      <c r="D19" s="466"/>
    </row>
    <row r="20" spans="1:4" ht="20.25" customHeight="1">
      <c r="A20" s="465">
        <v>14</v>
      </c>
      <c r="B20" s="461" t="s">
        <v>281</v>
      </c>
      <c r="D20" s="466"/>
    </row>
    <row r="21" spans="1:4" ht="20.25" customHeight="1">
      <c r="A21" s="465">
        <v>15</v>
      </c>
      <c r="B21" s="461" t="s">
        <v>282</v>
      </c>
      <c r="D21" s="466"/>
    </row>
    <row r="22" spans="1:4" ht="20.25" customHeight="1">
      <c r="A22" s="465">
        <v>16</v>
      </c>
      <c r="B22" s="461" t="s">
        <v>283</v>
      </c>
      <c r="D22" s="466"/>
    </row>
    <row r="23" spans="1:4" ht="20.25" customHeight="1">
      <c r="A23" s="465" t="s">
        <v>284</v>
      </c>
      <c r="B23" s="461" t="s">
        <v>21</v>
      </c>
      <c r="D23" s="466"/>
    </row>
    <row r="24" spans="1:4" ht="20.25" customHeight="1">
      <c r="A24" s="465" t="s">
        <v>285</v>
      </c>
      <c r="B24" s="461" t="s">
        <v>286</v>
      </c>
      <c r="D24" s="466"/>
    </row>
    <row r="25" spans="1:4" ht="20.25" customHeight="1">
      <c r="A25" s="465">
        <v>18</v>
      </c>
      <c r="B25" s="461" t="s">
        <v>287</v>
      </c>
      <c r="D25" s="466"/>
    </row>
    <row r="26" spans="1:4" ht="20.25" customHeight="1">
      <c r="A26" s="465">
        <v>19</v>
      </c>
      <c r="B26" s="461" t="s">
        <v>288</v>
      </c>
      <c r="D26" s="466"/>
    </row>
    <row r="27" spans="1:4" ht="20.25" customHeight="1">
      <c r="A27" s="465">
        <v>20</v>
      </c>
      <c r="B27" s="461" t="s">
        <v>289</v>
      </c>
      <c r="D27" s="466"/>
    </row>
    <row r="28" spans="1:4" ht="20.25" customHeight="1">
      <c r="A28" s="465">
        <v>21</v>
      </c>
      <c r="B28" s="461" t="s">
        <v>290</v>
      </c>
      <c r="D28" s="466"/>
    </row>
    <row r="29" spans="1:4" ht="20.25" customHeight="1">
      <c r="A29" s="465">
        <v>22</v>
      </c>
      <c r="B29" s="461" t="s">
        <v>291</v>
      </c>
      <c r="D29" s="466"/>
    </row>
    <row r="30" spans="1:4" ht="20.25" customHeight="1">
      <c r="A30" s="465">
        <v>23</v>
      </c>
      <c r="B30" s="461" t="s">
        <v>291</v>
      </c>
      <c r="D30" s="466"/>
    </row>
    <row r="31" spans="1:4" ht="20.25" customHeight="1">
      <c r="A31" s="467">
        <v>24</v>
      </c>
      <c r="B31" s="461" t="s">
        <v>291</v>
      </c>
      <c r="D31" s="466"/>
    </row>
    <row r="32" spans="1:4" s="463" customFormat="1" ht="20.25" customHeight="1">
      <c r="A32" s="462">
        <v>25</v>
      </c>
      <c r="B32" s="463" t="s">
        <v>343</v>
      </c>
      <c r="D32" s="466">
        <f>SUM(D6:D31)</f>
        <v>0</v>
      </c>
    </row>
    <row r="33" spans="1:4" ht="20.25" customHeight="1">
      <c r="A33" s="465">
        <v>26</v>
      </c>
      <c r="B33" s="461" t="s">
        <v>112</v>
      </c>
      <c r="D33" s="466"/>
    </row>
    <row r="34" spans="1:4" ht="20.25" customHeight="1">
      <c r="A34" s="465">
        <v>27</v>
      </c>
      <c r="B34" s="461" t="s">
        <v>292</v>
      </c>
      <c r="D34" s="466"/>
    </row>
    <row r="35" spans="1:4" ht="20.25" customHeight="1">
      <c r="A35" s="467">
        <v>28</v>
      </c>
      <c r="B35" s="461" t="s">
        <v>293</v>
      </c>
      <c r="D35" s="466"/>
    </row>
    <row r="36" spans="1:4" s="463" customFormat="1" ht="20.25" customHeight="1">
      <c r="A36" s="463">
        <v>29</v>
      </c>
      <c r="B36" s="463" t="s">
        <v>344</v>
      </c>
      <c r="D36" s="466">
        <f>SUM(D32:D35)</f>
        <v>0</v>
      </c>
    </row>
  </sheetData>
  <phoneticPr fontId="31" type="noConversion"/>
  <printOptions horizontalCentered="1"/>
  <pageMargins left="0.75" right="0.75" top="1" bottom="1" header="0.5" footer="0.5"/>
  <pageSetup scale="94" firstPageNumber="214"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25"/>
  <sheetViews>
    <sheetView zoomScale="70" zoomScaleNormal="70" workbookViewId="0">
      <selection activeCell="E9" sqref="E9"/>
    </sheetView>
  </sheetViews>
  <sheetFormatPr defaultRowHeight="15"/>
  <cols>
    <col min="1" max="1" width="34.109375" customWidth="1"/>
    <col min="3" max="3" width="11.88671875" bestFit="1" customWidth="1"/>
    <col min="5" max="5" width="12.21875" bestFit="1" customWidth="1"/>
    <col min="7" max="7" width="12.21875" bestFit="1" customWidth="1"/>
    <col min="9" max="9" width="11.6640625" bestFit="1" customWidth="1"/>
  </cols>
  <sheetData>
    <row r="1" spans="1:9">
      <c r="A1" s="463" t="str">
        <f>'Sources and Use'!A1</f>
        <v>Seniors First RFP: Kingsborough and Morris Houses</v>
      </c>
      <c r="B1" s="463"/>
      <c r="C1" s="463"/>
      <c r="D1" s="463"/>
      <c r="E1" s="463"/>
      <c r="F1" s="463"/>
      <c r="G1" s="527" t="str">
        <f>'Sources and Use'!C2</f>
        <v>Units:</v>
      </c>
      <c r="H1" s="463"/>
      <c r="I1" s="463">
        <f>'Units &amp; Income'!B22</f>
        <v>0</v>
      </c>
    </row>
    <row r="2" spans="1:9" ht="15.75">
      <c r="A2" s="463" t="str">
        <f>'Sources and Use'!A2</f>
        <v>Site:</v>
      </c>
      <c r="B2" s="526"/>
      <c r="C2" s="528"/>
      <c r="D2" s="528"/>
      <c r="E2" s="528"/>
      <c r="F2" s="528"/>
      <c r="G2" s="528"/>
      <c r="H2" s="528"/>
      <c r="I2" s="528"/>
    </row>
    <row r="3" spans="1:9" ht="33" customHeight="1">
      <c r="A3" s="804" t="s">
        <v>333</v>
      </c>
      <c r="B3" s="804"/>
      <c r="C3" s="805"/>
      <c r="D3" s="805"/>
      <c r="E3" s="805"/>
      <c r="F3" s="805"/>
      <c r="G3" s="805"/>
      <c r="H3" s="805"/>
      <c r="I3" s="805"/>
    </row>
    <row r="4" spans="1:9">
      <c r="A4" s="804" t="s">
        <v>464</v>
      </c>
      <c r="B4" s="804"/>
      <c r="C4" s="805"/>
      <c r="D4" s="805"/>
      <c r="E4" s="805"/>
      <c r="F4" s="805"/>
      <c r="G4" s="805"/>
      <c r="H4" s="805"/>
      <c r="I4" s="805"/>
    </row>
    <row r="5" spans="1:9">
      <c r="A5" s="461"/>
      <c r="B5" s="461"/>
      <c r="C5" s="474" t="s">
        <v>307</v>
      </c>
      <c r="D5" s="475"/>
      <c r="E5" s="474" t="s">
        <v>308</v>
      </c>
      <c r="F5" s="475"/>
      <c r="G5" s="474" t="s">
        <v>309</v>
      </c>
      <c r="H5" s="476"/>
      <c r="I5" s="477" t="s">
        <v>310</v>
      </c>
    </row>
    <row r="6" spans="1:9">
      <c r="A6" s="478" t="s">
        <v>413</v>
      </c>
      <c r="B6" s="479"/>
      <c r="C6" s="480" t="s">
        <v>312</v>
      </c>
      <c r="D6" s="481"/>
      <c r="E6" s="480" t="s">
        <v>312</v>
      </c>
      <c r="F6" s="481"/>
      <c r="G6" s="480" t="s">
        <v>312</v>
      </c>
      <c r="H6" s="482"/>
      <c r="I6" s="483" t="s">
        <v>313</v>
      </c>
    </row>
    <row r="7" spans="1:9">
      <c r="A7" s="462" t="s">
        <v>424</v>
      </c>
    </row>
    <row r="8" spans="1:9">
      <c r="A8" s="637" t="s">
        <v>414</v>
      </c>
    </row>
    <row r="9" spans="1:9">
      <c r="A9" s="637" t="s">
        <v>415</v>
      </c>
    </row>
    <row r="10" spans="1:9">
      <c r="A10" s="637" t="s">
        <v>416</v>
      </c>
    </row>
    <row r="11" spans="1:9">
      <c r="A11" s="637" t="s">
        <v>417</v>
      </c>
    </row>
    <row r="12" spans="1:9">
      <c r="A12" s="637" t="s">
        <v>425</v>
      </c>
    </row>
    <row r="13" spans="1:9">
      <c r="A13" s="637" t="s">
        <v>471</v>
      </c>
    </row>
    <row r="14" spans="1:9">
      <c r="A14" s="637" t="s">
        <v>472</v>
      </c>
    </row>
    <row r="15" spans="1:9">
      <c r="A15" s="637" t="s">
        <v>473</v>
      </c>
    </row>
    <row r="16" spans="1:9">
      <c r="A16" s="637"/>
    </row>
    <row r="17" spans="1:1">
      <c r="A17" s="638" t="s">
        <v>426</v>
      </c>
    </row>
    <row r="18" spans="1:1">
      <c r="A18" s="637" t="s">
        <v>418</v>
      </c>
    </row>
    <row r="19" spans="1:1">
      <c r="A19" s="637" t="s">
        <v>419</v>
      </c>
    </row>
    <row r="20" spans="1:1">
      <c r="A20" s="637" t="s">
        <v>420</v>
      </c>
    </row>
    <row r="21" spans="1:1">
      <c r="A21" s="637" t="s">
        <v>421</v>
      </c>
    </row>
    <row r="22" spans="1:1">
      <c r="A22" s="637" t="s">
        <v>422</v>
      </c>
    </row>
    <row r="23" spans="1:1">
      <c r="A23" s="637" t="s">
        <v>423</v>
      </c>
    </row>
    <row r="24" spans="1:1">
      <c r="A24" s="637" t="s">
        <v>428</v>
      </c>
    </row>
    <row r="25" spans="1:1">
      <c r="A25" s="637" t="s">
        <v>427</v>
      </c>
    </row>
    <row r="26" spans="1:1">
      <c r="A26" s="637" t="s">
        <v>429</v>
      </c>
    </row>
    <row r="27" spans="1:1">
      <c r="A27" s="637" t="s">
        <v>430</v>
      </c>
    </row>
    <row r="28" spans="1:1">
      <c r="A28" s="637"/>
    </row>
    <row r="29" spans="1:1">
      <c r="A29" s="638" t="s">
        <v>437</v>
      </c>
    </row>
    <row r="30" spans="1:1">
      <c r="A30" s="637" t="s">
        <v>438</v>
      </c>
    </row>
    <row r="31" spans="1:1">
      <c r="A31" s="637" t="s">
        <v>445</v>
      </c>
    </row>
    <row r="32" spans="1:1">
      <c r="A32" s="637" t="s">
        <v>446</v>
      </c>
    </row>
    <row r="33" spans="1:1">
      <c r="A33" s="637" t="s">
        <v>447</v>
      </c>
    </row>
    <row r="34" spans="1:1">
      <c r="A34" s="637" t="s">
        <v>448</v>
      </c>
    </row>
    <row r="35" spans="1:1">
      <c r="A35" s="637" t="s">
        <v>449</v>
      </c>
    </row>
    <row r="36" spans="1:1">
      <c r="A36" s="637" t="s">
        <v>450</v>
      </c>
    </row>
    <row r="37" spans="1:1">
      <c r="A37" s="637" t="s">
        <v>451</v>
      </c>
    </row>
    <row r="38" spans="1:1">
      <c r="A38" s="637" t="s">
        <v>451</v>
      </c>
    </row>
    <row r="39" spans="1:1">
      <c r="A39" s="637" t="s">
        <v>452</v>
      </c>
    </row>
    <row r="40" spans="1:1">
      <c r="A40" s="637" t="s">
        <v>462</v>
      </c>
    </row>
    <row r="41" spans="1:1">
      <c r="A41" s="637" t="s">
        <v>456</v>
      </c>
    </row>
    <row r="42" spans="1:1">
      <c r="A42" s="637" t="s">
        <v>455</v>
      </c>
    </row>
    <row r="43" spans="1:1">
      <c r="A43" s="637" t="s">
        <v>454</v>
      </c>
    </row>
    <row r="44" spans="1:1">
      <c r="A44" s="637" t="s">
        <v>453</v>
      </c>
    </row>
    <row r="45" spans="1:1">
      <c r="A45" s="637" t="s">
        <v>457</v>
      </c>
    </row>
    <row r="46" spans="1:1">
      <c r="A46" s="637" t="s">
        <v>458</v>
      </c>
    </row>
    <row r="47" spans="1:1">
      <c r="A47" s="637" t="s">
        <v>459</v>
      </c>
    </row>
    <row r="48" spans="1:1">
      <c r="A48" s="637" t="s">
        <v>460</v>
      </c>
    </row>
    <row r="49" spans="1:1">
      <c r="A49" s="637"/>
    </row>
    <row r="50" spans="1:1">
      <c r="A50" s="638" t="s">
        <v>465</v>
      </c>
    </row>
    <row r="51" spans="1:1">
      <c r="A51" s="637" t="s">
        <v>466</v>
      </c>
    </row>
    <row r="52" spans="1:1">
      <c r="A52" s="637" t="s">
        <v>467</v>
      </c>
    </row>
    <row r="53" spans="1:1">
      <c r="A53" s="637" t="s">
        <v>468</v>
      </c>
    </row>
    <row r="54" spans="1:1">
      <c r="A54" s="637" t="s">
        <v>435</v>
      </c>
    </row>
    <row r="55" spans="1:1">
      <c r="A55" s="637" t="s">
        <v>436</v>
      </c>
    </row>
    <row r="56" spans="1:1">
      <c r="A56" s="637"/>
    </row>
    <row r="57" spans="1:1">
      <c r="A57" s="638" t="s">
        <v>432</v>
      </c>
    </row>
    <row r="58" spans="1:1">
      <c r="A58" s="637" t="s">
        <v>431</v>
      </c>
    </row>
    <row r="59" spans="1:1">
      <c r="A59" s="637" t="s">
        <v>439</v>
      </c>
    </row>
    <row r="60" spans="1:1">
      <c r="A60" s="637" t="s">
        <v>440</v>
      </c>
    </row>
    <row r="61" spans="1:1">
      <c r="A61" s="637" t="s">
        <v>441</v>
      </c>
    </row>
    <row r="62" spans="1:1">
      <c r="A62" s="637" t="s">
        <v>442</v>
      </c>
    </row>
    <row r="63" spans="1:1">
      <c r="A63" s="637" t="s">
        <v>443</v>
      </c>
    </row>
    <row r="64" spans="1:1">
      <c r="A64" s="637" t="s">
        <v>470</v>
      </c>
    </row>
    <row r="65" spans="1:1">
      <c r="A65" s="637" t="s">
        <v>444</v>
      </c>
    </row>
    <row r="66" spans="1:1">
      <c r="A66" s="637"/>
    </row>
    <row r="67" spans="1:1">
      <c r="A67" s="638" t="s">
        <v>461</v>
      </c>
    </row>
    <row r="68" spans="1:1">
      <c r="A68" s="637"/>
    </row>
    <row r="69" spans="1:1">
      <c r="A69" s="637"/>
    </row>
    <row r="70" spans="1:1">
      <c r="A70" s="637"/>
    </row>
    <row r="71" spans="1:1">
      <c r="A71" s="637"/>
    </row>
    <row r="72" spans="1:1">
      <c r="A72" s="637"/>
    </row>
    <row r="73" spans="1:1">
      <c r="A73" s="637"/>
    </row>
    <row r="74" spans="1:1">
      <c r="A74" s="637"/>
    </row>
    <row r="75" spans="1:1">
      <c r="A75" s="637"/>
    </row>
    <row r="76" spans="1:1">
      <c r="A76" s="637"/>
    </row>
    <row r="77" spans="1:1">
      <c r="A77" s="637"/>
    </row>
    <row r="78" spans="1:1">
      <c r="A78" s="637"/>
    </row>
    <row r="79" spans="1:1">
      <c r="A79" s="637"/>
    </row>
    <row r="80" spans="1:1">
      <c r="A80" s="637"/>
    </row>
    <row r="81" spans="1:1">
      <c r="A81" s="637"/>
    </row>
    <row r="82" spans="1:1">
      <c r="A82" s="637"/>
    </row>
    <row r="83" spans="1:1">
      <c r="A83" s="637"/>
    </row>
    <row r="84" spans="1:1">
      <c r="A84" s="637"/>
    </row>
    <row r="85" spans="1:1">
      <c r="A85" s="637"/>
    </row>
    <row r="86" spans="1:1">
      <c r="A86" s="637"/>
    </row>
    <row r="87" spans="1:1">
      <c r="A87" s="637"/>
    </row>
    <row r="88" spans="1:1">
      <c r="A88" s="637"/>
    </row>
    <row r="89" spans="1:1">
      <c r="A89" s="637"/>
    </row>
    <row r="90" spans="1:1">
      <c r="A90" s="637"/>
    </row>
    <row r="91" spans="1:1">
      <c r="A91" s="637"/>
    </row>
    <row r="92" spans="1:1">
      <c r="A92" s="637"/>
    </row>
    <row r="93" spans="1:1">
      <c r="A93" s="637"/>
    </row>
    <row r="94" spans="1:1">
      <c r="A94" s="637"/>
    </row>
    <row r="95" spans="1:1">
      <c r="A95" s="637"/>
    </row>
    <row r="96" spans="1:1">
      <c r="A96" s="637"/>
    </row>
    <row r="97" spans="1:1">
      <c r="A97" s="637"/>
    </row>
    <row r="98" spans="1:1">
      <c r="A98" s="637"/>
    </row>
    <row r="99" spans="1:1">
      <c r="A99" s="637"/>
    </row>
    <row r="100" spans="1:1">
      <c r="A100" s="637"/>
    </row>
    <row r="101" spans="1:1">
      <c r="A101" s="637"/>
    </row>
    <row r="102" spans="1:1">
      <c r="A102" s="637"/>
    </row>
    <row r="103" spans="1:1">
      <c r="A103" s="637"/>
    </row>
    <row r="104" spans="1:1">
      <c r="A104" s="637"/>
    </row>
    <row r="105" spans="1:1">
      <c r="A105" s="637"/>
    </row>
    <row r="106" spans="1:1">
      <c r="A106" s="637"/>
    </row>
    <row r="107" spans="1:1">
      <c r="A107" s="637"/>
    </row>
    <row r="108" spans="1:1">
      <c r="A108" s="637"/>
    </row>
    <row r="109" spans="1:1">
      <c r="A109" s="637"/>
    </row>
    <row r="110" spans="1:1">
      <c r="A110" s="637"/>
    </row>
    <row r="111" spans="1:1">
      <c r="A111" s="637"/>
    </row>
    <row r="112" spans="1:1">
      <c r="A112" s="637"/>
    </row>
    <row r="113" spans="1:1">
      <c r="A113" s="637"/>
    </row>
    <row r="114" spans="1:1">
      <c r="A114" s="637"/>
    </row>
    <row r="115" spans="1:1">
      <c r="A115" s="637"/>
    </row>
    <row r="116" spans="1:1">
      <c r="A116" s="637"/>
    </row>
    <row r="117" spans="1:1">
      <c r="A117" s="637"/>
    </row>
    <row r="118" spans="1:1">
      <c r="A118" s="637"/>
    </row>
    <row r="119" spans="1:1">
      <c r="A119" s="637"/>
    </row>
    <row r="120" spans="1:1">
      <c r="A120" s="637"/>
    </row>
    <row r="121" spans="1:1">
      <c r="A121" s="637"/>
    </row>
    <row r="122" spans="1:1">
      <c r="A122" s="637"/>
    </row>
    <row r="123" spans="1:1">
      <c r="A123" s="637"/>
    </row>
    <row r="124" spans="1:1">
      <c r="A124" s="637"/>
    </row>
    <row r="125" spans="1:1">
      <c r="A125" s="637"/>
    </row>
  </sheetData>
  <mergeCells count="2">
    <mergeCell ref="A3:I3"/>
    <mergeCell ref="A4:I4"/>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2"/>
  <sheetViews>
    <sheetView zoomScale="60" zoomScaleNormal="100" workbookViewId="0">
      <selection activeCell="K33" sqref="K33"/>
    </sheetView>
  </sheetViews>
  <sheetFormatPr defaultColWidth="7.109375" defaultRowHeight="12.75"/>
  <cols>
    <col min="1" max="1" width="34.44140625" style="461" customWidth="1"/>
    <col min="2" max="4" width="7.109375" style="461" customWidth="1"/>
    <col min="5" max="5" width="10.44140625" style="461" customWidth="1"/>
    <col min="6" max="16384" width="7.109375" style="461"/>
  </cols>
  <sheetData>
    <row r="1" spans="1:7" s="530" customFormat="1" ht="15.75">
      <c r="A1" s="530" t="str">
        <f>'Sources and Use'!A1</f>
        <v>Seniors First RFP: Kingsborough and Morris Houses</v>
      </c>
      <c r="F1" s="530" t="str">
        <f>'Sources and Use'!C2</f>
        <v>Units:</v>
      </c>
      <c r="G1" s="530">
        <f>'Units &amp; Income'!B22</f>
        <v>0</v>
      </c>
    </row>
    <row r="2" spans="1:7" s="532" customFormat="1" ht="20.25" customHeight="1">
      <c r="A2" s="530" t="str">
        <f>'Sources and Use'!A2</f>
        <v>Site:</v>
      </c>
      <c r="B2" s="531"/>
      <c r="C2" s="531"/>
      <c r="D2" s="531"/>
      <c r="E2" s="531"/>
      <c r="F2" s="531"/>
      <c r="G2" s="531"/>
    </row>
    <row r="3" spans="1:7" ht="11.25" customHeight="1">
      <c r="A3" s="469"/>
    </row>
    <row r="4" spans="1:7">
      <c r="A4" s="463" t="s">
        <v>294</v>
      </c>
    </row>
    <row r="6" spans="1:7">
      <c r="A6" s="461" t="s">
        <v>295</v>
      </c>
    </row>
    <row r="8" spans="1:7" ht="20.25" customHeight="1">
      <c r="A8" s="639" t="s">
        <v>433</v>
      </c>
      <c r="E8" s="640"/>
    </row>
    <row r="9" spans="1:7" ht="20.25" customHeight="1">
      <c r="A9" s="639" t="s">
        <v>434</v>
      </c>
      <c r="E9" s="641"/>
    </row>
    <row r="10" spans="1:7" ht="20.25" customHeight="1">
      <c r="A10" s="639" t="s">
        <v>463</v>
      </c>
      <c r="E10" s="641"/>
    </row>
    <row r="11" spans="1:7" ht="20.25" customHeight="1"/>
    <row r="12" spans="1:7" ht="18" customHeight="1">
      <c r="A12" s="461" t="s">
        <v>296</v>
      </c>
      <c r="E12" s="470">
        <f>'Units &amp; Income'!B5</f>
        <v>0</v>
      </c>
    </row>
    <row r="13" spans="1:7" ht="18" customHeight="1">
      <c r="A13" s="461" t="s">
        <v>297</v>
      </c>
      <c r="E13" s="470"/>
    </row>
    <row r="14" spans="1:7" ht="18" customHeight="1">
      <c r="A14" s="461" t="s">
        <v>298</v>
      </c>
      <c r="E14" s="470"/>
    </row>
    <row r="15" spans="1:7" ht="18" customHeight="1">
      <c r="A15" s="461" t="s">
        <v>299</v>
      </c>
      <c r="E15" s="470"/>
    </row>
    <row r="16" spans="1:7" ht="18" customHeight="1">
      <c r="A16" s="461" t="s">
        <v>300</v>
      </c>
      <c r="E16" s="470"/>
    </row>
    <row r="17" spans="1:5" ht="18" customHeight="1">
      <c r="A17" s="461" t="s">
        <v>301</v>
      </c>
      <c r="E17" s="470"/>
    </row>
    <row r="18" spans="1:5" ht="18" customHeight="1">
      <c r="A18" s="461" t="s">
        <v>302</v>
      </c>
      <c r="E18" s="470">
        <f>'Units &amp; Income'!B6</f>
        <v>0</v>
      </c>
    </row>
    <row r="19" spans="1:5" ht="18" customHeight="1">
      <c r="A19" s="461" t="s">
        <v>303</v>
      </c>
      <c r="E19" s="470">
        <f>'Units &amp; Income'!B7</f>
        <v>0</v>
      </c>
    </row>
    <row r="20" spans="1:5" ht="18" customHeight="1">
      <c r="A20" s="525" t="s">
        <v>304</v>
      </c>
      <c r="E20" s="470"/>
    </row>
    <row r="21" spans="1:5" ht="18" customHeight="1">
      <c r="A21" s="461" t="s">
        <v>305</v>
      </c>
      <c r="E21" s="470"/>
    </row>
    <row r="22" spans="1:5" ht="18" customHeight="1">
      <c r="A22" s="463" t="s">
        <v>306</v>
      </c>
      <c r="E22" s="471">
        <f>SUM(E12:E21)</f>
        <v>0</v>
      </c>
    </row>
  </sheetData>
  <phoneticPr fontId="31" type="noConversion"/>
  <printOptions horizontalCentered="1"/>
  <pageMargins left="0.75" right="0.75" top="1" bottom="1" header="0.5" footer="0.5"/>
  <pageSetup firstPageNumber="21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54"/>
  <sheetViews>
    <sheetView zoomScale="55" zoomScaleNormal="55" workbookViewId="0">
      <selection activeCell="E9" sqref="E9"/>
    </sheetView>
  </sheetViews>
  <sheetFormatPr defaultColWidth="7.109375" defaultRowHeight="12.75"/>
  <cols>
    <col min="1" max="1" width="17.5546875" style="461" customWidth="1"/>
    <col min="2" max="2" width="14.77734375" style="461" customWidth="1"/>
    <col min="3" max="3" width="13.5546875" style="461" customWidth="1"/>
    <col min="4" max="4" width="1.21875" style="461" customWidth="1"/>
    <col min="5" max="5" width="13.6640625" style="461" customWidth="1"/>
    <col min="6" max="6" width="1.21875" style="461" customWidth="1"/>
    <col min="7" max="7" width="13.88671875" style="461" customWidth="1"/>
    <col min="8" max="8" width="1.21875" style="461" customWidth="1"/>
    <col min="9" max="9" width="10.33203125" style="461" customWidth="1"/>
    <col min="10" max="16384" width="7.109375" style="461"/>
  </cols>
  <sheetData>
    <row r="1" spans="1:256" s="463" customFormat="1">
      <c r="A1" s="463" t="str">
        <f>'Sources and Use'!A1</f>
        <v>Seniors First RFP: Kingsborough and Morris Houses</v>
      </c>
      <c r="G1" s="527" t="str">
        <f>'Sources and Use'!C2</f>
        <v>Units:</v>
      </c>
      <c r="I1" s="463">
        <f>'Units &amp; Income'!B22</f>
        <v>0</v>
      </c>
      <c r="BQ1" s="463" t="s">
        <v>263</v>
      </c>
      <c r="BR1" s="463" t="s">
        <v>263</v>
      </c>
      <c r="BS1" s="463" t="s">
        <v>263</v>
      </c>
      <c r="BT1" s="463" t="s">
        <v>263</v>
      </c>
      <c r="BU1" s="463" t="s">
        <v>263</v>
      </c>
      <c r="BV1" s="463" t="s">
        <v>263</v>
      </c>
      <c r="BW1" s="463" t="s">
        <v>263</v>
      </c>
      <c r="BX1" s="463" t="s">
        <v>263</v>
      </c>
      <c r="BY1" s="463" t="s">
        <v>263</v>
      </c>
      <c r="BZ1" s="463" t="s">
        <v>263</v>
      </c>
      <c r="CA1" s="463" t="s">
        <v>263</v>
      </c>
      <c r="CB1" s="463" t="s">
        <v>263</v>
      </c>
      <c r="CC1" s="463" t="s">
        <v>263</v>
      </c>
      <c r="CD1" s="463" t="s">
        <v>263</v>
      </c>
      <c r="CE1" s="463" t="s">
        <v>263</v>
      </c>
      <c r="CF1" s="463" t="s">
        <v>263</v>
      </c>
      <c r="CG1" s="463" t="s">
        <v>263</v>
      </c>
      <c r="CH1" s="463" t="s">
        <v>263</v>
      </c>
      <c r="CI1" s="463" t="s">
        <v>263</v>
      </c>
      <c r="CJ1" s="463" t="s">
        <v>263</v>
      </c>
      <c r="CK1" s="463" t="s">
        <v>263</v>
      </c>
      <c r="CL1" s="463" t="s">
        <v>263</v>
      </c>
      <c r="CM1" s="463" t="s">
        <v>263</v>
      </c>
      <c r="CN1" s="463" t="s">
        <v>263</v>
      </c>
      <c r="CO1" s="463" t="s">
        <v>263</v>
      </c>
      <c r="CP1" s="463" t="s">
        <v>263</v>
      </c>
      <c r="CQ1" s="463" t="s">
        <v>263</v>
      </c>
      <c r="CR1" s="463" t="s">
        <v>263</v>
      </c>
      <c r="CS1" s="463" t="s">
        <v>263</v>
      </c>
      <c r="CT1" s="463" t="s">
        <v>263</v>
      </c>
      <c r="CU1" s="463" t="s">
        <v>263</v>
      </c>
      <c r="CV1" s="463" t="s">
        <v>263</v>
      </c>
      <c r="CW1" s="463" t="s">
        <v>263</v>
      </c>
      <c r="CX1" s="463" t="s">
        <v>263</v>
      </c>
      <c r="CY1" s="463" t="s">
        <v>263</v>
      </c>
      <c r="CZ1" s="463" t="s">
        <v>263</v>
      </c>
      <c r="DA1" s="463" t="s">
        <v>263</v>
      </c>
      <c r="DB1" s="463" t="s">
        <v>263</v>
      </c>
      <c r="DC1" s="463" t="s">
        <v>263</v>
      </c>
      <c r="DD1" s="463" t="s">
        <v>263</v>
      </c>
      <c r="DE1" s="463" t="s">
        <v>263</v>
      </c>
      <c r="DF1" s="463" t="s">
        <v>263</v>
      </c>
      <c r="DG1" s="463" t="s">
        <v>263</v>
      </c>
      <c r="DH1" s="463" t="s">
        <v>263</v>
      </c>
      <c r="DI1" s="463" t="s">
        <v>263</v>
      </c>
      <c r="DJ1" s="463" t="s">
        <v>263</v>
      </c>
      <c r="DK1" s="463" t="s">
        <v>263</v>
      </c>
      <c r="DL1" s="463" t="s">
        <v>263</v>
      </c>
      <c r="DM1" s="463" t="s">
        <v>263</v>
      </c>
      <c r="DN1" s="463" t="s">
        <v>263</v>
      </c>
      <c r="DO1" s="463" t="s">
        <v>263</v>
      </c>
      <c r="DP1" s="463" t="s">
        <v>263</v>
      </c>
      <c r="DQ1" s="463" t="s">
        <v>263</v>
      </c>
      <c r="DR1" s="463" t="s">
        <v>263</v>
      </c>
      <c r="DS1" s="463" t="s">
        <v>263</v>
      </c>
      <c r="DT1" s="463" t="s">
        <v>263</v>
      </c>
      <c r="DU1" s="463" t="s">
        <v>263</v>
      </c>
      <c r="DV1" s="463" t="s">
        <v>263</v>
      </c>
      <c r="DW1" s="463" t="s">
        <v>263</v>
      </c>
      <c r="DX1" s="463" t="s">
        <v>263</v>
      </c>
      <c r="DY1" s="463" t="s">
        <v>263</v>
      </c>
      <c r="DZ1" s="463" t="s">
        <v>263</v>
      </c>
      <c r="EA1" s="463" t="s">
        <v>263</v>
      </c>
      <c r="EB1" s="463" t="s">
        <v>263</v>
      </c>
      <c r="EC1" s="463" t="s">
        <v>263</v>
      </c>
      <c r="ED1" s="463" t="s">
        <v>263</v>
      </c>
      <c r="EE1" s="463" t="s">
        <v>263</v>
      </c>
      <c r="EF1" s="463" t="s">
        <v>263</v>
      </c>
      <c r="EG1" s="463" t="s">
        <v>263</v>
      </c>
      <c r="EH1" s="463" t="s">
        <v>263</v>
      </c>
      <c r="EI1" s="463" t="s">
        <v>263</v>
      </c>
      <c r="EJ1" s="463" t="s">
        <v>263</v>
      </c>
      <c r="EK1" s="463" t="s">
        <v>263</v>
      </c>
      <c r="EL1" s="463" t="s">
        <v>263</v>
      </c>
      <c r="EM1" s="463" t="s">
        <v>263</v>
      </c>
      <c r="EN1" s="463" t="s">
        <v>263</v>
      </c>
      <c r="EO1" s="463" t="s">
        <v>263</v>
      </c>
      <c r="EP1" s="463" t="s">
        <v>263</v>
      </c>
      <c r="EQ1" s="463" t="s">
        <v>263</v>
      </c>
      <c r="ER1" s="463" t="s">
        <v>263</v>
      </c>
      <c r="ES1" s="463" t="s">
        <v>263</v>
      </c>
      <c r="ET1" s="463" t="s">
        <v>263</v>
      </c>
      <c r="EU1" s="463" t="s">
        <v>263</v>
      </c>
      <c r="EV1" s="463" t="s">
        <v>263</v>
      </c>
      <c r="EW1" s="463" t="s">
        <v>263</v>
      </c>
      <c r="EX1" s="463" t="s">
        <v>263</v>
      </c>
      <c r="EY1" s="463" t="s">
        <v>263</v>
      </c>
      <c r="EZ1" s="463" t="s">
        <v>263</v>
      </c>
      <c r="FA1" s="463" t="s">
        <v>263</v>
      </c>
      <c r="FB1" s="463" t="s">
        <v>263</v>
      </c>
      <c r="FC1" s="463" t="s">
        <v>263</v>
      </c>
      <c r="FD1" s="463" t="s">
        <v>263</v>
      </c>
      <c r="FE1" s="463" t="s">
        <v>263</v>
      </c>
      <c r="FF1" s="463" t="s">
        <v>263</v>
      </c>
      <c r="FG1" s="463" t="s">
        <v>263</v>
      </c>
      <c r="FH1" s="463" t="s">
        <v>263</v>
      </c>
      <c r="FI1" s="463" t="s">
        <v>263</v>
      </c>
      <c r="FJ1" s="463" t="s">
        <v>263</v>
      </c>
      <c r="FK1" s="463" t="s">
        <v>263</v>
      </c>
      <c r="FL1" s="463" t="s">
        <v>263</v>
      </c>
      <c r="FM1" s="463" t="s">
        <v>263</v>
      </c>
      <c r="FN1" s="463" t="s">
        <v>263</v>
      </c>
      <c r="FO1" s="463" t="s">
        <v>263</v>
      </c>
      <c r="FP1" s="463" t="s">
        <v>263</v>
      </c>
      <c r="FQ1" s="463" t="s">
        <v>263</v>
      </c>
      <c r="FR1" s="463" t="s">
        <v>263</v>
      </c>
      <c r="FS1" s="463" t="s">
        <v>263</v>
      </c>
      <c r="FT1" s="463" t="s">
        <v>263</v>
      </c>
      <c r="FU1" s="463" t="s">
        <v>263</v>
      </c>
      <c r="FV1" s="463" t="s">
        <v>263</v>
      </c>
      <c r="FW1" s="463" t="s">
        <v>263</v>
      </c>
      <c r="FX1" s="463" t="s">
        <v>263</v>
      </c>
      <c r="FY1" s="463" t="s">
        <v>263</v>
      </c>
      <c r="FZ1" s="463" t="s">
        <v>263</v>
      </c>
      <c r="GA1" s="463" t="s">
        <v>263</v>
      </c>
      <c r="GB1" s="463" t="s">
        <v>263</v>
      </c>
      <c r="GC1" s="463" t="s">
        <v>263</v>
      </c>
      <c r="GD1" s="463" t="s">
        <v>263</v>
      </c>
      <c r="GE1" s="463" t="s">
        <v>263</v>
      </c>
      <c r="GF1" s="463" t="s">
        <v>263</v>
      </c>
      <c r="GG1" s="463" t="s">
        <v>263</v>
      </c>
      <c r="GH1" s="463" t="s">
        <v>263</v>
      </c>
      <c r="GI1" s="463" t="s">
        <v>263</v>
      </c>
      <c r="GJ1" s="463" t="s">
        <v>263</v>
      </c>
      <c r="GK1" s="463" t="s">
        <v>263</v>
      </c>
      <c r="GL1" s="463" t="s">
        <v>263</v>
      </c>
      <c r="GM1" s="463" t="s">
        <v>263</v>
      </c>
      <c r="GN1" s="463" t="s">
        <v>263</v>
      </c>
      <c r="GO1" s="463" t="s">
        <v>263</v>
      </c>
      <c r="GP1" s="463" t="s">
        <v>263</v>
      </c>
      <c r="GQ1" s="463" t="s">
        <v>263</v>
      </c>
      <c r="GR1" s="463" t="s">
        <v>263</v>
      </c>
      <c r="GS1" s="463" t="s">
        <v>263</v>
      </c>
      <c r="GT1" s="463" t="s">
        <v>263</v>
      </c>
      <c r="GU1" s="463" t="s">
        <v>263</v>
      </c>
      <c r="GV1" s="463" t="s">
        <v>263</v>
      </c>
      <c r="GW1" s="463" t="s">
        <v>263</v>
      </c>
      <c r="GX1" s="463" t="s">
        <v>263</v>
      </c>
      <c r="GY1" s="463" t="s">
        <v>263</v>
      </c>
      <c r="GZ1" s="463" t="s">
        <v>263</v>
      </c>
      <c r="HA1" s="463" t="s">
        <v>263</v>
      </c>
      <c r="HB1" s="463" t="s">
        <v>263</v>
      </c>
      <c r="HC1" s="463" t="s">
        <v>263</v>
      </c>
      <c r="HD1" s="463" t="s">
        <v>263</v>
      </c>
      <c r="HE1" s="463" t="s">
        <v>263</v>
      </c>
      <c r="HF1" s="463" t="s">
        <v>263</v>
      </c>
      <c r="HG1" s="463" t="s">
        <v>263</v>
      </c>
      <c r="HH1" s="463" t="s">
        <v>263</v>
      </c>
      <c r="HI1" s="463" t="s">
        <v>263</v>
      </c>
      <c r="HJ1" s="463" t="s">
        <v>263</v>
      </c>
      <c r="HK1" s="463" t="s">
        <v>263</v>
      </c>
      <c r="HL1" s="463" t="s">
        <v>263</v>
      </c>
      <c r="HM1" s="463" t="s">
        <v>263</v>
      </c>
      <c r="HN1" s="463" t="s">
        <v>263</v>
      </c>
      <c r="HO1" s="463" t="s">
        <v>263</v>
      </c>
      <c r="HP1" s="463" t="s">
        <v>263</v>
      </c>
      <c r="HQ1" s="463" t="s">
        <v>263</v>
      </c>
      <c r="HR1" s="463" t="s">
        <v>263</v>
      </c>
      <c r="HS1" s="463" t="s">
        <v>263</v>
      </c>
      <c r="HT1" s="463" t="s">
        <v>263</v>
      </c>
      <c r="HU1" s="463" t="s">
        <v>263</v>
      </c>
      <c r="HV1" s="463" t="s">
        <v>263</v>
      </c>
      <c r="HW1" s="463" t="s">
        <v>263</v>
      </c>
      <c r="HX1" s="463" t="s">
        <v>263</v>
      </c>
      <c r="HY1" s="463" t="s">
        <v>263</v>
      </c>
      <c r="HZ1" s="463" t="s">
        <v>263</v>
      </c>
      <c r="IA1" s="463" t="s">
        <v>263</v>
      </c>
      <c r="IB1" s="463" t="s">
        <v>263</v>
      </c>
      <c r="IC1" s="463" t="s">
        <v>263</v>
      </c>
      <c r="ID1" s="463" t="s">
        <v>263</v>
      </c>
      <c r="IE1" s="463" t="s">
        <v>263</v>
      </c>
      <c r="IF1" s="463" t="s">
        <v>263</v>
      </c>
      <c r="IG1" s="463" t="s">
        <v>263</v>
      </c>
      <c r="IH1" s="463" t="s">
        <v>263</v>
      </c>
      <c r="II1" s="463" t="s">
        <v>263</v>
      </c>
      <c r="IJ1" s="463" t="s">
        <v>263</v>
      </c>
      <c r="IK1" s="463" t="s">
        <v>263</v>
      </c>
      <c r="IL1" s="463" t="s">
        <v>263</v>
      </c>
      <c r="IM1" s="463" t="s">
        <v>263</v>
      </c>
      <c r="IN1" s="463" t="s">
        <v>263</v>
      </c>
      <c r="IO1" s="463" t="s">
        <v>263</v>
      </c>
      <c r="IP1" s="463" t="s">
        <v>263</v>
      </c>
      <c r="IQ1" s="463" t="s">
        <v>263</v>
      </c>
      <c r="IR1" s="463" t="s">
        <v>263</v>
      </c>
      <c r="IS1" s="463" t="s">
        <v>263</v>
      </c>
      <c r="IT1" s="463" t="s">
        <v>263</v>
      </c>
      <c r="IU1" s="463" t="s">
        <v>263</v>
      </c>
      <c r="IV1" s="463" t="s">
        <v>263</v>
      </c>
    </row>
    <row r="2" spans="1:256" s="529" customFormat="1" ht="20.25" customHeight="1">
      <c r="A2" s="463" t="str">
        <f>'Sources and Use'!A2</f>
        <v>Site:</v>
      </c>
      <c r="B2" s="526"/>
      <c r="C2" s="528"/>
      <c r="D2" s="528"/>
      <c r="E2" s="528"/>
      <c r="F2" s="528"/>
      <c r="G2" s="528"/>
      <c r="H2" s="528"/>
      <c r="I2" s="528"/>
    </row>
    <row r="3" spans="1:256" ht="36.75" customHeight="1">
      <c r="A3" s="804" t="s">
        <v>333</v>
      </c>
      <c r="B3" s="804"/>
      <c r="C3" s="805"/>
      <c r="D3" s="805"/>
      <c r="E3" s="805"/>
      <c r="F3" s="805"/>
      <c r="G3" s="805"/>
      <c r="H3" s="805"/>
      <c r="I3" s="805"/>
    </row>
    <row r="4" spans="1:256" ht="7.5" customHeight="1">
      <c r="A4" s="472"/>
      <c r="B4" s="472"/>
      <c r="C4" s="473"/>
      <c r="D4" s="473"/>
      <c r="E4" s="473"/>
      <c r="F4" s="473"/>
      <c r="G4" s="473"/>
      <c r="H4" s="473"/>
      <c r="I4" s="473"/>
    </row>
    <row r="5" spans="1:256" ht="20.25" customHeight="1">
      <c r="C5" s="474" t="s">
        <v>307</v>
      </c>
      <c r="D5" s="475"/>
      <c r="E5" s="474" t="s">
        <v>308</v>
      </c>
      <c r="F5" s="475"/>
      <c r="G5" s="474" t="s">
        <v>309</v>
      </c>
      <c r="H5" s="476"/>
      <c r="I5" s="477" t="s">
        <v>310</v>
      </c>
    </row>
    <row r="6" spans="1:256" ht="18" customHeight="1">
      <c r="A6" s="478" t="s">
        <v>311</v>
      </c>
      <c r="B6" s="479"/>
      <c r="C6" s="480" t="s">
        <v>312</v>
      </c>
      <c r="D6" s="481"/>
      <c r="E6" s="480" t="s">
        <v>312</v>
      </c>
      <c r="F6" s="481"/>
      <c r="G6" s="480" t="s">
        <v>312</v>
      </c>
      <c r="H6" s="482"/>
      <c r="I6" s="483" t="s">
        <v>313</v>
      </c>
    </row>
    <row r="7" spans="1:256" ht="18" customHeight="1">
      <c r="A7" s="811" t="s">
        <v>314</v>
      </c>
      <c r="B7" s="811"/>
      <c r="C7" s="484"/>
      <c r="D7" s="485"/>
      <c r="E7" s="484"/>
      <c r="F7" s="485"/>
      <c r="G7" s="484"/>
      <c r="H7" s="460"/>
      <c r="I7" s="486">
        <f>SUM(C7:G7)</f>
        <v>0</v>
      </c>
    </row>
    <row r="8" spans="1:256" ht="18" customHeight="1">
      <c r="A8" s="811" t="s">
        <v>193</v>
      </c>
      <c r="B8" s="811"/>
      <c r="C8" s="484"/>
      <c r="D8" s="485"/>
      <c r="E8" s="484"/>
      <c r="F8" s="485"/>
      <c r="G8" s="484"/>
      <c r="H8" s="460"/>
      <c r="I8" s="486">
        <f>SUM(C8:G8)</f>
        <v>0</v>
      </c>
    </row>
    <row r="9" spans="1:256" ht="18" customHeight="1">
      <c r="A9" s="811" t="s">
        <v>315</v>
      </c>
      <c r="B9" s="811"/>
      <c r="C9" s="484"/>
      <c r="D9" s="485"/>
      <c r="E9" s="484"/>
      <c r="F9" s="485"/>
      <c r="G9" s="484"/>
      <c r="H9" s="460"/>
      <c r="I9" s="486">
        <f>SUM(C9:G9)</f>
        <v>0</v>
      </c>
    </row>
    <row r="10" spans="1:256" ht="18" customHeight="1">
      <c r="A10" s="811" t="s">
        <v>316</v>
      </c>
      <c r="B10" s="811"/>
      <c r="C10" s="484"/>
      <c r="D10" s="485"/>
      <c r="E10" s="484"/>
      <c r="F10" s="485"/>
      <c r="G10" s="484"/>
      <c r="H10" s="460"/>
      <c r="I10" s="486">
        <f>SUM(C10:G10)</f>
        <v>0</v>
      </c>
    </row>
    <row r="11" spans="1:256" ht="20.25" customHeight="1">
      <c r="A11" s="461" t="s">
        <v>311</v>
      </c>
      <c r="C11" s="487">
        <f>SUM(C7:C10)</f>
        <v>0</v>
      </c>
      <c r="D11" s="488"/>
      <c r="E11" s="487">
        <f>SUM(E7:E10)</f>
        <v>0</v>
      </c>
      <c r="F11" s="488"/>
      <c r="G11" s="487">
        <f>SUM(G7:G10)</f>
        <v>0</v>
      </c>
      <c r="H11" s="489"/>
      <c r="I11" s="487">
        <f>SUM(I7:I10)</f>
        <v>0</v>
      </c>
    </row>
    <row r="12" spans="1:256" ht="16.5" customHeight="1">
      <c r="C12" s="460"/>
      <c r="D12" s="485"/>
      <c r="E12" s="460"/>
      <c r="F12" s="485"/>
      <c r="G12" s="460"/>
      <c r="H12" s="460"/>
      <c r="I12" s="490"/>
    </row>
    <row r="13" spans="1:256">
      <c r="A13" s="806" t="s">
        <v>317</v>
      </c>
      <c r="B13" s="806"/>
      <c r="C13" s="491"/>
      <c r="D13" s="485"/>
      <c r="E13" s="491"/>
      <c r="F13" s="485"/>
      <c r="G13" s="491"/>
      <c r="H13" s="491"/>
      <c r="I13" s="490"/>
    </row>
    <row r="14" spans="1:256" ht="18" customHeight="1">
      <c r="A14" s="492" t="s">
        <v>318</v>
      </c>
      <c r="B14" s="493" t="s">
        <v>319</v>
      </c>
      <c r="C14" s="494"/>
      <c r="D14" s="485"/>
      <c r="E14" s="494"/>
      <c r="F14" s="485"/>
      <c r="G14" s="494"/>
      <c r="H14" s="491"/>
      <c r="I14" s="490"/>
    </row>
    <row r="15" spans="1:256" ht="18" customHeight="1">
      <c r="A15" s="495" t="s">
        <v>320</v>
      </c>
      <c r="B15" s="496"/>
      <c r="C15" s="497"/>
      <c r="D15" s="485"/>
      <c r="E15" s="497"/>
      <c r="F15" s="485"/>
      <c r="G15" s="497"/>
      <c r="H15" s="491"/>
      <c r="I15" s="486">
        <f>SUM(C15:G15)</f>
        <v>0</v>
      </c>
    </row>
    <row r="16" spans="1:256" ht="18" customHeight="1">
      <c r="A16" s="495" t="s">
        <v>321</v>
      </c>
      <c r="B16" s="496"/>
      <c r="C16" s="484"/>
      <c r="D16" s="485"/>
      <c r="E16" s="484"/>
      <c r="F16" s="485"/>
      <c r="G16" s="484"/>
      <c r="H16" s="491"/>
      <c r="I16" s="486">
        <f>SUM(C16:G16)</f>
        <v>0</v>
      </c>
    </row>
    <row r="17" spans="1:9" ht="18" customHeight="1">
      <c r="A17" s="495" t="s">
        <v>321</v>
      </c>
      <c r="B17" s="496"/>
      <c r="C17" s="484"/>
      <c r="D17" s="485"/>
      <c r="E17" s="484"/>
      <c r="F17" s="485"/>
      <c r="G17" s="484"/>
      <c r="H17" s="491"/>
      <c r="I17" s="486">
        <f>SUM(C17:G17)</f>
        <v>0</v>
      </c>
    </row>
    <row r="18" spans="1:9" ht="18" customHeight="1">
      <c r="A18" s="495" t="s">
        <v>321</v>
      </c>
      <c r="B18" s="496"/>
      <c r="C18" s="484"/>
      <c r="D18" s="485"/>
      <c r="E18" s="484"/>
      <c r="F18" s="485"/>
      <c r="G18" s="484"/>
      <c r="H18" s="491"/>
      <c r="I18" s="486">
        <f>SUM(C18:G18)</f>
        <v>0</v>
      </c>
    </row>
    <row r="19" spans="1:9" ht="18" customHeight="1">
      <c r="A19" s="495" t="s">
        <v>321</v>
      </c>
      <c r="B19" s="496"/>
      <c r="C19" s="484"/>
      <c r="D19" s="485"/>
      <c r="E19" s="484"/>
      <c r="F19" s="485"/>
      <c r="G19" s="484"/>
      <c r="H19" s="491"/>
      <c r="I19" s="486">
        <f>SUM(C19:G19)</f>
        <v>0</v>
      </c>
    </row>
    <row r="20" spans="1:9" ht="18" customHeight="1">
      <c r="A20" s="807" t="s">
        <v>322</v>
      </c>
      <c r="B20" s="807"/>
      <c r="C20" s="487">
        <f>SUM(C15:C19)</f>
        <v>0</v>
      </c>
      <c r="D20" s="487"/>
      <c r="E20" s="487">
        <f>SUM(E15:E19)</f>
        <v>0</v>
      </c>
      <c r="F20" s="487"/>
      <c r="G20" s="487">
        <f>SUM(G15:G19)</f>
        <v>0</v>
      </c>
      <c r="H20" s="487"/>
      <c r="I20" s="487">
        <f>SUM(I15:I19)</f>
        <v>0</v>
      </c>
    </row>
    <row r="21" spans="1:9" ht="18" customHeight="1">
      <c r="A21" s="809"/>
      <c r="B21" s="809"/>
    </row>
    <row r="22" spans="1:9" ht="18" customHeight="1">
      <c r="A22" s="492" t="s">
        <v>323</v>
      </c>
      <c r="B22" s="493" t="s">
        <v>319</v>
      </c>
    </row>
    <row r="23" spans="1:9" ht="18" customHeight="1">
      <c r="A23" s="495" t="s">
        <v>324</v>
      </c>
      <c r="B23" s="496"/>
      <c r="C23" s="497"/>
      <c r="D23" s="485"/>
      <c r="E23" s="497"/>
      <c r="F23" s="485"/>
      <c r="G23" s="497"/>
      <c r="I23" s="486">
        <f t="shared" ref="I23:I28" si="0">SUM(C23:G23)</f>
        <v>0</v>
      </c>
    </row>
    <row r="24" spans="1:9" ht="18" customHeight="1">
      <c r="A24" s="495" t="s">
        <v>325</v>
      </c>
      <c r="B24" s="496"/>
      <c r="C24" s="497"/>
      <c r="D24" s="485"/>
      <c r="E24" s="497"/>
      <c r="F24" s="485"/>
      <c r="G24" s="497"/>
      <c r="H24" s="491"/>
      <c r="I24" s="486">
        <f t="shared" si="0"/>
        <v>0</v>
      </c>
    </row>
    <row r="25" spans="1:9" ht="18" customHeight="1">
      <c r="A25" s="495" t="s">
        <v>325</v>
      </c>
      <c r="B25" s="496"/>
      <c r="C25" s="497"/>
      <c r="D25" s="485"/>
      <c r="E25" s="497"/>
      <c r="F25" s="485"/>
      <c r="G25" s="497"/>
      <c r="H25" s="491"/>
      <c r="I25" s="486">
        <f t="shared" si="0"/>
        <v>0</v>
      </c>
    </row>
    <row r="26" spans="1:9" ht="18" customHeight="1">
      <c r="A26" s="495" t="s">
        <v>321</v>
      </c>
      <c r="B26" s="496"/>
      <c r="C26" s="497"/>
      <c r="D26" s="485"/>
      <c r="E26" s="497"/>
      <c r="F26" s="485"/>
      <c r="G26" s="497"/>
      <c r="H26" s="491"/>
      <c r="I26" s="486">
        <f t="shared" si="0"/>
        <v>0</v>
      </c>
    </row>
    <row r="27" spans="1:9" ht="18" customHeight="1">
      <c r="A27" s="495" t="s">
        <v>321</v>
      </c>
      <c r="B27" s="496"/>
      <c r="C27" s="497"/>
      <c r="D27" s="485"/>
      <c r="E27" s="497"/>
      <c r="F27" s="485"/>
      <c r="G27" s="497"/>
      <c r="H27" s="491"/>
      <c r="I27" s="486">
        <f t="shared" si="0"/>
        <v>0</v>
      </c>
    </row>
    <row r="28" spans="1:9" ht="18" customHeight="1">
      <c r="A28" s="807" t="s">
        <v>326</v>
      </c>
      <c r="B28" s="807"/>
      <c r="C28" s="487">
        <f>SUM(C23:C27)</f>
        <v>0</v>
      </c>
      <c r="D28" s="487"/>
      <c r="E28" s="487">
        <f>SUM(E23:E27)</f>
        <v>0</v>
      </c>
      <c r="F28" s="487"/>
      <c r="G28" s="487">
        <f>SUM(G23:G27)</f>
        <v>0</v>
      </c>
      <c r="H28" s="491"/>
      <c r="I28" s="486">
        <f t="shared" si="0"/>
        <v>0</v>
      </c>
    </row>
    <row r="29" spans="1:9" ht="18" customHeight="1">
      <c r="A29" s="809"/>
      <c r="B29" s="809"/>
      <c r="C29" s="460"/>
      <c r="D29" s="485"/>
      <c r="E29" s="460"/>
      <c r="F29" s="485"/>
      <c r="G29" s="460"/>
      <c r="H29" s="491"/>
      <c r="I29" s="491"/>
    </row>
    <row r="30" spans="1:9" ht="18" customHeight="1">
      <c r="A30" s="807" t="s">
        <v>327</v>
      </c>
      <c r="B30" s="807"/>
      <c r="C30" s="498">
        <f>C20+C28</f>
        <v>0</v>
      </c>
      <c r="D30" s="488"/>
      <c r="E30" s="498">
        <f>E20+E28</f>
        <v>0</v>
      </c>
      <c r="F30" s="488"/>
      <c r="G30" s="498">
        <f>G20+G28</f>
        <v>0</v>
      </c>
      <c r="H30" s="463"/>
      <c r="I30" s="486">
        <f>I20+I28</f>
        <v>0</v>
      </c>
    </row>
    <row r="31" spans="1:9" ht="18" customHeight="1">
      <c r="A31" s="808"/>
      <c r="B31" s="808"/>
      <c r="C31" s="460"/>
      <c r="D31" s="485"/>
      <c r="E31" s="460"/>
      <c r="F31" s="485"/>
      <c r="G31" s="460"/>
      <c r="H31" s="491"/>
      <c r="I31" s="491"/>
    </row>
    <row r="32" spans="1:9" ht="18" customHeight="1">
      <c r="A32" s="810" t="s">
        <v>328</v>
      </c>
      <c r="B32" s="810"/>
      <c r="C32" s="460"/>
      <c r="D32" s="485"/>
      <c r="E32" s="460"/>
      <c r="F32" s="485"/>
      <c r="G32" s="460"/>
      <c r="H32" s="491"/>
      <c r="I32" s="491"/>
    </row>
    <row r="33" spans="1:9" ht="18" customHeight="1">
      <c r="A33" s="807" t="s">
        <v>329</v>
      </c>
      <c r="B33" s="807"/>
      <c r="C33" s="497"/>
      <c r="D33" s="485"/>
      <c r="E33" s="497"/>
      <c r="F33" s="485"/>
      <c r="G33" s="497"/>
      <c r="H33" s="491"/>
      <c r="I33" s="486">
        <f>SUM(C33:G33)</f>
        <v>0</v>
      </c>
    </row>
    <row r="34" spans="1:9" ht="18" customHeight="1">
      <c r="A34" s="492" t="s">
        <v>318</v>
      </c>
      <c r="B34" s="493" t="s">
        <v>319</v>
      </c>
      <c r="C34" s="494"/>
      <c r="D34" s="485"/>
      <c r="E34" s="494"/>
      <c r="F34" s="485"/>
      <c r="G34" s="494"/>
      <c r="H34" s="491"/>
      <c r="I34" s="490"/>
    </row>
    <row r="35" spans="1:9" ht="18" customHeight="1">
      <c r="A35" s="495" t="s">
        <v>320</v>
      </c>
      <c r="B35" s="496"/>
      <c r="C35" s="497"/>
      <c r="D35" s="485"/>
      <c r="E35" s="497"/>
      <c r="F35" s="485"/>
      <c r="G35" s="497"/>
      <c r="H35" s="491"/>
      <c r="I35" s="486">
        <f>SUM(C35:G35)</f>
        <v>0</v>
      </c>
    </row>
    <row r="36" spans="1:9" ht="18" customHeight="1">
      <c r="A36" s="495" t="s">
        <v>321</v>
      </c>
      <c r="B36" s="496"/>
      <c r="C36" s="484"/>
      <c r="D36" s="485"/>
      <c r="E36" s="484"/>
      <c r="F36" s="485"/>
      <c r="G36" s="484"/>
      <c r="H36" s="491"/>
      <c r="I36" s="486">
        <f>SUM(C36:G36)</f>
        <v>0</v>
      </c>
    </row>
    <row r="37" spans="1:9" ht="18" customHeight="1">
      <c r="A37" s="495" t="s">
        <v>321</v>
      </c>
      <c r="B37" s="496"/>
      <c r="C37" s="484"/>
      <c r="D37" s="485"/>
      <c r="E37" s="484"/>
      <c r="F37" s="485"/>
      <c r="G37" s="484"/>
      <c r="H37" s="491"/>
      <c r="I37" s="486">
        <f>SUM(C37:G37)</f>
        <v>0</v>
      </c>
    </row>
    <row r="38" spans="1:9" ht="18" customHeight="1">
      <c r="A38" s="495" t="s">
        <v>321</v>
      </c>
      <c r="B38" s="496"/>
      <c r="C38" s="484"/>
      <c r="D38" s="485"/>
      <c r="E38" s="484"/>
      <c r="F38" s="485"/>
      <c r="G38" s="484"/>
      <c r="H38" s="491"/>
      <c r="I38" s="486">
        <f>SUM(C38:G38)</f>
        <v>0</v>
      </c>
    </row>
    <row r="39" spans="1:9" ht="18" customHeight="1">
      <c r="A39" s="495" t="s">
        <v>321</v>
      </c>
      <c r="B39" s="496"/>
      <c r="C39" s="484"/>
      <c r="D39" s="485"/>
      <c r="E39" s="484"/>
      <c r="F39" s="485"/>
      <c r="G39" s="484"/>
      <c r="H39" s="491"/>
      <c r="I39" s="486">
        <f>SUM(C39:G39)</f>
        <v>0</v>
      </c>
    </row>
    <row r="40" spans="1:9" ht="18" customHeight="1">
      <c r="A40" s="807" t="s">
        <v>322</v>
      </c>
      <c r="B40" s="807"/>
      <c r="C40" s="487">
        <f>SUM(C33:C39)</f>
        <v>0</v>
      </c>
      <c r="D40" s="489"/>
      <c r="E40" s="487">
        <f>SUM(E33:E39)</f>
        <v>0</v>
      </c>
      <c r="F40" s="489"/>
      <c r="G40" s="487">
        <f>SUM(G33:G39)</f>
        <v>0</v>
      </c>
      <c r="H40" s="489"/>
      <c r="I40" s="487">
        <f>SUM(I33:I39)</f>
        <v>0</v>
      </c>
    </row>
    <row r="41" spans="1:9" ht="18" customHeight="1">
      <c r="A41" s="807"/>
      <c r="B41" s="807"/>
    </row>
    <row r="42" spans="1:9" ht="18" customHeight="1">
      <c r="A42" s="492" t="s">
        <v>323</v>
      </c>
      <c r="B42" s="493" t="s">
        <v>319</v>
      </c>
    </row>
    <row r="43" spans="1:9" ht="18" customHeight="1">
      <c r="A43" s="495" t="s">
        <v>334</v>
      </c>
      <c r="B43" s="496"/>
      <c r="C43" s="497"/>
      <c r="D43" s="485"/>
      <c r="E43" s="497"/>
      <c r="F43" s="485"/>
      <c r="G43" s="497"/>
      <c r="I43" s="498">
        <f t="shared" ref="I43:I48" si="1">SUM(C43:G43)</f>
        <v>0</v>
      </c>
    </row>
    <row r="44" spans="1:9" ht="18" customHeight="1">
      <c r="A44" s="495" t="s">
        <v>335</v>
      </c>
      <c r="B44" s="496"/>
      <c r="C44" s="497"/>
      <c r="D44" s="485"/>
      <c r="E44" s="497"/>
      <c r="F44" s="485"/>
      <c r="G44" s="497"/>
      <c r="H44" s="499"/>
      <c r="I44" s="498">
        <f t="shared" si="1"/>
        <v>0</v>
      </c>
    </row>
    <row r="45" spans="1:9" ht="18" customHeight="1">
      <c r="A45" s="495" t="s">
        <v>325</v>
      </c>
      <c r="B45" s="496"/>
      <c r="C45" s="497"/>
      <c r="D45" s="485"/>
      <c r="E45" s="497"/>
      <c r="F45" s="485"/>
      <c r="G45" s="497"/>
      <c r="H45" s="500"/>
      <c r="I45" s="498">
        <f t="shared" si="1"/>
        <v>0</v>
      </c>
    </row>
    <row r="46" spans="1:9" ht="18" customHeight="1">
      <c r="A46" s="495" t="s">
        <v>321</v>
      </c>
      <c r="B46" s="496"/>
      <c r="C46" s="497"/>
      <c r="D46" s="485"/>
      <c r="E46" s="497"/>
      <c r="F46" s="485"/>
      <c r="G46" s="497"/>
      <c r="H46" s="500"/>
      <c r="I46" s="498">
        <f t="shared" si="1"/>
        <v>0</v>
      </c>
    </row>
    <row r="47" spans="1:9" ht="18" customHeight="1">
      <c r="A47" s="495" t="s">
        <v>321</v>
      </c>
      <c r="B47" s="496"/>
      <c r="C47" s="497"/>
      <c r="D47" s="485"/>
      <c r="E47" s="497"/>
      <c r="F47" s="485"/>
      <c r="G47" s="497"/>
      <c r="H47" s="499"/>
      <c r="I47" s="498">
        <f t="shared" si="1"/>
        <v>0</v>
      </c>
    </row>
    <row r="48" spans="1:9" ht="18" customHeight="1">
      <c r="A48" s="812" t="s">
        <v>326</v>
      </c>
      <c r="B48" s="812"/>
      <c r="C48" s="498">
        <f>SUM(C43:C47)</f>
        <v>0</v>
      </c>
      <c r="D48" s="488"/>
      <c r="E48" s="498">
        <f>SUM(E43:E47)</f>
        <v>0</v>
      </c>
      <c r="F48" s="488"/>
      <c r="G48" s="498">
        <f>SUM(G43:G47)</f>
        <v>0</v>
      </c>
      <c r="H48" s="501"/>
      <c r="I48" s="498">
        <f t="shared" si="1"/>
        <v>0</v>
      </c>
    </row>
    <row r="49" spans="1:9" ht="18" customHeight="1">
      <c r="A49" s="502"/>
      <c r="B49" s="502"/>
      <c r="D49" s="503"/>
      <c r="F49" s="503"/>
      <c r="H49" s="499"/>
    </row>
    <row r="50" spans="1:9" ht="18" customHeight="1">
      <c r="A50" s="812" t="s">
        <v>330</v>
      </c>
      <c r="B50" s="812"/>
      <c r="C50" s="486">
        <f>C33+C40+C48</f>
        <v>0</v>
      </c>
      <c r="D50" s="489"/>
      <c r="E50" s="486">
        <f>E33+E40+E48</f>
        <v>0</v>
      </c>
      <c r="F50" s="489"/>
      <c r="G50" s="486">
        <f>G33+G40+G48</f>
        <v>0</v>
      </c>
      <c r="H50" s="463"/>
      <c r="I50" s="504">
        <f>C50+E50+G50</f>
        <v>0</v>
      </c>
    </row>
    <row r="51" spans="1:9" ht="18" customHeight="1">
      <c r="D51" s="503"/>
      <c r="F51" s="503"/>
    </row>
    <row r="52" spans="1:9" ht="18" customHeight="1">
      <c r="A52" s="812" t="s">
        <v>331</v>
      </c>
      <c r="B52" s="812"/>
      <c r="C52" s="505"/>
      <c r="D52" s="506"/>
      <c r="E52" s="505"/>
      <c r="F52" s="506"/>
      <c r="G52" s="505"/>
      <c r="H52" s="500"/>
      <c r="I52" s="507">
        <f>SUM(C52:G52)</f>
        <v>0</v>
      </c>
    </row>
    <row r="53" spans="1:9" ht="18" customHeight="1">
      <c r="A53" s="812" t="s">
        <v>332</v>
      </c>
      <c r="B53" s="812"/>
      <c r="C53" s="505"/>
      <c r="D53" s="506"/>
      <c r="E53" s="505"/>
      <c r="F53" s="506"/>
      <c r="G53" s="505"/>
      <c r="H53" s="500"/>
      <c r="I53" s="507">
        <f>SUM(C53:G53)</f>
        <v>0</v>
      </c>
    </row>
    <row r="54" spans="1:9" ht="18" customHeight="1">
      <c r="A54" s="636"/>
      <c r="B54" s="636"/>
      <c r="C54" s="505"/>
      <c r="D54" s="506"/>
      <c r="E54" s="505"/>
      <c r="F54" s="506"/>
      <c r="G54" s="505"/>
      <c r="H54" s="500"/>
      <c r="I54" s="507"/>
    </row>
  </sheetData>
  <mergeCells count="20">
    <mergeCell ref="A53:B53"/>
    <mergeCell ref="A52:B52"/>
    <mergeCell ref="A50:B50"/>
    <mergeCell ref="A48:B48"/>
    <mergeCell ref="A40:B40"/>
    <mergeCell ref="A41:B41"/>
    <mergeCell ref="A3:I3"/>
    <mergeCell ref="A13:B13"/>
    <mergeCell ref="A20:B20"/>
    <mergeCell ref="A33:B33"/>
    <mergeCell ref="A31:B31"/>
    <mergeCell ref="A29:B29"/>
    <mergeCell ref="A21:B21"/>
    <mergeCell ref="A28:B28"/>
    <mergeCell ref="A30:B30"/>
    <mergeCell ref="A32:B32"/>
    <mergeCell ref="A7:B7"/>
    <mergeCell ref="A8:B8"/>
    <mergeCell ref="A9:B9"/>
    <mergeCell ref="A10:B10"/>
  </mergeCells>
  <phoneticPr fontId="31" type="noConversion"/>
  <printOptions horizontalCentered="1"/>
  <pageMargins left="0.5" right="0.5" top="0.5" bottom="0.5" header="0.5" footer="0.5"/>
  <pageSetup scale="7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H45"/>
  <sheetViews>
    <sheetView defaultGridColor="0" colorId="22" zoomScale="75" zoomScaleNormal="75" zoomScaleSheetLayoutView="75" workbookViewId="0">
      <selection activeCell="K25" sqref="K25"/>
    </sheetView>
  </sheetViews>
  <sheetFormatPr defaultColWidth="9.77734375" defaultRowHeight="15"/>
  <cols>
    <col min="1" max="1" width="41.5546875" style="46" customWidth="1"/>
    <col min="2" max="2" width="15.88671875" style="46" customWidth="1"/>
    <col min="3" max="3" width="14" style="61" customWidth="1"/>
    <col min="4" max="4" width="10.77734375" style="63" customWidth="1"/>
    <col min="5" max="16384" width="9.77734375" style="46"/>
  </cols>
  <sheetData>
    <row r="1" spans="1:8" ht="15.75">
      <c r="A1" s="568" t="s">
        <v>528</v>
      </c>
      <c r="B1" s="568"/>
      <c r="C1" s="433"/>
      <c r="D1" s="511"/>
      <c r="E1" s="18"/>
      <c r="F1" s="18"/>
      <c r="G1" s="18"/>
      <c r="H1" s="18"/>
    </row>
    <row r="2" spans="1:8" ht="15.75">
      <c r="A2" s="432" t="s">
        <v>398</v>
      </c>
      <c r="B2" s="18"/>
      <c r="C2" s="512" t="s">
        <v>238</v>
      </c>
      <c r="D2" s="573">
        <f>'Units &amp; Income'!B22</f>
        <v>0</v>
      </c>
      <c r="E2" s="18"/>
      <c r="F2" s="18"/>
      <c r="G2" s="18"/>
      <c r="H2" s="18"/>
    </row>
    <row r="3" spans="1:8" ht="23.25">
      <c r="A3" s="8"/>
      <c r="B3" s="53"/>
      <c r="C3" s="64"/>
      <c r="D3" s="62"/>
      <c r="E3" s="18"/>
      <c r="F3" s="18"/>
      <c r="G3" s="18"/>
      <c r="H3" s="18"/>
    </row>
    <row r="4" spans="1:8" ht="15.75">
      <c r="A4" s="25" t="s">
        <v>9</v>
      </c>
      <c r="B4" s="18"/>
      <c r="C4" s="65"/>
      <c r="D4" s="55"/>
      <c r="E4" s="12"/>
      <c r="H4" s="18"/>
    </row>
    <row r="5" spans="1:8" ht="16.5" thickBot="1">
      <c r="A5" s="251"/>
      <c r="B5" s="252"/>
      <c r="C5" s="253"/>
      <c r="D5" s="254"/>
      <c r="E5" s="12"/>
      <c r="F5" s="12"/>
      <c r="G5" s="12"/>
      <c r="H5" s="18"/>
    </row>
    <row r="6" spans="1:8" ht="16.5" thickTop="1">
      <c r="A6" s="262" t="s">
        <v>85</v>
      </c>
      <c r="B6" s="18"/>
      <c r="C6" s="67" t="s">
        <v>126</v>
      </c>
      <c r="D6" s="265" t="s">
        <v>127</v>
      </c>
      <c r="E6" s="12"/>
      <c r="F6" s="12"/>
      <c r="G6" s="21"/>
      <c r="H6" s="18"/>
    </row>
    <row r="7" spans="1:8">
      <c r="A7" s="459" t="str">
        <f>'Devel. Bud'!A79</f>
        <v>First Mortgage (Lender:                                )</v>
      </c>
      <c r="B7" s="21" t="e">
        <f ca="1">'Devel. Bud'!D79</f>
        <v>#DIV/0!</v>
      </c>
      <c r="C7" s="66" t="e">
        <f ca="1">B7/'Units &amp; Income'!$B$22</f>
        <v>#DIV/0!</v>
      </c>
      <c r="D7" s="41" t="e">
        <f t="shared" ref="D7:D15" ca="1" si="0">B7/$B$17</f>
        <v>#DIV/0!</v>
      </c>
      <c r="E7" s="56" t="s">
        <v>121</v>
      </c>
      <c r="F7" s="12"/>
      <c r="G7" s="17"/>
      <c r="H7" s="18"/>
    </row>
    <row r="8" spans="1:8">
      <c r="A8" s="459" t="str">
        <f>'Devel. Bud'!A80</f>
        <v>Second Mortgage (Lender:                                )</v>
      </c>
      <c r="B8" s="21">
        <f>'Devel. Bud'!D80</f>
        <v>0</v>
      </c>
      <c r="C8" s="66" t="e">
        <f>B8/'Units &amp; Income'!$B$22</f>
        <v>#DIV/0!</v>
      </c>
      <c r="D8" s="41" t="e">
        <f t="shared" ca="1" si="0"/>
        <v>#DIV/0!</v>
      </c>
      <c r="E8" s="12"/>
      <c r="F8" s="12"/>
      <c r="G8" s="17"/>
      <c r="H8" s="18"/>
    </row>
    <row r="9" spans="1:8">
      <c r="A9" s="459" t="str">
        <f>'Devel. Bud'!A81</f>
        <v>Third Mortgage (Lender:                                )</v>
      </c>
      <c r="B9" s="21">
        <f>'Devel. Bud'!D81</f>
        <v>0</v>
      </c>
      <c r="C9" s="66" t="e">
        <f>B9/'Units &amp; Income'!$B$22</f>
        <v>#DIV/0!</v>
      </c>
      <c r="D9" s="41" t="e">
        <f t="shared" ca="1" si="0"/>
        <v>#DIV/0!</v>
      </c>
      <c r="E9" s="12"/>
      <c r="F9" s="12"/>
      <c r="G9" s="17"/>
      <c r="H9" s="18"/>
    </row>
    <row r="10" spans="1:8">
      <c r="A10" s="459" t="str">
        <f>'Devel. Bud'!A82</f>
        <v>Fourth Mortgage (Lender:                                )</v>
      </c>
      <c r="B10" s="21">
        <f ca="1">'Devel. Bud'!D82</f>
        <v>0</v>
      </c>
      <c r="C10" s="66" t="e">
        <f ca="1">B10/'Units &amp; Income'!$B$22</f>
        <v>#DIV/0!</v>
      </c>
      <c r="D10" s="41" t="e">
        <f t="shared" ca="1" si="0"/>
        <v>#DIV/0!</v>
      </c>
      <c r="E10" s="12"/>
      <c r="F10" s="12"/>
      <c r="G10" s="17"/>
      <c r="H10" s="18"/>
    </row>
    <row r="11" spans="1:8">
      <c r="A11" s="575" t="str">
        <f>'Devel. Bud'!A83</f>
        <v>LIHTC Equity</v>
      </c>
      <c r="B11" s="206">
        <f>'Devel. Bud'!D83</f>
        <v>0</v>
      </c>
      <c r="C11" s="66" t="e">
        <f>B11/'Units &amp; Income'!$B$22</f>
        <v>#DIV/0!</v>
      </c>
      <c r="D11" s="41" t="e">
        <f t="shared" ca="1" si="0"/>
        <v>#DIV/0!</v>
      </c>
      <c r="E11" s="12"/>
      <c r="F11" s="12"/>
      <c r="G11" s="17"/>
      <c r="H11" s="18"/>
    </row>
    <row r="12" spans="1:8">
      <c r="A12" s="575" t="str">
        <f>'Devel. Bud'!A84</f>
        <v>Deferred Developer's Fee</v>
      </c>
      <c r="B12" s="206">
        <f>'Devel. Bud'!D84</f>
        <v>0</v>
      </c>
      <c r="C12" s="66" t="e">
        <f>B12/'Units &amp; Income'!$B$22</f>
        <v>#DIV/0!</v>
      </c>
      <c r="D12" s="41" t="e">
        <f t="shared" ca="1" si="0"/>
        <v>#DIV/0!</v>
      </c>
      <c r="E12" s="12"/>
      <c r="F12" s="12"/>
      <c r="G12" s="17"/>
      <c r="H12" s="18"/>
    </row>
    <row r="13" spans="1:8">
      <c r="A13" s="575" t="str">
        <f>'Devel. Bud'!A85</f>
        <v>Developer Equity</v>
      </c>
      <c r="B13" s="201" t="e">
        <f>'Devel. Bud'!D96</f>
        <v>#DIV/0!</v>
      </c>
      <c r="C13" s="66" t="e">
        <f>B13/'Units &amp; Income'!$B$22</f>
        <v>#DIV/0!</v>
      </c>
      <c r="D13" s="41" t="e">
        <f t="shared" ca="1" si="0"/>
        <v>#DIV/0!</v>
      </c>
      <c r="E13" s="12"/>
      <c r="F13" s="12"/>
      <c r="G13" s="17"/>
      <c r="H13" s="18"/>
    </row>
    <row r="14" spans="1:8">
      <c r="A14" s="575" t="str">
        <f>'Devel. Bud'!A86</f>
        <v>Other source (Specify:                                )</v>
      </c>
      <c r="B14" s="206">
        <f>'Devel. Bud'!D85</f>
        <v>0</v>
      </c>
      <c r="C14" s="66" t="e">
        <f>B14/'Units &amp; Income'!$B$22</f>
        <v>#DIV/0!</v>
      </c>
      <c r="D14" s="41" t="e">
        <f t="shared" ca="1" si="0"/>
        <v>#DIV/0!</v>
      </c>
      <c r="E14" s="12"/>
      <c r="F14" s="12"/>
      <c r="G14" s="17"/>
      <c r="H14" s="18"/>
    </row>
    <row r="15" spans="1:8">
      <c r="A15" s="575" t="str">
        <f>'Devel. Bud'!A87</f>
        <v>Gap/(Surplus)</v>
      </c>
      <c r="B15" s="206">
        <f>'Devel. Bud'!D86</f>
        <v>0</v>
      </c>
      <c r="C15" s="66" t="e">
        <f>B15/'Units &amp; Income'!$B$22</f>
        <v>#DIV/0!</v>
      </c>
      <c r="D15" s="41" t="e">
        <f t="shared" ca="1" si="0"/>
        <v>#DIV/0!</v>
      </c>
      <c r="E15" s="18"/>
      <c r="F15" s="22"/>
      <c r="G15" s="17"/>
      <c r="H15" s="57"/>
    </row>
    <row r="16" spans="1:8">
      <c r="A16" s="575"/>
      <c r="B16" s="206"/>
      <c r="C16" s="66"/>
      <c r="D16" s="41"/>
      <c r="E16" s="18"/>
      <c r="F16" s="22"/>
      <c r="G16" s="17"/>
      <c r="H16" s="57"/>
    </row>
    <row r="17" spans="1:8">
      <c r="A17" s="69" t="s">
        <v>10</v>
      </c>
      <c r="B17" s="258" t="e">
        <f ca="1">SUM(B7:B15)</f>
        <v>#DIV/0!</v>
      </c>
      <c r="C17" s="674" t="e">
        <f ca="1">B17/'Units &amp; Income'!$B$22</f>
        <v>#DIV/0!</v>
      </c>
      <c r="D17" s="261" t="e">
        <f ca="1">SUM(D7:D15)</f>
        <v>#DIV/0!</v>
      </c>
      <c r="E17" s="12"/>
      <c r="F17" s="58"/>
      <c r="G17" s="17"/>
      <c r="H17" s="18"/>
    </row>
    <row r="18" spans="1:8" ht="15.75" thickBot="1">
      <c r="A18" s="252"/>
      <c r="B18" s="255"/>
      <c r="C18" s="256"/>
      <c r="D18" s="257"/>
      <c r="E18" s="12"/>
      <c r="F18" s="12"/>
      <c r="G18" s="12"/>
      <c r="H18" s="18"/>
    </row>
    <row r="19" spans="1:8" ht="16.5" thickTop="1">
      <c r="A19" s="262" t="s">
        <v>81</v>
      </c>
      <c r="B19" s="183"/>
      <c r="C19" s="66"/>
      <c r="D19" s="260"/>
      <c r="E19" s="12"/>
      <c r="F19" s="12"/>
      <c r="G19" s="21"/>
      <c r="H19" s="18"/>
    </row>
    <row r="20" spans="1:8">
      <c r="A20" s="459" t="str">
        <f>A7</f>
        <v>First Mortgage (Lender:                                )</v>
      </c>
      <c r="B20" s="206" t="e">
        <f>'Devel. Bud'!D91</f>
        <v>#DIV/0!</v>
      </c>
      <c r="C20" s="66" t="e">
        <f>B20/'Units &amp; Income'!$B$22</f>
        <v>#DIV/0!</v>
      </c>
      <c r="D20" s="41" t="e">
        <f>B20/B31</f>
        <v>#DIV/0!</v>
      </c>
      <c r="E20" s="12"/>
      <c r="F20" s="12"/>
      <c r="G20" s="17"/>
      <c r="H20" s="18"/>
    </row>
    <row r="21" spans="1:8">
      <c r="A21" s="459" t="str">
        <f>A8</f>
        <v>Second Mortgage (Lender:                                )</v>
      </c>
      <c r="B21" s="206">
        <f>'Devel. Bud'!D92</f>
        <v>0</v>
      </c>
      <c r="C21" s="66" t="e">
        <f>B21/'Units &amp; Income'!$B$22</f>
        <v>#DIV/0!</v>
      </c>
      <c r="D21" s="41" t="e">
        <f t="shared" ref="D21:D29" si="1">B21/$B$31</f>
        <v>#DIV/0!</v>
      </c>
      <c r="E21" s="12"/>
      <c r="F21" s="12"/>
      <c r="G21" s="17"/>
      <c r="H21" s="18"/>
    </row>
    <row r="22" spans="1:8">
      <c r="A22" s="459" t="str">
        <f>A9</f>
        <v>Third Mortgage (Lender:                                )</v>
      </c>
      <c r="B22" s="206">
        <f>'Devel. Bud'!D93</f>
        <v>0</v>
      </c>
      <c r="C22" s="66" t="e">
        <f>B22/'Units &amp; Income'!$B$22</f>
        <v>#DIV/0!</v>
      </c>
      <c r="D22" s="41" t="e">
        <f t="shared" si="1"/>
        <v>#DIV/0!</v>
      </c>
      <c r="E22" s="12"/>
      <c r="F22" s="12"/>
      <c r="G22" s="17"/>
      <c r="H22" s="18"/>
    </row>
    <row r="23" spans="1:8">
      <c r="A23" s="459" t="str">
        <f>A10</f>
        <v>Fourth Mortgage (Lender:                                )</v>
      </c>
      <c r="B23" s="206">
        <f ca="1">'Devel. Bud'!D94</f>
        <v>0</v>
      </c>
      <c r="C23" s="66" t="e">
        <f ca="1">B23/'Units &amp; Income'!$B$22</f>
        <v>#DIV/0!</v>
      </c>
      <c r="D23" s="41" t="e">
        <f t="shared" ca="1" si="1"/>
        <v>#DIV/0!</v>
      </c>
      <c r="E23" s="12"/>
      <c r="F23" s="12"/>
      <c r="G23" s="17"/>
      <c r="H23" s="18"/>
    </row>
    <row r="24" spans="1:8">
      <c r="A24" s="459" t="str">
        <f>A14</f>
        <v>Other source (Specify:                                )</v>
      </c>
      <c r="B24" s="206">
        <f>'Devel. Bud'!D97</f>
        <v>0</v>
      </c>
      <c r="C24" s="66" t="e">
        <f>B24/'Units &amp; Income'!$B$22</f>
        <v>#DIV/0!</v>
      </c>
      <c r="D24" s="41" t="e">
        <f t="shared" si="1"/>
        <v>#DIV/0!</v>
      </c>
      <c r="E24" s="12"/>
      <c r="F24" s="12"/>
      <c r="G24" s="17"/>
      <c r="H24" s="18"/>
    </row>
    <row r="25" spans="1:8">
      <c r="A25" s="459" t="str">
        <f>A11</f>
        <v>LIHTC Equity</v>
      </c>
      <c r="B25" s="206">
        <f>'Devel. Bud'!D98</f>
        <v>0</v>
      </c>
      <c r="C25" s="66" t="e">
        <f>B25/'Units &amp; Income'!$B$22</f>
        <v>#DIV/0!</v>
      </c>
      <c r="D25" s="41" t="e">
        <f t="shared" si="1"/>
        <v>#DIV/0!</v>
      </c>
      <c r="E25" s="12"/>
      <c r="F25" s="12"/>
      <c r="G25" s="17"/>
      <c r="H25" s="18"/>
    </row>
    <row r="26" spans="1:8">
      <c r="A26" s="459" t="str">
        <f>A12</f>
        <v>Deferred Developer's Fee</v>
      </c>
      <c r="B26" s="206" t="e">
        <f>'Devel. Bud'!D96</f>
        <v>#DIV/0!</v>
      </c>
      <c r="C26" s="66" t="e">
        <f>B26/'Units &amp; Income'!$B$22</f>
        <v>#DIV/0!</v>
      </c>
      <c r="D26" s="41" t="e">
        <f t="shared" si="1"/>
        <v>#DIV/0!</v>
      </c>
      <c r="E26" s="12"/>
      <c r="F26" s="12"/>
      <c r="G26" s="17"/>
      <c r="H26" s="18"/>
    </row>
    <row r="27" spans="1:8">
      <c r="A27" s="459" t="str">
        <f>A13</f>
        <v>Developer Equity</v>
      </c>
      <c r="B27" s="206">
        <f>'Devel. Bud'!D98</f>
        <v>0</v>
      </c>
      <c r="C27" s="66" t="e">
        <f>B27/'Units &amp; Income'!$B$22</f>
        <v>#DIV/0!</v>
      </c>
      <c r="D27" s="41" t="e">
        <f t="shared" si="1"/>
        <v>#DIV/0!</v>
      </c>
      <c r="E27" s="12"/>
      <c r="F27" s="12"/>
      <c r="G27" s="17"/>
      <c r="H27" s="18"/>
    </row>
    <row r="28" spans="1:8">
      <c r="A28" s="459" t="str">
        <f>A14</f>
        <v>Other source (Specify:                                )</v>
      </c>
      <c r="B28" s="206">
        <f>'Devel. Bud'!D101</f>
        <v>0</v>
      </c>
      <c r="C28" s="66" t="e">
        <f>B28/'Units &amp; Income'!$B$22</f>
        <v>#DIV/0!</v>
      </c>
      <c r="D28" s="41" t="e">
        <f t="shared" si="1"/>
        <v>#DIV/0!</v>
      </c>
      <c r="E28" s="12"/>
      <c r="F28" s="12"/>
      <c r="G28" s="17"/>
      <c r="H28" s="18"/>
    </row>
    <row r="29" spans="1:8">
      <c r="A29" s="459" t="str">
        <f>A15</f>
        <v>Gap/(Surplus)</v>
      </c>
      <c r="B29" s="206">
        <f>'Devel. Bud'!D102</f>
        <v>0</v>
      </c>
      <c r="C29" s="66" t="e">
        <f>B29/'Units &amp; Income'!$B$22</f>
        <v>#DIV/0!</v>
      </c>
      <c r="D29" s="41" t="e">
        <f t="shared" si="1"/>
        <v>#DIV/0!</v>
      </c>
      <c r="E29" s="18"/>
      <c r="F29" s="22"/>
      <c r="G29" s="17"/>
      <c r="H29" s="57"/>
    </row>
    <row r="30" spans="1:8">
      <c r="A30" s="459"/>
      <c r="B30" s="206"/>
      <c r="C30" s="66"/>
      <c r="D30" s="41"/>
      <c r="E30" s="18"/>
      <c r="F30" s="22"/>
      <c r="G30" s="17"/>
      <c r="H30" s="57"/>
    </row>
    <row r="31" spans="1:8">
      <c r="A31" s="69" t="s">
        <v>10</v>
      </c>
      <c r="B31" s="258" t="e">
        <f>SUM(B20:B29)</f>
        <v>#DIV/0!</v>
      </c>
      <c r="C31" s="674" t="e">
        <f>B31/'Units &amp; Income'!$B$22</f>
        <v>#DIV/0!</v>
      </c>
      <c r="D31" s="261" t="e">
        <f>SUM(D20:D29)</f>
        <v>#DIV/0!</v>
      </c>
      <c r="E31" s="12"/>
      <c r="F31" s="58"/>
      <c r="G31" s="17"/>
      <c r="H31" s="18"/>
    </row>
    <row r="32" spans="1:8" ht="15.75" thickBot="1">
      <c r="A32" s="18"/>
      <c r="B32" s="266"/>
      <c r="C32" s="267"/>
      <c r="D32" s="55"/>
      <c r="E32" s="12"/>
      <c r="F32" s="58"/>
      <c r="G32" s="17"/>
      <c r="H32" s="18"/>
    </row>
    <row r="33" spans="1:7" ht="16.5" thickTop="1">
      <c r="A33" s="262" t="s">
        <v>207</v>
      </c>
      <c r="B33" s="207"/>
      <c r="C33" s="66"/>
      <c r="D33" s="260"/>
      <c r="E33" s="12"/>
      <c r="F33" s="12"/>
      <c r="G33" s="17"/>
    </row>
    <row r="34" spans="1:7">
      <c r="A34" s="37" t="s">
        <v>11</v>
      </c>
      <c r="B34" s="208">
        <f>'Devel. Bud'!D6</f>
        <v>0</v>
      </c>
      <c r="C34" s="66" t="e">
        <f>B34/'Units &amp; Income'!$B$22</f>
        <v>#DIV/0!</v>
      </c>
      <c r="D34" s="41" t="e">
        <f>B34/$B$39</f>
        <v>#DIV/0!</v>
      </c>
      <c r="E34" s="12"/>
      <c r="F34" s="59"/>
      <c r="G34" s="17"/>
    </row>
    <row r="35" spans="1:7">
      <c r="A35" s="37" t="s">
        <v>12</v>
      </c>
      <c r="B35" s="206">
        <f>'Devel. Bud'!D15</f>
        <v>0</v>
      </c>
      <c r="C35" s="66" t="e">
        <f>B35/'Units &amp; Income'!$B$22</f>
        <v>#DIV/0!</v>
      </c>
      <c r="D35" s="41" t="e">
        <f>B35/$B$39</f>
        <v>#DIV/0!</v>
      </c>
      <c r="E35" s="12"/>
      <c r="F35" s="12"/>
      <c r="G35" s="60"/>
    </row>
    <row r="36" spans="1:7">
      <c r="A36" s="87" t="s">
        <v>13</v>
      </c>
      <c r="B36" s="206" t="e">
        <f>B39-B34-B35-B37</f>
        <v>#DIV/0!</v>
      </c>
      <c r="C36" s="66" t="e">
        <f>B36/'Units &amp; Income'!$B$22</f>
        <v>#DIV/0!</v>
      </c>
      <c r="D36" s="41" t="e">
        <f>B36/$B$39</f>
        <v>#DIV/0!</v>
      </c>
      <c r="E36" s="12"/>
      <c r="F36" s="12"/>
      <c r="G36" s="60"/>
    </row>
    <row r="37" spans="1:7">
      <c r="A37" s="87" t="s">
        <v>14</v>
      </c>
      <c r="B37" s="206">
        <f>'Devel. Bud'!D73</f>
        <v>0</v>
      </c>
      <c r="C37" s="66" t="e">
        <f>B37/'Units &amp; Income'!$B$22</f>
        <v>#DIV/0!</v>
      </c>
      <c r="D37" s="41" t="e">
        <f>B37/$B$39</f>
        <v>#DIV/0!</v>
      </c>
      <c r="E37" s="12"/>
      <c r="F37" s="12"/>
      <c r="G37" s="60"/>
    </row>
    <row r="38" spans="1:7">
      <c r="A38" s="263"/>
      <c r="B38" s="440"/>
      <c r="C38" s="66"/>
      <c r="D38" s="264"/>
      <c r="E38" s="12"/>
      <c r="F38" s="12"/>
      <c r="G38" s="60"/>
    </row>
    <row r="39" spans="1:7">
      <c r="A39" s="69" t="s">
        <v>15</v>
      </c>
      <c r="B39" s="258" t="e">
        <f>B31</f>
        <v>#DIV/0!</v>
      </c>
      <c r="C39" s="259" t="e">
        <f>B39/'Units &amp; Income'!$B$22</f>
        <v>#DIV/0!</v>
      </c>
      <c r="D39" s="261" t="e">
        <f>SUM(D34:D37)</f>
        <v>#DIV/0!</v>
      </c>
      <c r="E39" s="12"/>
      <c r="F39" s="12"/>
      <c r="G39" s="60"/>
    </row>
    <row r="40" spans="1:7">
      <c r="A40" s="18"/>
      <c r="B40" s="183"/>
      <c r="C40" s="65"/>
      <c r="D40" s="57"/>
      <c r="E40" s="12"/>
      <c r="F40" s="12"/>
      <c r="G40" s="60"/>
    </row>
    <row r="41" spans="1:7">
      <c r="A41" s="18"/>
      <c r="B41" s="209"/>
      <c r="C41" s="65"/>
      <c r="D41" s="57"/>
      <c r="E41" s="12"/>
      <c r="F41" s="12"/>
      <c r="G41" s="12"/>
    </row>
    <row r="42" spans="1:7">
      <c r="A42" s="23"/>
      <c r="B42" s="210"/>
      <c r="C42" s="65"/>
      <c r="D42" s="55"/>
      <c r="E42" s="12"/>
      <c r="F42" s="12"/>
      <c r="G42" s="12"/>
    </row>
    <row r="43" spans="1:7">
      <c r="A43" s="18"/>
      <c r="B43" s="18"/>
      <c r="C43" s="64"/>
      <c r="D43" s="55"/>
      <c r="E43" s="18"/>
      <c r="F43" s="18"/>
      <c r="G43" s="18"/>
    </row>
    <row r="44" spans="1:7">
      <c r="A44" s="18"/>
      <c r="B44" s="18"/>
      <c r="C44" s="64"/>
      <c r="D44" s="55"/>
      <c r="E44" s="18"/>
      <c r="F44" s="18"/>
      <c r="G44" s="18"/>
    </row>
    <row r="45" spans="1:7">
      <c r="A45" s="18"/>
      <c r="B45" s="18"/>
      <c r="C45" s="64"/>
      <c r="D45" s="55"/>
      <c r="E45" s="18"/>
      <c r="F45" s="18"/>
      <c r="G45" s="18"/>
    </row>
  </sheetData>
  <customSheetViews>
    <customSheetView guid="{25C4E7E7-1006-4A2D-BC83-AEE4ADF8A914}" scale="75" colorId="22" showPageBreaks="1" printArea="1" hiddenRows="1" showRuler="0">
      <selection activeCell="A33" sqref="A33"/>
      <pageMargins left="0.75" right="0.5" top="0.75" bottom="0.5" header="0.5" footer="0.5"/>
      <pageSetup scale="90" orientation="landscape" r:id="rId1"/>
      <headerFooter alignWithMargins="0"/>
    </customSheetView>
    <customSheetView guid="{28F81D13-D146-4D67-8981-BA5D7A496326}" scale="87" colorId="22" showPageBreaks="1" printArea="1" showRuler="0" topLeftCell="A7">
      <selection activeCell="H12" sqref="H12"/>
      <pageMargins left="0.5" right="0.5" top="0.5" bottom="0.5" header="0.5" footer="0.5"/>
      <pageSetup scale="96" orientation="landscape" r:id="rId2"/>
      <headerFooter alignWithMargins="0"/>
    </customSheetView>
    <customSheetView guid="{AEA5979F-5357-4ED6-A6CA-1BB80F5C7A74}" scale="87" colorId="22" showPageBreaks="1" printArea="1" showRuler="0">
      <selection activeCell="A21" sqref="A21"/>
      <pageMargins left="0.5" right="0.5" top="0.5" bottom="0.5" header="0.5" footer="0.5"/>
      <pageSetup scale="96" orientation="landscape" r:id="rId3"/>
      <headerFooter alignWithMargins="0"/>
    </customSheetView>
    <customSheetView guid="{EB776EFC-3589-4DB5-BEAF-1E83D9703F9E}" scale="87" colorId="22" showRuler="0" topLeftCell="A8">
      <selection activeCell="H21" sqref="H21"/>
      <pageMargins left="0.5" right="0.5" top="0.5" bottom="0.5" header="0.5" footer="0.5"/>
      <pageSetup orientation="landscape" r:id="rId4"/>
      <headerFooter alignWithMargins="0"/>
    </customSheetView>
    <customSheetView guid="{FBB4BF8E-8A9F-4E98-A6F9-5F9BF4C55C67}" scale="87" colorId="22" showPageBreaks="1" showRuler="0" topLeftCell="C5">
      <selection activeCell="I16" sqref="I16"/>
      <pageMargins left="0.5" right="0.5" top="0.5" bottom="0.5" header="0.5" footer="0.5"/>
      <pageSetup orientation="landscape" r:id="rId5"/>
      <headerFooter alignWithMargins="0"/>
    </customSheetView>
    <customSheetView guid="{6EF643BE-69F3-424E-8A44-3890161370D4}" scale="87" colorId="22" showPageBreaks="1" printArea="1" showRuler="0" topLeftCell="A4">
      <selection activeCell="H13" sqref="H13"/>
      <pageMargins left="0.5" right="0.5" top="0.5" bottom="0.5" header="0.5" footer="0.5"/>
      <pageSetup scale="96" orientation="landscape" r:id="rId6"/>
      <headerFooter alignWithMargins="0"/>
    </customSheetView>
    <customSheetView guid="{1ECE83C7-A3CE-4F97-BFD3-498FF783C0D9}" scale="75" colorId="22" showPageBreaks="1" printArea="1" showRuler="0" topLeftCell="A17">
      <selection activeCell="H29" sqref="H29"/>
      <pageMargins left="0.75" right="0.5" top="0.75" bottom="0.5" header="0.5" footer="0.5"/>
      <pageSetup scale="90" orientation="landscape" r:id="rId7"/>
      <headerFooter alignWithMargins="0"/>
    </customSheetView>
    <customSheetView guid="{560D4AFA-61E5-46C3-B0CD-D0EB3053A033}" scale="75" colorId="22" showPageBreaks="1" printArea="1" hiddenRows="1" showRuler="0">
      <selection activeCell="B7" sqref="B7:B14"/>
      <pageMargins left="0.75" right="0.5" top="0.75" bottom="0.5" header="0.5" footer="0.5"/>
      <pageSetup scale="90" orientation="landscape" r:id="rId8"/>
      <headerFooter alignWithMargins="0"/>
    </customSheetView>
  </customSheetViews>
  <phoneticPr fontId="0" type="noConversion"/>
  <pageMargins left="0.75" right="0.5" top="0.75" bottom="0.5" header="0.5" footer="0.5"/>
  <pageSetup scale="90" firstPageNumber="206" orientation="portrait" useFirstPageNumber="1" r:id="rId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pageSetUpPr fitToPage="1"/>
  </sheetPr>
  <dimension ref="A1:P109"/>
  <sheetViews>
    <sheetView defaultGridColor="0" colorId="22" zoomScale="70" zoomScaleNormal="70" workbookViewId="0">
      <selection activeCell="A2" sqref="A2"/>
    </sheetView>
  </sheetViews>
  <sheetFormatPr defaultColWidth="9.77734375" defaultRowHeight="15"/>
  <cols>
    <col min="1" max="1" width="50.109375" style="46" customWidth="1"/>
    <col min="2" max="2" width="8.5546875" style="46" customWidth="1"/>
    <col min="3" max="3" width="12" style="46" bestFit="1" customWidth="1"/>
    <col min="4" max="4" width="16" style="89" customWidth="1"/>
    <col min="5" max="5" width="16.109375" style="46" customWidth="1"/>
    <col min="6" max="6" width="15.6640625" style="46" customWidth="1"/>
    <col min="7" max="7" width="10.44140625" style="46" customWidth="1"/>
    <col min="8" max="8" width="11.109375" style="46" customWidth="1"/>
    <col min="9" max="9" width="12.77734375" style="46" customWidth="1"/>
    <col min="10" max="10" width="12.44140625" style="46" customWidth="1"/>
    <col min="11" max="12" width="9.77734375" style="46"/>
    <col min="13" max="13" width="12.44140625" style="46" customWidth="1"/>
    <col min="14" max="14" width="10.6640625" style="46" bestFit="1" customWidth="1"/>
    <col min="15" max="16384" width="9.77734375" style="46"/>
  </cols>
  <sheetData>
    <row r="1" spans="1:10" ht="16.5" customHeight="1">
      <c r="A1" s="568" t="str">
        <f>'Sources and Use'!A1</f>
        <v>Seniors First RFP: Kingsborough and Morris Houses</v>
      </c>
      <c r="C1" s="24"/>
      <c r="E1" s="1"/>
      <c r="F1" s="25"/>
    </row>
    <row r="2" spans="1:10" ht="16.5" customHeight="1">
      <c r="A2" s="1" t="str">
        <f>'Units &amp; Income'!A2</f>
        <v>Site:</v>
      </c>
      <c r="C2" s="24"/>
      <c r="E2" s="1" t="str">
        <f>'Sources and Use'!C2</f>
        <v>Units:</v>
      </c>
      <c r="F2" s="25">
        <f>'Units &amp; Income'!B22</f>
        <v>0</v>
      </c>
    </row>
    <row r="3" spans="1:10" ht="15" customHeight="1">
      <c r="A3" s="24"/>
      <c r="B3" s="1"/>
      <c r="C3" s="24"/>
    </row>
    <row r="4" spans="1:10" ht="15.75" customHeight="1">
      <c r="A4" s="1" t="s">
        <v>135</v>
      </c>
      <c r="B4" s="51"/>
      <c r="C4" s="24"/>
      <c r="D4" s="52"/>
      <c r="E4" s="82"/>
      <c r="F4" s="25"/>
    </row>
    <row r="5" spans="1:10">
      <c r="A5" s="18"/>
      <c r="B5" s="18"/>
      <c r="C5" s="18"/>
      <c r="D5" s="83" t="s">
        <v>346</v>
      </c>
      <c r="E5" s="18"/>
      <c r="F5" s="18"/>
      <c r="G5" s="18"/>
    </row>
    <row r="6" spans="1:10" ht="15.75">
      <c r="A6" s="400" t="s">
        <v>187</v>
      </c>
      <c r="B6" s="153"/>
      <c r="C6" s="154"/>
      <c r="D6" s="618">
        <v>0</v>
      </c>
      <c r="E6" s="197"/>
      <c r="F6" s="26"/>
      <c r="G6" s="18"/>
    </row>
    <row r="7" spans="1:10" ht="15.75">
      <c r="A7" s="150"/>
      <c r="B7" s="180"/>
      <c r="C7" s="181"/>
      <c r="D7" s="189"/>
      <c r="E7" s="37"/>
      <c r="F7" s="38"/>
      <c r="G7" s="18"/>
      <c r="J7" s="46" t="s">
        <v>121</v>
      </c>
    </row>
    <row r="8" spans="1:10">
      <c r="A8" s="398" t="s">
        <v>188</v>
      </c>
      <c r="B8" s="84"/>
      <c r="C8" s="85"/>
      <c r="D8" s="198"/>
      <c r="E8" s="581"/>
      <c r="F8" s="38"/>
      <c r="G8" s="18" t="s">
        <v>121</v>
      </c>
      <c r="H8" s="46" t="s">
        <v>121</v>
      </c>
      <c r="I8" s="46" t="s">
        <v>121</v>
      </c>
      <c r="J8" s="46" t="s">
        <v>121</v>
      </c>
    </row>
    <row r="9" spans="1:10">
      <c r="A9" s="29" t="s">
        <v>181</v>
      </c>
      <c r="B9" s="84"/>
      <c r="C9" s="148"/>
      <c r="D9" s="576"/>
      <c r="E9" s="577"/>
      <c r="F9" s="38"/>
      <c r="G9" s="18"/>
    </row>
    <row r="10" spans="1:10">
      <c r="A10" s="149" t="s">
        <v>183</v>
      </c>
      <c r="B10" s="222" t="e">
        <f>D10/'Units &amp; Income'!B22</f>
        <v>#DIV/0!</v>
      </c>
      <c r="C10" s="18" t="s">
        <v>49</v>
      </c>
      <c r="D10" s="604"/>
      <c r="E10" s="603" t="e">
        <f>D10/'Units &amp; Income'!B5</f>
        <v>#DIV/0!</v>
      </c>
      <c r="F10" s="38" t="s">
        <v>118</v>
      </c>
      <c r="G10" s="18" t="s">
        <v>121</v>
      </c>
      <c r="H10" s="46" t="s">
        <v>122</v>
      </c>
      <c r="I10" s="46" t="s">
        <v>121</v>
      </c>
      <c r="J10" s="46" t="s">
        <v>121</v>
      </c>
    </row>
    <row r="11" spans="1:10">
      <c r="A11" s="453" t="s">
        <v>255</v>
      </c>
      <c r="B11" s="86"/>
      <c r="C11" s="18"/>
      <c r="D11" s="604"/>
      <c r="E11" s="603" t="e">
        <f>D11/'Units &amp; Income'!B6</f>
        <v>#DIV/0!</v>
      </c>
      <c r="F11" s="38" t="s">
        <v>118</v>
      </c>
      <c r="G11" s="18" t="s">
        <v>121</v>
      </c>
      <c r="H11" s="46" t="s">
        <v>121</v>
      </c>
      <c r="I11" s="46" t="s">
        <v>121</v>
      </c>
      <c r="J11" s="46" t="s">
        <v>121</v>
      </c>
    </row>
    <row r="12" spans="1:10">
      <c r="A12" s="149" t="s">
        <v>182</v>
      </c>
      <c r="B12" s="86"/>
      <c r="C12" s="18"/>
      <c r="D12" s="604"/>
      <c r="E12" s="603" t="e">
        <f>D12/'Units &amp; Income'!B7</f>
        <v>#DIV/0!</v>
      </c>
      <c r="F12" s="38" t="s">
        <v>118</v>
      </c>
      <c r="G12" s="18"/>
    </row>
    <row r="13" spans="1:10">
      <c r="A13" s="149" t="s">
        <v>117</v>
      </c>
      <c r="B13" s="37"/>
      <c r="C13" s="68"/>
      <c r="D13" s="604"/>
      <c r="E13" s="603" t="e">
        <f>D13/'Units &amp; Income'!B8</f>
        <v>#DIV/0!</v>
      </c>
      <c r="F13" s="38" t="s">
        <v>118</v>
      </c>
      <c r="G13" s="18" t="s">
        <v>121</v>
      </c>
      <c r="H13" s="46" t="s">
        <v>121</v>
      </c>
      <c r="I13" s="46" t="s">
        <v>121</v>
      </c>
      <c r="J13" s="46" t="s">
        <v>121</v>
      </c>
    </row>
    <row r="14" spans="1:10" ht="17.25">
      <c r="A14" s="37" t="s">
        <v>75</v>
      </c>
      <c r="B14" s="582"/>
      <c r="C14" s="88"/>
      <c r="D14" s="578">
        <f>B14*($D$10+$D$11+$D$12+$D$13)</f>
        <v>0</v>
      </c>
      <c r="E14" s="580"/>
      <c r="F14" s="38"/>
      <c r="G14" s="18" t="s">
        <v>121</v>
      </c>
      <c r="H14" s="46" t="s">
        <v>121</v>
      </c>
      <c r="I14" s="46" t="s">
        <v>121</v>
      </c>
      <c r="J14" s="46" t="s">
        <v>121</v>
      </c>
    </row>
    <row r="15" spans="1:10" ht="15.75">
      <c r="A15" s="401" t="s">
        <v>186</v>
      </c>
      <c r="B15" s="86" t="e">
        <f>D15/'Units &amp; Income'!B22</f>
        <v>#DIV/0!</v>
      </c>
      <c r="C15" s="18" t="s">
        <v>49</v>
      </c>
      <c r="D15" s="579">
        <f>SUM(D10:D14)</f>
        <v>0</v>
      </c>
      <c r="E15" s="580" t="e">
        <f>D15/'Units &amp; Income'!B9</f>
        <v>#DIV/0!</v>
      </c>
      <c r="F15" s="14" t="s">
        <v>114</v>
      </c>
      <c r="G15" s="18"/>
    </row>
    <row r="16" spans="1:10">
      <c r="A16" s="29"/>
      <c r="B16" s="37"/>
      <c r="C16" s="38"/>
      <c r="D16" s="189"/>
      <c r="E16" s="37"/>
      <c r="F16" s="38"/>
      <c r="G16" s="18"/>
    </row>
    <row r="17" spans="1:16">
      <c r="A17" s="29"/>
      <c r="B17" s="37"/>
      <c r="C17" s="38"/>
      <c r="D17" s="189"/>
      <c r="E17" s="37"/>
      <c r="F17" s="38"/>
      <c r="G17" s="18"/>
    </row>
    <row r="18" spans="1:16">
      <c r="A18" s="398" t="s">
        <v>189</v>
      </c>
      <c r="B18" s="84"/>
      <c r="C18" s="85"/>
      <c r="D18" s="189"/>
      <c r="E18" s="37"/>
      <c r="F18" s="38"/>
      <c r="G18" s="18"/>
      <c r="H18" s="18"/>
      <c r="I18" s="18"/>
      <c r="J18" s="18"/>
      <c r="K18" s="18"/>
      <c r="L18" s="18"/>
      <c r="M18" s="18"/>
      <c r="N18" s="18"/>
      <c r="O18" s="18"/>
      <c r="P18" s="18"/>
    </row>
    <row r="19" spans="1:16">
      <c r="A19" s="157"/>
      <c r="B19" s="84"/>
      <c r="C19" s="85"/>
      <c r="D19" s="188"/>
      <c r="E19" s="37"/>
      <c r="F19" s="38"/>
      <c r="G19" s="18"/>
      <c r="H19" s="18"/>
      <c r="I19" s="18"/>
      <c r="J19" s="18"/>
      <c r="K19" s="18"/>
      <c r="L19" s="18"/>
      <c r="M19" s="18"/>
      <c r="N19" s="18"/>
      <c r="O19" s="18"/>
      <c r="P19" s="18"/>
    </row>
    <row r="20" spans="1:16">
      <c r="A20" s="29" t="s">
        <v>50</v>
      </c>
      <c r="B20" s="37"/>
      <c r="C20" s="38"/>
      <c r="D20" s="517"/>
      <c r="E20" s="198"/>
      <c r="F20" s="38"/>
      <c r="G20" s="18"/>
      <c r="H20" s="18"/>
      <c r="I20" s="18"/>
      <c r="J20" s="18"/>
      <c r="K20" s="18"/>
      <c r="L20" s="18"/>
      <c r="M20" s="18"/>
      <c r="N20" s="18"/>
      <c r="O20" s="18"/>
      <c r="P20" s="18"/>
    </row>
    <row r="21" spans="1:16">
      <c r="A21" s="29" t="s">
        <v>52</v>
      </c>
      <c r="B21" s="37"/>
      <c r="C21" s="223"/>
      <c r="D21" s="517"/>
      <c r="E21" s="222"/>
      <c r="F21" s="38"/>
      <c r="G21" s="18"/>
      <c r="H21" s="18"/>
      <c r="I21" s="18"/>
      <c r="J21" s="18"/>
      <c r="K21" s="18"/>
      <c r="L21" s="18"/>
      <c r="M21" s="18"/>
      <c r="N21" s="18"/>
      <c r="O21" s="18"/>
      <c r="P21" s="18"/>
    </row>
    <row r="22" spans="1:16">
      <c r="A22" s="29" t="s">
        <v>252</v>
      </c>
      <c r="B22" s="37"/>
      <c r="C22" s="38"/>
      <c r="D22" s="517"/>
      <c r="E22" s="200"/>
      <c r="F22" s="38"/>
      <c r="G22" s="18"/>
      <c r="H22" s="18"/>
      <c r="I22" s="18"/>
      <c r="J22" s="18"/>
      <c r="K22" s="18"/>
      <c r="L22" s="18"/>
      <c r="M22" s="18"/>
      <c r="N22" s="18"/>
      <c r="O22" s="18"/>
      <c r="P22" s="18"/>
    </row>
    <row r="23" spans="1:16">
      <c r="A23" s="29" t="s">
        <v>184</v>
      </c>
      <c r="B23" s="37"/>
      <c r="C23" s="38"/>
      <c r="D23" s="517"/>
      <c r="E23" s="200"/>
      <c r="F23" s="38"/>
      <c r="G23" s="18"/>
      <c r="H23" s="18"/>
      <c r="I23" s="18"/>
      <c r="J23" s="18"/>
      <c r="K23" s="18"/>
      <c r="L23" s="18"/>
      <c r="M23" s="18"/>
      <c r="N23" s="18"/>
      <c r="O23" s="18"/>
      <c r="P23" s="18"/>
    </row>
    <row r="24" spans="1:16">
      <c r="A24" s="29" t="s">
        <v>78</v>
      </c>
      <c r="B24" s="37"/>
      <c r="C24" s="38"/>
      <c r="D24" s="517"/>
      <c r="E24" s="200"/>
      <c r="F24" s="38"/>
      <c r="G24" s="18"/>
      <c r="H24" s="18"/>
      <c r="I24" s="18"/>
      <c r="J24" s="18"/>
      <c r="K24" s="18"/>
      <c r="L24" s="18"/>
      <c r="M24" s="18"/>
      <c r="N24" s="18"/>
      <c r="O24" s="18"/>
      <c r="P24" s="18"/>
    </row>
    <row r="25" spans="1:16">
      <c r="A25" s="29" t="s">
        <v>56</v>
      </c>
      <c r="B25" s="37"/>
      <c r="C25" s="38"/>
      <c r="D25" s="517"/>
      <c r="E25" s="200"/>
      <c r="F25" s="38"/>
      <c r="G25" s="18"/>
      <c r="H25" s="18"/>
      <c r="I25" s="18"/>
      <c r="J25" s="18"/>
      <c r="K25" s="18"/>
      <c r="L25" s="18"/>
      <c r="M25" s="21"/>
      <c r="N25" s="21"/>
      <c r="O25" s="21"/>
      <c r="P25" s="17"/>
    </row>
    <row r="26" spans="1:16">
      <c r="A26" s="29" t="s">
        <v>191</v>
      </c>
      <c r="B26" s="92"/>
      <c r="C26" s="38"/>
      <c r="D26" s="517"/>
      <c r="E26" s="39"/>
      <c r="F26" s="38"/>
      <c r="G26" s="18"/>
      <c r="H26" s="18"/>
      <c r="I26" s="18"/>
      <c r="J26" s="18"/>
      <c r="K26" s="18"/>
      <c r="L26" s="18"/>
      <c r="M26" s="18"/>
      <c r="N26" s="22"/>
      <c r="O26" s="21"/>
      <c r="P26" s="17"/>
    </row>
    <row r="27" spans="1:16">
      <c r="A27" s="29" t="s">
        <v>197</v>
      </c>
      <c r="C27" s="38"/>
      <c r="D27" s="517"/>
      <c r="E27" s="200"/>
      <c r="F27" s="38"/>
      <c r="G27" s="18"/>
      <c r="H27" s="18"/>
      <c r="I27" s="18"/>
      <c r="J27" s="18"/>
      <c r="K27" s="18"/>
      <c r="L27" s="18"/>
      <c r="M27" s="18"/>
      <c r="N27" s="17"/>
      <c r="O27" s="17"/>
      <c r="P27" s="18"/>
    </row>
    <row r="28" spans="1:16">
      <c r="A28" s="29" t="s">
        <v>201</v>
      </c>
      <c r="C28" s="38"/>
      <c r="D28" s="517"/>
      <c r="E28" s="200"/>
      <c r="F28" s="38"/>
      <c r="G28" s="18"/>
      <c r="H28" s="18"/>
      <c r="I28" s="18"/>
      <c r="J28" s="18"/>
      <c r="K28" s="18"/>
      <c r="L28" s="18"/>
      <c r="M28" s="18"/>
      <c r="N28" s="17"/>
      <c r="O28" s="17"/>
      <c r="P28" s="18"/>
    </row>
    <row r="29" spans="1:16">
      <c r="A29" s="29" t="s">
        <v>120</v>
      </c>
      <c r="B29" s="37"/>
      <c r="C29" s="38"/>
      <c r="D29" s="517"/>
      <c r="E29" s="200"/>
      <c r="F29" s="38"/>
      <c r="G29" s="18"/>
      <c r="H29" s="18"/>
      <c r="I29" s="18"/>
      <c r="J29" s="18"/>
      <c r="K29" s="18"/>
      <c r="L29" s="18"/>
      <c r="M29" s="21"/>
      <c r="N29" s="21"/>
      <c r="O29" s="21"/>
      <c r="P29" s="17"/>
    </row>
    <row r="30" spans="1:16">
      <c r="A30" s="29" t="s">
        <v>57</v>
      </c>
      <c r="B30" s="37"/>
      <c r="C30" s="38"/>
      <c r="D30" s="517"/>
      <c r="E30" s="200"/>
      <c r="F30" s="38"/>
      <c r="G30" s="18"/>
      <c r="H30" s="18"/>
      <c r="I30" s="18"/>
      <c r="J30" s="18"/>
      <c r="K30" s="18"/>
      <c r="L30" s="18"/>
      <c r="M30" s="18"/>
      <c r="N30" s="18"/>
      <c r="O30" s="18"/>
      <c r="P30" s="17"/>
    </row>
    <row r="31" spans="1:16">
      <c r="A31" s="29" t="s">
        <v>199</v>
      </c>
      <c r="B31" s="37"/>
      <c r="C31" s="38"/>
      <c r="D31" s="517"/>
      <c r="E31" s="200"/>
      <c r="F31" s="38"/>
      <c r="G31" s="18"/>
      <c r="H31" s="18"/>
      <c r="I31" s="18"/>
      <c r="J31" s="18"/>
      <c r="K31" s="18"/>
      <c r="L31" s="18"/>
      <c r="M31" s="18"/>
      <c r="N31" s="18"/>
      <c r="O31" s="18"/>
      <c r="P31" s="17"/>
    </row>
    <row r="32" spans="1:16">
      <c r="A32" s="29" t="s">
        <v>76</v>
      </c>
      <c r="B32" s="87"/>
      <c r="C32" s="38"/>
      <c r="D32" s="517"/>
      <c r="E32" s="200"/>
      <c r="F32" s="38"/>
      <c r="G32" s="18"/>
      <c r="H32" s="18"/>
      <c r="I32" s="18"/>
      <c r="J32" s="18"/>
      <c r="K32" s="18"/>
      <c r="L32" s="18"/>
      <c r="M32" s="18"/>
      <c r="N32" s="18"/>
      <c r="O32" s="18"/>
      <c r="P32" s="18"/>
    </row>
    <row r="33" spans="1:16">
      <c r="A33" s="29" t="s">
        <v>185</v>
      </c>
      <c r="B33" s="87"/>
      <c r="C33" s="38"/>
      <c r="D33" s="517"/>
      <c r="E33" s="200"/>
      <c r="F33" s="38"/>
      <c r="G33" s="18"/>
      <c r="H33" s="18"/>
      <c r="I33" s="18"/>
      <c r="J33" s="18"/>
      <c r="K33" s="18"/>
      <c r="L33" s="18"/>
      <c r="M33" s="18"/>
      <c r="N33" s="18"/>
      <c r="O33" s="18"/>
      <c r="P33" s="18"/>
    </row>
    <row r="34" spans="1:16" ht="18" thickBot="1">
      <c r="A34" s="243" t="s">
        <v>382</v>
      </c>
      <c r="B34" s="84"/>
      <c r="C34" s="38"/>
      <c r="D34" s="518"/>
      <c r="E34" s="200"/>
      <c r="F34" s="38"/>
      <c r="G34" s="18"/>
      <c r="H34" s="18"/>
      <c r="I34" s="18"/>
      <c r="J34" s="18"/>
      <c r="K34" s="18"/>
      <c r="L34" s="18"/>
      <c r="M34" s="90"/>
      <c r="N34" s="74"/>
      <c r="O34" s="22"/>
      <c r="P34" s="91"/>
    </row>
    <row r="35" spans="1:16" ht="15.75">
      <c r="A35" s="401" t="s">
        <v>53</v>
      </c>
      <c r="B35" s="155"/>
      <c r="C35" s="156"/>
      <c r="D35" s="557">
        <f>SUM(D20:D34)</f>
        <v>0</v>
      </c>
      <c r="E35" s="37"/>
      <c r="F35" s="38"/>
      <c r="G35" s="18"/>
      <c r="H35" s="18"/>
      <c r="I35" s="18"/>
      <c r="J35" s="18"/>
      <c r="K35" s="18"/>
      <c r="L35" s="18"/>
      <c r="M35" s="21"/>
      <c r="N35" s="18"/>
      <c r="O35" s="18"/>
      <c r="P35" s="17"/>
    </row>
    <row r="36" spans="1:16">
      <c r="A36" s="29"/>
      <c r="B36" s="42"/>
      <c r="D36" s="189"/>
      <c r="E36" s="37"/>
      <c r="F36" s="38"/>
      <c r="G36" s="18"/>
      <c r="H36" s="18"/>
      <c r="I36" s="18"/>
      <c r="J36" s="18"/>
      <c r="K36" s="18"/>
      <c r="L36" s="18"/>
      <c r="M36" s="18"/>
      <c r="N36" s="18"/>
      <c r="O36" s="18"/>
      <c r="P36" s="17"/>
    </row>
    <row r="37" spans="1:16">
      <c r="A37" s="399" t="s">
        <v>378</v>
      </c>
      <c r="B37" s="42"/>
      <c r="D37" s="188"/>
      <c r="E37" s="37"/>
      <c r="F37" s="38"/>
      <c r="G37" s="18"/>
      <c r="H37" s="18"/>
      <c r="I37" s="18"/>
      <c r="J37" s="18"/>
      <c r="K37" s="18"/>
      <c r="L37" s="18"/>
      <c r="M37" s="18"/>
      <c r="N37" s="18"/>
      <c r="O37" s="18"/>
      <c r="P37" s="17"/>
    </row>
    <row r="38" spans="1:16">
      <c r="A38" s="29" t="s">
        <v>82</v>
      </c>
      <c r="B38" s="558"/>
      <c r="C38" s="40" t="s">
        <v>395</v>
      </c>
      <c r="D38" s="566" t="e">
        <f ca="1">'Devel. Bud'!B38*'Cons Int &amp; Neg Arb'!C74</f>
        <v>#DIV/0!</v>
      </c>
      <c r="E38" s="39"/>
      <c r="F38" s="40"/>
      <c r="G38" s="18"/>
      <c r="H38" s="18"/>
      <c r="I38" s="563"/>
      <c r="J38" s="18"/>
      <c r="K38" s="18"/>
      <c r="L38" s="18"/>
      <c r="M38" s="18"/>
      <c r="N38" s="18"/>
      <c r="O38" s="71"/>
      <c r="P38" s="73"/>
    </row>
    <row r="39" spans="1:16">
      <c r="A39" s="29" t="s">
        <v>83</v>
      </c>
      <c r="B39" s="558"/>
      <c r="C39" s="40" t="s">
        <v>396</v>
      </c>
      <c r="D39" s="566" t="e">
        <f ca="1">B39*'Cons Int &amp; Neg Arb'!C74*'Cons Int &amp; Neg Arb'!C16</f>
        <v>#DIV/0!</v>
      </c>
      <c r="E39" s="43"/>
      <c r="F39" s="41"/>
      <c r="G39" s="18"/>
      <c r="H39" s="18"/>
      <c r="I39" s="18"/>
      <c r="J39" s="18"/>
      <c r="K39" s="18"/>
      <c r="L39" s="18"/>
      <c r="M39" s="72"/>
      <c r="N39" s="74"/>
      <c r="O39" s="22"/>
      <c r="P39" s="17"/>
    </row>
    <row r="40" spans="1:16">
      <c r="A40" s="29" t="s">
        <v>379</v>
      </c>
      <c r="B40" s="558"/>
      <c r="C40" s="40" t="s">
        <v>397</v>
      </c>
      <c r="D40" s="566" t="e">
        <f ca="1">B40*$D$79</f>
        <v>#DIV/0!</v>
      </c>
      <c r="E40" s="43"/>
      <c r="F40" s="41"/>
      <c r="G40" s="18"/>
      <c r="H40" s="18"/>
      <c r="I40" s="18"/>
      <c r="J40" s="18"/>
      <c r="K40" s="18"/>
      <c r="L40" s="18"/>
      <c r="M40" s="21"/>
      <c r="N40" s="21"/>
      <c r="O40" s="21"/>
      <c r="P40" s="17"/>
    </row>
    <row r="41" spans="1:16">
      <c r="A41" s="642" t="s">
        <v>469</v>
      </c>
      <c r="B41" s="558"/>
      <c r="C41" s="40" t="s">
        <v>397</v>
      </c>
      <c r="D41" s="566" t="e">
        <f ca="1">B41*$D$79</f>
        <v>#DIV/0!</v>
      </c>
      <c r="E41" s="43"/>
      <c r="F41" s="41"/>
      <c r="G41" s="18"/>
      <c r="H41" s="18"/>
      <c r="I41" s="18"/>
      <c r="J41" s="18"/>
      <c r="K41" s="18"/>
      <c r="L41" s="18"/>
      <c r="M41" s="21"/>
      <c r="N41" s="21"/>
      <c r="O41" s="21"/>
      <c r="P41" s="17"/>
    </row>
    <row r="42" spans="1:16">
      <c r="A42" s="29" t="s">
        <v>79</v>
      </c>
      <c r="B42" s="558"/>
      <c r="C42" s="40" t="s">
        <v>397</v>
      </c>
      <c r="D42" s="566" t="e">
        <f ca="1">B42*$D$79</f>
        <v>#DIV/0!</v>
      </c>
      <c r="E42" s="39"/>
      <c r="F42" s="38"/>
      <c r="G42" s="18"/>
      <c r="H42" s="18"/>
      <c r="I42" s="18"/>
      <c r="J42" s="18"/>
      <c r="K42" s="18"/>
      <c r="L42" s="18"/>
      <c r="M42" s="18"/>
      <c r="N42" s="22"/>
      <c r="O42" s="21"/>
      <c r="P42" s="17"/>
    </row>
    <row r="43" spans="1:16">
      <c r="A43" s="29" t="s">
        <v>250</v>
      </c>
      <c r="B43" s="567"/>
      <c r="C43" s="38"/>
      <c r="D43" s="517"/>
      <c r="E43" s="39"/>
      <c r="F43" s="38"/>
      <c r="G43" s="18"/>
      <c r="H43" s="18"/>
      <c r="I43" s="18"/>
      <c r="J43" s="18"/>
      <c r="K43" s="18"/>
      <c r="L43" s="18"/>
      <c r="M43" s="18"/>
      <c r="N43" s="22"/>
      <c r="O43" s="21"/>
      <c r="P43" s="17"/>
    </row>
    <row r="44" spans="1:16">
      <c r="A44" s="29" t="s">
        <v>125</v>
      </c>
      <c r="B44" s="567"/>
      <c r="C44" s="38"/>
      <c r="D44" s="519"/>
      <c r="E44" s="37"/>
      <c r="F44" s="38"/>
      <c r="G44" s="18"/>
      <c r="H44" s="18"/>
      <c r="I44" s="18"/>
      <c r="J44" s="18"/>
      <c r="K44" s="18"/>
      <c r="L44" s="18"/>
      <c r="M44" s="18"/>
      <c r="N44" s="18"/>
      <c r="O44" s="18"/>
      <c r="P44" s="18"/>
    </row>
    <row r="45" spans="1:16" s="159" customFormat="1">
      <c r="A45" s="656" t="s">
        <v>478</v>
      </c>
      <c r="B45" s="567"/>
      <c r="C45" s="181"/>
      <c r="D45" s="520"/>
      <c r="E45" s="182" t="s">
        <v>121</v>
      </c>
      <c r="F45" s="181"/>
      <c r="G45" s="183"/>
      <c r="H45" s="183"/>
      <c r="I45" s="183"/>
      <c r="J45" s="183"/>
      <c r="K45" s="183"/>
      <c r="L45" s="183"/>
      <c r="M45" s="183"/>
      <c r="N45" s="183"/>
      <c r="O45" s="183"/>
      <c r="P45" s="183"/>
    </row>
    <row r="46" spans="1:16" s="159" customFormat="1" ht="14.25" customHeight="1">
      <c r="A46" s="243" t="s">
        <v>243</v>
      </c>
      <c r="B46" s="567"/>
      <c r="C46" s="181"/>
      <c r="D46" s="520"/>
      <c r="E46" s="182"/>
      <c r="F46" s="181"/>
      <c r="G46" s="183"/>
      <c r="H46" s="183"/>
      <c r="I46" s="183"/>
      <c r="J46" s="183"/>
      <c r="K46" s="183"/>
      <c r="L46" s="183"/>
      <c r="M46" s="183"/>
      <c r="N46" s="183"/>
      <c r="O46" s="183"/>
      <c r="P46" s="183"/>
    </row>
    <row r="47" spans="1:16" s="159" customFormat="1" ht="17.25">
      <c r="A47" s="243" t="s">
        <v>200</v>
      </c>
      <c r="B47" s="567"/>
      <c r="C47" s="181"/>
      <c r="D47" s="521"/>
      <c r="E47" s="182"/>
      <c r="F47" s="181"/>
      <c r="G47" s="183"/>
      <c r="H47" s="183"/>
      <c r="I47" s="183"/>
      <c r="J47" s="183"/>
      <c r="K47" s="183"/>
      <c r="L47" s="183"/>
      <c r="M47" s="183"/>
      <c r="N47" s="183"/>
      <c r="O47" s="183"/>
      <c r="P47" s="183"/>
    </row>
    <row r="48" spans="1:16" ht="18" thickBot="1">
      <c r="A48" s="243" t="s">
        <v>382</v>
      </c>
      <c r="B48" s="84"/>
      <c r="C48" s="38"/>
      <c r="D48" s="518"/>
      <c r="E48" s="200"/>
      <c r="F48" s="38"/>
      <c r="G48" s="18"/>
      <c r="H48" s="18"/>
      <c r="I48" s="18"/>
      <c r="J48" s="18"/>
      <c r="K48" s="18"/>
      <c r="L48" s="18"/>
      <c r="M48" s="90"/>
      <c r="N48" s="74"/>
      <c r="O48" s="22"/>
      <c r="P48" s="91"/>
    </row>
    <row r="49" spans="1:16" ht="15.75">
      <c r="A49" s="401" t="s">
        <v>53</v>
      </c>
      <c r="B49" s="155"/>
      <c r="C49" s="156"/>
      <c r="D49" s="190" t="e">
        <f ca="1">SUM(D38:D48)</f>
        <v>#DIV/0!</v>
      </c>
      <c r="E49" s="37"/>
      <c r="F49" s="38"/>
      <c r="G49" s="18"/>
      <c r="H49" s="18"/>
      <c r="I49" s="18"/>
      <c r="J49" s="18"/>
      <c r="K49" s="18"/>
      <c r="L49" s="18"/>
      <c r="M49" s="18"/>
      <c r="N49" s="18"/>
      <c r="O49" s="18"/>
      <c r="P49" s="18"/>
    </row>
    <row r="50" spans="1:16">
      <c r="A50" s="244"/>
      <c r="B50" s="162"/>
      <c r="C50" s="38"/>
      <c r="D50" s="246"/>
      <c r="E50" s="37"/>
      <c r="F50" s="38"/>
      <c r="G50" s="18"/>
      <c r="H50" s="18"/>
      <c r="I50" s="18"/>
      <c r="J50" s="18"/>
      <c r="K50" s="18"/>
      <c r="L50" s="18"/>
      <c r="M50" s="18"/>
      <c r="N50" s="18"/>
      <c r="O50" s="18"/>
      <c r="P50" s="18"/>
    </row>
    <row r="51" spans="1:16">
      <c r="A51" s="399" t="s">
        <v>376</v>
      </c>
      <c r="B51" s="37"/>
      <c r="C51" s="38"/>
      <c r="D51" s="247"/>
      <c r="E51" s="37"/>
      <c r="F51" s="38"/>
      <c r="G51" s="18"/>
      <c r="H51" s="18"/>
      <c r="I51" s="18"/>
      <c r="J51" s="18"/>
      <c r="K51" s="18"/>
      <c r="L51" s="18"/>
      <c r="M51" s="18"/>
      <c r="N51" s="18"/>
      <c r="O51" s="18"/>
      <c r="P51" s="18"/>
    </row>
    <row r="52" spans="1:16">
      <c r="A52" s="29" t="s">
        <v>58</v>
      </c>
      <c r="B52" s="37"/>
      <c r="C52" s="88"/>
      <c r="D52" s="564" t="e">
        <f ca="1">'Cons Int &amp; Neg Arb'!F42</f>
        <v>#DIV/0!</v>
      </c>
      <c r="E52" s="39" t="s">
        <v>377</v>
      </c>
      <c r="F52" s="38"/>
      <c r="G52" s="18"/>
      <c r="H52" s="18"/>
      <c r="I52" s="18"/>
      <c r="J52" s="18"/>
      <c r="K52" s="18"/>
      <c r="L52" s="18"/>
      <c r="M52" s="90"/>
      <c r="N52" s="18"/>
      <c r="O52" s="18"/>
      <c r="P52" s="18"/>
    </row>
    <row r="53" spans="1:16">
      <c r="A53" s="29" t="s">
        <v>54</v>
      </c>
      <c r="B53" s="37"/>
      <c r="C53" s="38"/>
      <c r="D53" s="560" t="e">
        <f ca="1">'Cons Int &amp; Neg Arb'!B67</f>
        <v>#DIV/0!</v>
      </c>
      <c r="E53" s="39"/>
      <c r="F53" s="88"/>
      <c r="G53" s="18"/>
      <c r="H53" s="18"/>
      <c r="I53" s="18"/>
      <c r="J53" s="18"/>
      <c r="K53" s="18"/>
      <c r="L53" s="18"/>
      <c r="M53" s="18"/>
      <c r="N53" s="18"/>
      <c r="O53" s="18"/>
      <c r="P53" s="18"/>
    </row>
    <row r="54" spans="1:16">
      <c r="A54" s="29" t="s">
        <v>248</v>
      </c>
      <c r="B54" s="87"/>
      <c r="C54" s="68"/>
      <c r="D54" s="666"/>
      <c r="E54" s="39"/>
      <c r="F54" s="38"/>
      <c r="G54" s="18"/>
      <c r="H54" s="18"/>
      <c r="I54" s="18"/>
      <c r="J54" s="18"/>
      <c r="K54" s="18"/>
      <c r="L54" s="18"/>
      <c r="M54" s="18"/>
      <c r="N54" s="18"/>
      <c r="O54" s="18"/>
      <c r="P54" s="18"/>
    </row>
    <row r="55" spans="1:16">
      <c r="A55" s="29" t="s">
        <v>202</v>
      </c>
      <c r="B55" s="37"/>
      <c r="C55" s="68"/>
      <c r="D55" s="667"/>
      <c r="E55" s="37"/>
      <c r="F55" s="38"/>
      <c r="G55" s="18"/>
      <c r="H55" s="18"/>
      <c r="I55" s="18"/>
      <c r="J55" s="18"/>
      <c r="K55" s="18"/>
      <c r="L55" s="18"/>
      <c r="M55" s="18"/>
      <c r="N55" s="18"/>
      <c r="O55" s="18"/>
      <c r="P55" s="18"/>
    </row>
    <row r="56" spans="1:16">
      <c r="A56" s="29" t="s">
        <v>60</v>
      </c>
      <c r="B56" s="37"/>
      <c r="C56" s="68"/>
      <c r="D56" s="667"/>
      <c r="E56" s="37"/>
      <c r="F56" s="38"/>
      <c r="G56" s="18"/>
      <c r="H56" s="18"/>
      <c r="I56" s="18"/>
      <c r="J56" s="18"/>
      <c r="K56" s="18"/>
      <c r="L56" s="18"/>
      <c r="M56" s="18"/>
      <c r="N56" s="18"/>
      <c r="O56" s="18"/>
      <c r="P56" s="18"/>
    </row>
    <row r="57" spans="1:16">
      <c r="A57" s="29" t="s">
        <v>59</v>
      </c>
      <c r="B57" s="196"/>
      <c r="C57" s="68"/>
      <c r="D57" s="668"/>
      <c r="E57" s="199"/>
      <c r="F57" s="38"/>
      <c r="G57" s="18"/>
      <c r="H57" s="18"/>
      <c r="I57" s="18"/>
      <c r="J57" s="18"/>
      <c r="K57" s="18"/>
      <c r="L57" s="18"/>
      <c r="M57" s="18"/>
      <c r="N57" s="18"/>
      <c r="O57" s="18"/>
      <c r="P57" s="17"/>
    </row>
    <row r="58" spans="1:16">
      <c r="A58" s="29" t="s">
        <v>190</v>
      </c>
      <c r="B58" s="68"/>
      <c r="C58" s="68"/>
      <c r="D58" s="667"/>
      <c r="E58" s="68"/>
      <c r="F58" s="38"/>
      <c r="G58" s="18"/>
      <c r="H58" s="18"/>
      <c r="I58" s="18"/>
      <c r="J58" s="18"/>
      <c r="K58" s="18"/>
      <c r="L58" s="18"/>
      <c r="M58" s="18"/>
      <c r="N58" s="18"/>
      <c r="O58" s="18"/>
      <c r="P58" s="17"/>
    </row>
    <row r="59" spans="1:16">
      <c r="A59" s="29" t="s">
        <v>61</v>
      </c>
      <c r="B59" s="222"/>
      <c r="C59" s="665"/>
      <c r="D59" s="668"/>
      <c r="E59" s="37"/>
      <c r="F59" s="38"/>
      <c r="G59" s="18"/>
      <c r="H59" s="18"/>
      <c r="I59" s="18"/>
      <c r="J59" s="18"/>
      <c r="K59" s="18"/>
      <c r="L59" s="18"/>
      <c r="M59" s="18"/>
      <c r="N59" s="18"/>
      <c r="O59" s="18"/>
      <c r="P59" s="18"/>
    </row>
    <row r="60" spans="1:16" ht="15.75">
      <c r="A60" s="29" t="s">
        <v>87</v>
      </c>
      <c r="B60" s="145"/>
      <c r="C60" s="145"/>
      <c r="D60" s="669"/>
      <c r="E60" s="161"/>
      <c r="F60" s="160"/>
    </row>
    <row r="61" spans="1:16" ht="18" thickBot="1">
      <c r="A61" s="243" t="s">
        <v>382</v>
      </c>
      <c r="B61" s="84"/>
      <c r="C61" s="68"/>
      <c r="D61" s="670"/>
      <c r="E61" s="200"/>
      <c r="F61" s="38"/>
      <c r="G61" s="18"/>
      <c r="H61" s="18"/>
      <c r="I61" s="18"/>
      <c r="J61" s="18"/>
      <c r="K61" s="18"/>
      <c r="L61" s="18"/>
      <c r="M61" s="90"/>
      <c r="N61" s="74"/>
      <c r="O61" s="22"/>
      <c r="P61" s="91"/>
    </row>
    <row r="62" spans="1:16" ht="15.75">
      <c r="A62" s="401" t="s">
        <v>53</v>
      </c>
      <c r="B62" s="145"/>
      <c r="C62" s="145"/>
      <c r="D62" s="510" t="e">
        <f ca="1">SUM(D52:D61)</f>
        <v>#DIV/0!</v>
      </c>
      <c r="E62" s="161"/>
      <c r="F62" s="160"/>
    </row>
    <row r="63" spans="1:16">
      <c r="A63" s="29"/>
      <c r="B63" s="37"/>
      <c r="C63" s="38"/>
      <c r="D63" s="191"/>
      <c r="E63" s="37"/>
      <c r="F63" s="38"/>
      <c r="G63" s="18"/>
      <c r="H63" s="18"/>
      <c r="I63" s="18"/>
      <c r="J63" s="18"/>
      <c r="K63" s="18"/>
      <c r="L63" s="18"/>
      <c r="M63" s="18"/>
      <c r="N63" s="18"/>
      <c r="O63" s="18"/>
      <c r="P63" s="18"/>
    </row>
    <row r="64" spans="1:16">
      <c r="A64" s="399" t="s">
        <v>224</v>
      </c>
      <c r="B64" s="37"/>
      <c r="C64" s="38"/>
      <c r="D64" s="191"/>
      <c r="E64" s="37"/>
      <c r="F64" s="38"/>
      <c r="G64" s="18"/>
      <c r="H64" s="18"/>
      <c r="I64" s="18"/>
      <c r="J64" s="18"/>
      <c r="K64" s="18"/>
      <c r="L64" s="18"/>
      <c r="M64" s="18"/>
      <c r="N64" s="18"/>
      <c r="O64" s="18"/>
      <c r="P64" s="18"/>
    </row>
    <row r="65" spans="1:16">
      <c r="A65" s="29" t="s">
        <v>249</v>
      </c>
      <c r="B65" s="37"/>
      <c r="C65" s="38"/>
      <c r="D65" s="522"/>
      <c r="E65" s="37"/>
      <c r="F65" s="38"/>
      <c r="G65" s="18"/>
      <c r="H65" s="18"/>
      <c r="I65" s="18"/>
      <c r="J65" s="18"/>
      <c r="K65" s="18"/>
      <c r="L65" s="18"/>
      <c r="M65" s="18"/>
      <c r="N65" s="18"/>
      <c r="O65" s="18"/>
      <c r="P65" s="18"/>
    </row>
    <row r="66" spans="1:16">
      <c r="A66" s="29" t="s">
        <v>198</v>
      </c>
      <c r="B66" s="671"/>
      <c r="C66" s="93" t="s">
        <v>109</v>
      </c>
      <c r="D66" s="191">
        <f>B66*'Units &amp; Income'!B22</f>
        <v>0</v>
      </c>
      <c r="E66" s="39"/>
      <c r="F66" s="38"/>
      <c r="G66" s="183"/>
      <c r="H66" s="18"/>
      <c r="I66" s="18"/>
      <c r="J66" s="18"/>
      <c r="K66" s="18"/>
      <c r="L66" s="18"/>
      <c r="M66" s="18"/>
      <c r="N66" s="18"/>
      <c r="O66" s="18"/>
      <c r="P66" s="18"/>
    </row>
    <row r="67" spans="1:16">
      <c r="A67" s="29" t="s">
        <v>253</v>
      </c>
      <c r="B67" s="37"/>
      <c r="C67" s="93"/>
      <c r="D67" s="522"/>
      <c r="E67" s="39"/>
      <c r="F67" s="38"/>
      <c r="G67" s="18"/>
      <c r="H67" s="18"/>
      <c r="I67" s="18"/>
      <c r="J67" s="18"/>
      <c r="K67" s="18"/>
      <c r="L67" s="18"/>
      <c r="M67" s="18"/>
      <c r="N67" s="18"/>
      <c r="O67" s="18"/>
      <c r="P67" s="18"/>
    </row>
    <row r="68" spans="1:16">
      <c r="A68" s="29" t="s">
        <v>86</v>
      </c>
      <c r="B68" s="37"/>
      <c r="C68" s="38"/>
      <c r="D68" s="586"/>
      <c r="E68" s="50" t="e">
        <f ca="1">D68/D71</f>
        <v>#DIV/0!</v>
      </c>
      <c r="F68" s="38" t="s">
        <v>116</v>
      </c>
      <c r="G68" s="18"/>
      <c r="H68" s="18"/>
      <c r="I68" s="18"/>
      <c r="J68" s="18"/>
      <c r="K68" s="18"/>
      <c r="L68" s="18"/>
      <c r="M68" s="18"/>
      <c r="N68" s="18"/>
      <c r="O68" s="18"/>
      <c r="P68" s="18"/>
    </row>
    <row r="69" spans="1:16" ht="15.75">
      <c r="A69" s="158" t="s">
        <v>53</v>
      </c>
      <c r="B69" s="37"/>
      <c r="C69" s="38"/>
      <c r="D69" s="190">
        <f>SUM(D64:D68)</f>
        <v>0</v>
      </c>
      <c r="E69" s="43"/>
      <c r="F69" s="38"/>
      <c r="G69" s="21"/>
      <c r="H69" s="18"/>
      <c r="I69" s="18"/>
      <c r="J69" s="18"/>
      <c r="K69" s="18"/>
      <c r="L69" s="18"/>
      <c r="M69" s="18"/>
      <c r="N69" s="18"/>
      <c r="O69" s="18"/>
      <c r="P69" s="18"/>
    </row>
    <row r="70" spans="1:16">
      <c r="A70" s="29"/>
      <c r="B70" s="37"/>
      <c r="C70" s="38"/>
      <c r="D70" s="189"/>
      <c r="E70" s="43"/>
      <c r="F70" s="38"/>
      <c r="G70" s="21"/>
      <c r="H70" s="18"/>
      <c r="I70" s="18"/>
      <c r="J70" s="18"/>
      <c r="K70" s="18"/>
      <c r="L70" s="18"/>
      <c r="M70" s="18"/>
      <c r="N70" s="18"/>
      <c r="O70" s="18"/>
      <c r="P70" s="18"/>
    </row>
    <row r="71" spans="1:16" ht="15.75">
      <c r="A71" s="399" t="s">
        <v>115</v>
      </c>
      <c r="B71" s="37"/>
      <c r="C71" s="38"/>
      <c r="D71" s="557" t="e">
        <f ca="1">D35+D49+D62+D69</f>
        <v>#DIV/0!</v>
      </c>
      <c r="E71" s="43"/>
      <c r="F71" s="38"/>
      <c r="G71" s="21"/>
      <c r="H71" s="18"/>
      <c r="I71" s="18"/>
      <c r="J71" s="18"/>
      <c r="K71" s="18"/>
      <c r="L71" s="18"/>
      <c r="M71" s="18"/>
      <c r="N71" s="18"/>
      <c r="O71" s="18"/>
      <c r="P71" s="18"/>
    </row>
    <row r="72" spans="1:16">
      <c r="A72" s="29"/>
      <c r="B72" s="37"/>
      <c r="C72" s="38"/>
      <c r="D72" s="189"/>
      <c r="E72" s="27"/>
      <c r="F72" s="28"/>
      <c r="G72" s="18"/>
      <c r="H72" s="18"/>
      <c r="I72" s="18"/>
      <c r="J72" s="18"/>
      <c r="K72" s="18"/>
      <c r="L72" s="18"/>
      <c r="M72" s="18"/>
      <c r="N72" s="18"/>
      <c r="O72" s="18"/>
      <c r="P72" s="18"/>
    </row>
    <row r="73" spans="1:16" ht="15.75">
      <c r="A73" s="399" t="s">
        <v>62</v>
      </c>
      <c r="B73" s="151"/>
      <c r="C73" s="152"/>
      <c r="D73" s="523"/>
      <c r="E73" s="94" t="e">
        <f ca="1">D73/(D76-D73)</f>
        <v>#DIV/0!</v>
      </c>
      <c r="F73" s="615" t="s">
        <v>394</v>
      </c>
      <c r="G73" s="18"/>
    </row>
    <row r="74" spans="1:16">
      <c r="A74" s="29"/>
      <c r="B74" s="37"/>
      <c r="C74" s="38"/>
      <c r="D74" s="189"/>
      <c r="E74" s="37"/>
      <c r="F74" s="38"/>
    </row>
    <row r="75" spans="1:16">
      <c r="A75" s="29"/>
      <c r="B75" s="37"/>
      <c r="C75" s="38"/>
      <c r="D75" s="187"/>
      <c r="E75" s="37"/>
      <c r="F75" s="38"/>
      <c r="J75" s="221"/>
    </row>
    <row r="76" spans="1:16" ht="15.75">
      <c r="A76" s="402" t="s">
        <v>63</v>
      </c>
      <c r="B76" s="69"/>
      <c r="C76" s="70"/>
      <c r="D76" s="403" t="e">
        <f ca="1">D6+D15+D71+D73</f>
        <v>#DIV/0!</v>
      </c>
      <c r="E76" s="95"/>
      <c r="F76" s="96"/>
    </row>
    <row r="77" spans="1:16">
      <c r="A77" s="18"/>
      <c r="B77" s="18"/>
      <c r="C77" s="18"/>
      <c r="D77" s="194"/>
      <c r="F77" s="21"/>
    </row>
    <row r="78" spans="1:16" ht="15.75">
      <c r="A78" s="1" t="s">
        <v>85</v>
      </c>
      <c r="B78" s="18"/>
      <c r="C78" s="224"/>
      <c r="D78" s="193"/>
      <c r="E78" s="97"/>
      <c r="F78" s="54"/>
      <c r="G78" s="18"/>
    </row>
    <row r="79" spans="1:16">
      <c r="A79" s="71" t="str">
        <f t="shared" ref="A79:A86" si="0">A91</f>
        <v>First Mortgage (Lender:                                )</v>
      </c>
      <c r="B79" s="18"/>
      <c r="C79" s="224"/>
      <c r="D79" s="672" t="e">
        <f ca="1">0.51*D76</f>
        <v>#DIV/0!</v>
      </c>
      <c r="E79" s="22" t="e">
        <f ca="1">D79/$D$76</f>
        <v>#DIV/0!</v>
      </c>
    </row>
    <row r="80" spans="1:16">
      <c r="A80" s="71" t="str">
        <f t="shared" si="0"/>
        <v>Second Mortgage (Lender:                                )</v>
      </c>
      <c r="B80" s="18"/>
      <c r="C80" s="224"/>
      <c r="D80" s="616">
        <f>D92</f>
        <v>0</v>
      </c>
      <c r="E80" s="22" t="e">
        <f t="shared" ref="E80:E86" ca="1" si="1">D80/$D$76</f>
        <v>#DIV/0!</v>
      </c>
      <c r="F80" s="21"/>
    </row>
    <row r="81" spans="1:9">
      <c r="A81" s="71" t="str">
        <f t="shared" si="0"/>
        <v>Third Mortgage (Lender:                                )</v>
      </c>
      <c r="C81" s="221"/>
      <c r="D81" s="616">
        <f>D93</f>
        <v>0</v>
      </c>
      <c r="E81" s="22" t="e">
        <f t="shared" ca="1" si="1"/>
        <v>#DIV/0!</v>
      </c>
      <c r="H81" s="221"/>
    </row>
    <row r="82" spans="1:9">
      <c r="A82" s="71" t="str">
        <f t="shared" si="0"/>
        <v>Fourth Mortgage (Lender:                                )</v>
      </c>
      <c r="C82" s="221"/>
      <c r="D82" s="616">
        <f ca="1">D94</f>
        <v>0</v>
      </c>
      <c r="E82" s="22" t="e">
        <f t="shared" ca="1" si="1"/>
        <v>#DIV/0!</v>
      </c>
      <c r="H82" s="221"/>
    </row>
    <row r="83" spans="1:9">
      <c r="A83" s="71" t="str">
        <f t="shared" si="0"/>
        <v>LIHTC Equity</v>
      </c>
      <c r="C83" s="221"/>
      <c r="D83" s="508"/>
      <c r="E83" s="22" t="e">
        <f t="shared" ca="1" si="1"/>
        <v>#DIV/0!</v>
      </c>
      <c r="G83" s="18"/>
      <c r="H83" s="221"/>
    </row>
    <row r="84" spans="1:9">
      <c r="A84" s="71" t="str">
        <f t="shared" si="0"/>
        <v>Deferred Developer's Fee</v>
      </c>
      <c r="C84" s="221"/>
      <c r="D84" s="509"/>
      <c r="E84" s="22" t="e">
        <f t="shared" ca="1" si="1"/>
        <v>#DIV/0!</v>
      </c>
      <c r="G84" s="18"/>
      <c r="H84" s="221"/>
    </row>
    <row r="85" spans="1:9">
      <c r="A85" s="71" t="str">
        <f t="shared" si="0"/>
        <v>Developer Equity</v>
      </c>
      <c r="C85" s="221"/>
      <c r="D85" s="508"/>
      <c r="E85" s="22" t="e">
        <f ca="1">D85/$D$76</f>
        <v>#DIV/0!</v>
      </c>
      <c r="G85" s="18"/>
      <c r="H85" s="221"/>
    </row>
    <row r="86" spans="1:9">
      <c r="A86" s="71" t="str">
        <f t="shared" si="0"/>
        <v>Other source (Specify:                                )</v>
      </c>
      <c r="C86" s="221"/>
      <c r="D86" s="509"/>
      <c r="E86" s="22" t="e">
        <f t="shared" ca="1" si="1"/>
        <v>#DIV/0!</v>
      </c>
      <c r="G86" s="18"/>
      <c r="H86" s="221"/>
    </row>
    <row r="87" spans="1:9">
      <c r="A87" s="3" t="s">
        <v>481</v>
      </c>
      <c r="C87" s="221"/>
      <c r="D87" s="508" t="e">
        <f ca="1">D76-SUM(D79:D86)</f>
        <v>#DIV/0!</v>
      </c>
      <c r="E87" s="22" t="e">
        <f ca="1">D87/$D$76</f>
        <v>#DIV/0!</v>
      </c>
      <c r="G87" s="18"/>
      <c r="H87" s="221"/>
    </row>
    <row r="88" spans="1:9">
      <c r="A88" s="18" t="s">
        <v>1</v>
      </c>
      <c r="C88" s="221"/>
      <c r="D88" s="602" t="e">
        <f ca="1">SUM(D79:D86)</f>
        <v>#DIV/0!</v>
      </c>
      <c r="E88" s="22" t="e">
        <f ca="1">SUM(E79:E86)</f>
        <v>#DIV/0!</v>
      </c>
      <c r="G88" s="18"/>
      <c r="H88" s="221"/>
    </row>
    <row r="89" spans="1:9">
      <c r="C89" s="221"/>
      <c r="D89" s="192" t="s">
        <v>121</v>
      </c>
      <c r="F89"/>
      <c r="G89" s="179"/>
      <c r="H89" s="230"/>
      <c r="I89" s="230"/>
    </row>
    <row r="90" spans="1:9" ht="15.75">
      <c r="A90" s="1" t="s">
        <v>81</v>
      </c>
      <c r="B90" s="18"/>
      <c r="C90" s="224"/>
      <c r="D90" s="203"/>
      <c r="E90" s="21"/>
      <c r="F90" s="99"/>
      <c r="G90" s="179"/>
      <c r="H90" s="230"/>
      <c r="I90" s="230"/>
    </row>
    <row r="91" spans="1:9">
      <c r="A91" s="71" t="s">
        <v>257</v>
      </c>
      <c r="B91" s="18"/>
      <c r="C91" s="224"/>
      <c r="D91" s="204" t="e">
        <f>FIRST</f>
        <v>#DIV/0!</v>
      </c>
      <c r="E91" s="22" t="e">
        <f ca="1">D91/$D$76</f>
        <v>#DIV/0!</v>
      </c>
      <c r="F91" s="99"/>
      <c r="G91" s="179"/>
      <c r="H91" s="230"/>
      <c r="I91" s="230"/>
    </row>
    <row r="92" spans="1:9">
      <c r="A92" s="71" t="s">
        <v>258</v>
      </c>
      <c r="B92" s="18"/>
      <c r="C92" s="224"/>
      <c r="D92" s="204">
        <f>Mort!I30</f>
        <v>0</v>
      </c>
      <c r="E92" s="22" t="e">
        <f t="shared" ref="E92:E98" ca="1" si="2">D92/$D$76</f>
        <v>#DIV/0!</v>
      </c>
      <c r="F92" s="179"/>
      <c r="G92" s="268"/>
      <c r="H92" s="269"/>
      <c r="I92" s="230"/>
    </row>
    <row r="93" spans="1:9">
      <c r="A93" s="71" t="s">
        <v>259</v>
      </c>
      <c r="B93" s="18"/>
      <c r="C93" s="224"/>
      <c r="D93" s="204">
        <f>Mort!J30</f>
        <v>0</v>
      </c>
      <c r="E93" s="22" t="e">
        <f t="shared" ca="1" si="2"/>
        <v>#DIV/0!</v>
      </c>
      <c r="F93" s="188"/>
      <c r="G93" s="268"/>
      <c r="H93" s="270"/>
      <c r="I93" s="230"/>
    </row>
    <row r="94" spans="1:9">
      <c r="A94" s="71" t="s">
        <v>260</v>
      </c>
      <c r="B94" s="18"/>
      <c r="C94" s="224"/>
      <c r="D94" s="204">
        <f ca="1">D82</f>
        <v>0</v>
      </c>
      <c r="E94" s="22" t="e">
        <f t="shared" ca="1" si="2"/>
        <v>#DIV/0!</v>
      </c>
      <c r="F94" s="179"/>
      <c r="G94" s="271"/>
      <c r="H94" s="270"/>
      <c r="I94" s="230"/>
    </row>
    <row r="95" spans="1:9" ht="15.75">
      <c r="A95" s="71" t="s">
        <v>251</v>
      </c>
      <c r="B95" s="18"/>
      <c r="C95" s="224"/>
      <c r="D95" s="508"/>
      <c r="E95" s="22" t="e">
        <f t="shared" ca="1" si="2"/>
        <v>#DIV/0!</v>
      </c>
      <c r="F95" s="220"/>
      <c r="G95" s="272"/>
      <c r="H95" s="270"/>
      <c r="I95" s="230"/>
    </row>
    <row r="96" spans="1:9" ht="15.75">
      <c r="A96" s="71" t="s">
        <v>73</v>
      </c>
      <c r="B96" s="18"/>
      <c r="C96" s="224"/>
      <c r="D96" s="509" t="e">
        <f>'Cash Flow'!C27</f>
        <v>#DIV/0!</v>
      </c>
      <c r="E96" s="22" t="e">
        <f t="shared" ca="1" si="2"/>
        <v>#DIV/0!</v>
      </c>
      <c r="F96" s="220"/>
      <c r="G96" s="272"/>
      <c r="H96" s="270"/>
      <c r="I96" s="230"/>
    </row>
    <row r="97" spans="1:9" ht="15.75">
      <c r="A97" s="71" t="s">
        <v>261</v>
      </c>
      <c r="B97" s="18"/>
      <c r="C97" s="224"/>
      <c r="D97" s="508"/>
      <c r="E97" s="22" t="e">
        <f ca="1">D97/$D$76</f>
        <v>#DIV/0!</v>
      </c>
      <c r="F97" s="220"/>
      <c r="G97" s="272"/>
      <c r="H97" s="270"/>
      <c r="I97" s="230"/>
    </row>
    <row r="98" spans="1:9" ht="15" customHeight="1">
      <c r="A98" s="71" t="s">
        <v>262</v>
      </c>
      <c r="B98" s="18"/>
      <c r="C98" s="224"/>
      <c r="D98" s="509"/>
      <c r="E98" s="22" t="e">
        <f t="shared" ca="1" si="2"/>
        <v>#DIV/0!</v>
      </c>
      <c r="F98" s="99"/>
      <c r="G98" s="179"/>
      <c r="H98" s="230"/>
      <c r="I98" s="230"/>
    </row>
    <row r="99" spans="1:9" ht="15.75">
      <c r="A99" s="3" t="s">
        <v>481</v>
      </c>
      <c r="B99" s="18"/>
      <c r="C99" s="224"/>
      <c r="D99" s="508" t="e">
        <f ca="1">D76-SUM(D91:D98)</f>
        <v>#DIV/0!</v>
      </c>
      <c r="E99" s="22" t="e">
        <f ca="1">D99/$D$76</f>
        <v>#DIV/0!</v>
      </c>
      <c r="F99" s="220"/>
      <c r="G99" s="272"/>
      <c r="H99" s="270"/>
      <c r="I99" s="230"/>
    </row>
    <row r="100" spans="1:9">
      <c r="A100" s="18" t="str">
        <f>A88</f>
        <v>Total</v>
      </c>
      <c r="B100" s="76"/>
      <c r="C100" s="224"/>
      <c r="D100" s="204" t="e">
        <f>SUM(D91:D99)</f>
        <v>#DIV/0!</v>
      </c>
      <c r="E100" s="22" t="e">
        <f ca="1">SUM(E91:E99)</f>
        <v>#DIV/0!</v>
      </c>
      <c r="F100" s="99"/>
      <c r="G100" s="230"/>
      <c r="H100" s="230"/>
      <c r="I100" s="230"/>
    </row>
    <row r="101" spans="1:9" ht="15.75">
      <c r="A101" s="18"/>
      <c r="B101" s="76"/>
      <c r="C101" s="225"/>
      <c r="D101" s="205"/>
      <c r="E101" s="22"/>
      <c r="F101" s="220"/>
      <c r="G101" s="179"/>
      <c r="H101" s="230"/>
      <c r="I101" s="230"/>
    </row>
    <row r="102" spans="1:9">
      <c r="A102" s="18"/>
      <c r="B102" s="18"/>
      <c r="C102" s="224"/>
      <c r="D102" s="201"/>
      <c r="E102" s="22"/>
      <c r="F102" s="99"/>
      <c r="G102" s="230"/>
      <c r="H102" s="230"/>
      <c r="I102" s="230"/>
    </row>
    <row r="103" spans="1:9">
      <c r="A103" s="18"/>
      <c r="B103" s="18"/>
      <c r="C103" s="224"/>
      <c r="D103" s="193"/>
      <c r="E103" s="21"/>
      <c r="F103" s="99"/>
      <c r="G103" s="230"/>
      <c r="H103" s="230"/>
      <c r="I103" s="230"/>
    </row>
    <row r="104" spans="1:9">
      <c r="A104" s="11"/>
      <c r="B104" s="11"/>
      <c r="C104" s="226"/>
      <c r="D104" s="195"/>
      <c r="E104" s="18"/>
      <c r="F104" s="273"/>
      <c r="G104" s="230"/>
      <c r="H104" s="230"/>
      <c r="I104" s="230"/>
    </row>
    <row r="105" spans="1:9">
      <c r="A105" s="23"/>
      <c r="B105" s="13"/>
      <c r="C105" s="221"/>
    </row>
    <row r="106" spans="1:9">
      <c r="C106" s="221"/>
    </row>
    <row r="107" spans="1:9">
      <c r="C107" s="221"/>
    </row>
    <row r="108" spans="1:9">
      <c r="C108" s="221"/>
    </row>
    <row r="109" spans="1:9">
      <c r="C109" s="221"/>
    </row>
  </sheetData>
  <customSheetViews>
    <customSheetView guid="{25C4E7E7-1006-4A2D-BC83-AEE4ADF8A914}" scale="70" colorId="22" showPageBreaks="1" fitToPage="1" printArea="1" hiddenRows="1" showRuler="0" topLeftCell="A31">
      <selection activeCell="A42" sqref="A42"/>
      <pageMargins left="0.75" right="0.5" top="0.75" bottom="0.5" header="0.5" footer="0.5"/>
      <pageSetup scale="49" orientation="portrait" r:id="rId1"/>
      <headerFooter alignWithMargins="0"/>
    </customSheetView>
    <customSheetView guid="{28F81D13-D146-4D67-8981-BA5D7A496326}" scale="75" colorId="22" showPageBreaks="1" fitToPage="1" printArea="1" showRuler="0" topLeftCell="C1">
      <selection activeCell="G77" sqref="A1:G77"/>
      <pageMargins left="0.5" right="0.5" top="0.5" bottom="0.5" header="0.5" footer="0.5"/>
      <pageSetup scale="61" orientation="portrait" r:id="rId2"/>
      <headerFooter alignWithMargins="0"/>
    </customSheetView>
    <customSheetView guid="{AEA5979F-5357-4ED6-A6CA-1BB80F5C7A74}" scale="75" colorId="22" showPageBreaks="1" fitToPage="1" printArea="1" showRuler="0" topLeftCell="A49">
      <selection activeCell="C83" sqref="C83"/>
      <pageMargins left="0.5" right="0.5" top="0.5" bottom="0.5" header="0.5" footer="0.5"/>
      <pageSetup scale="61" orientation="portrait" r:id="rId3"/>
      <headerFooter alignWithMargins="0"/>
    </customSheetView>
    <customSheetView guid="{EB776EFC-3589-4DB5-BEAF-1E83D9703F9E}" scale="75" colorId="22" fitToPage="1" hiddenColumns="1" showRuler="0" topLeftCell="A52">
      <selection activeCell="F56" sqref="F56"/>
      <pageMargins left="0.5" right="0.5" top="0.5" bottom="0.5" header="0.5" footer="0.5"/>
      <pageSetup scale="63" orientation="portrait" r:id="rId4"/>
      <headerFooter alignWithMargins="0"/>
    </customSheetView>
    <customSheetView guid="{FBB4BF8E-8A9F-4E98-A6F9-5F9BF4C55C67}" scale="75" colorId="22" showPageBreaks="1" fitToPage="1" printArea="1" hiddenColumns="1" showRuler="0" topLeftCell="B49">
      <selection activeCell="F54" sqref="F54"/>
      <pageMargins left="0.5" right="0.5" top="0.5" bottom="0.5" header="0.5" footer="0.5"/>
      <pageSetup scale="64" orientation="portrait" r:id="rId5"/>
      <headerFooter alignWithMargins="0"/>
    </customSheetView>
    <customSheetView guid="{6EF643BE-69F3-424E-8A44-3890161370D4}" scale="75" colorId="22" showPageBreaks="1" fitToPage="1" printArea="1" showRuler="0">
      <selection activeCell="E77" sqref="E77"/>
      <pageMargins left="0.5" right="0.5" top="0.5" bottom="0.5" header="0.5" footer="0.5"/>
      <pageSetup scale="67" orientation="portrait" r:id="rId6"/>
      <headerFooter alignWithMargins="0"/>
    </customSheetView>
    <customSheetView guid="{1ECE83C7-A3CE-4F97-BFD3-498FF783C0D9}" scale="70" colorId="22" showPageBreaks="1" fitToPage="1" printArea="1" showRuler="0" topLeftCell="A34">
      <selection activeCell="A60" sqref="A60"/>
      <pageMargins left="0.75" right="0.5" top="0.75" bottom="0.5" header="0.5" footer="0.5"/>
      <pageSetup scale="53" orientation="portrait" r:id="rId7"/>
      <headerFooter alignWithMargins="0"/>
    </customSheetView>
    <customSheetView guid="{560D4AFA-61E5-46C3-B0CD-D0EB3053A033}" scale="70" colorId="22" showPageBreaks="1" fitToPage="1" printArea="1" hiddenRows="1" showRuler="0">
      <selection activeCell="I23" sqref="I23"/>
      <pageMargins left="0.75" right="0.5" top="0.75" bottom="0.5" header="0.5" footer="0.5"/>
      <pageSetup scale="49" orientation="portrait" r:id="rId8"/>
      <headerFooter alignWithMargins="0"/>
    </customSheetView>
  </customSheetViews>
  <phoneticPr fontId="0" type="noConversion"/>
  <pageMargins left="0.75" right="0.5" top="0.75" bottom="0.5" header="0.5" footer="0.5"/>
  <pageSetup scale="46" firstPageNumber="207" orientation="portrait" useFirstPageNumber="1" r:id="rId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96"/>
  <sheetViews>
    <sheetView zoomScale="70" zoomScaleNormal="70" workbookViewId="0">
      <selection activeCell="A2" sqref="A2"/>
    </sheetView>
  </sheetViews>
  <sheetFormatPr defaultRowHeight="15"/>
  <cols>
    <col min="1" max="1" width="50.77734375" style="46" bestFit="1" customWidth="1"/>
    <col min="2" max="2" width="15" style="46" customWidth="1"/>
    <col min="3" max="3" width="14.6640625" style="46" customWidth="1"/>
    <col min="4" max="4" width="17.5546875" style="46" customWidth="1"/>
    <col min="5" max="5" width="10.88671875" style="46" customWidth="1"/>
    <col min="6" max="6" width="15.88671875" style="46" customWidth="1"/>
    <col min="7" max="7" width="11.77734375" style="46" bestFit="1" customWidth="1"/>
    <col min="8" max="8" width="12.88671875" style="46" customWidth="1"/>
    <col min="9" max="16384" width="8.88671875" style="46"/>
  </cols>
  <sheetData>
    <row r="1" spans="1:6" ht="15.75">
      <c r="A1" s="568" t="str">
        <f>'Sources and Use'!A1</f>
        <v>Seniors First RFP: Kingsborough and Morris Houses</v>
      </c>
      <c r="E1" s="434"/>
      <c r="F1" s="434"/>
    </row>
    <row r="2" spans="1:6" ht="15.75">
      <c r="A2" s="1" t="str">
        <f>'Devel. Bud'!A2</f>
        <v>Site:</v>
      </c>
      <c r="E2" s="434" t="str">
        <f>'Sources and Use'!C2</f>
        <v>Units:</v>
      </c>
      <c r="F2" s="434">
        <f>'Units &amp; Income'!B22</f>
        <v>0</v>
      </c>
    </row>
    <row r="3" spans="1:6" ht="15.75">
      <c r="A3" s="33"/>
      <c r="B3" s="100"/>
      <c r="C3" s="100"/>
      <c r="D3" s="100"/>
      <c r="E3" s="101"/>
    </row>
    <row r="4" spans="1:6" ht="15.75">
      <c r="A4" s="33" t="s">
        <v>208</v>
      </c>
      <c r="B4" s="100"/>
      <c r="C4" s="100"/>
      <c r="D4" s="100"/>
      <c r="E4" s="101"/>
    </row>
    <row r="5" spans="1:6" ht="15.75">
      <c r="A5" s="33"/>
      <c r="B5" s="100"/>
      <c r="C5" s="100"/>
      <c r="D5" s="100"/>
      <c r="E5" s="101"/>
    </row>
    <row r="6" spans="1:6" ht="15.75">
      <c r="A6" s="33"/>
      <c r="B6" s="100"/>
      <c r="C6" s="100"/>
      <c r="D6" s="100"/>
      <c r="E6" s="101"/>
    </row>
    <row r="7" spans="1:6" ht="15.75">
      <c r="A7" s="32" t="s">
        <v>142</v>
      </c>
      <c r="B7" s="115"/>
      <c r="C7" s="105" t="s">
        <v>141</v>
      </c>
    </row>
    <row r="8" spans="1:6">
      <c r="A8" s="105" t="s">
        <v>105</v>
      </c>
      <c r="B8" s="442" t="e">
        <f>'Devel. Bud'!D91</f>
        <v>#DIV/0!</v>
      </c>
      <c r="C8" s="108" t="e">
        <f ca="1">B8/B10</f>
        <v>#DIV/0!</v>
      </c>
    </row>
    <row r="9" spans="1:6">
      <c r="A9" s="105" t="s">
        <v>106</v>
      </c>
      <c r="B9" s="102" t="e">
        <f ca="1">B10-B8</f>
        <v>#DIV/0!</v>
      </c>
      <c r="C9" s="108" t="e">
        <f ca="1">B9/B10</f>
        <v>#DIV/0!</v>
      </c>
    </row>
    <row r="10" spans="1:6" ht="15.75">
      <c r="A10" s="105" t="s">
        <v>104</v>
      </c>
      <c r="B10" s="275" t="e">
        <f ca="1">'Devel. Bud'!D79</f>
        <v>#DIV/0!</v>
      </c>
      <c r="C10" s="100"/>
    </row>
    <row r="11" spans="1:6" ht="15.75">
      <c r="A11" s="116"/>
      <c r="B11" s="100"/>
      <c r="C11" s="100"/>
    </row>
    <row r="12" spans="1:6" ht="15.75">
      <c r="A12" s="116"/>
      <c r="B12" s="100"/>
      <c r="C12" s="100"/>
    </row>
    <row r="13" spans="1:6" ht="15.75">
      <c r="A13" s="120" t="s">
        <v>43</v>
      </c>
      <c r="B13" s="105" t="s">
        <v>143</v>
      </c>
      <c r="C13" s="105" t="s">
        <v>144</v>
      </c>
    </row>
    <row r="14" spans="1:6">
      <c r="A14" s="105" t="s">
        <v>145</v>
      </c>
      <c r="B14" s="119"/>
      <c r="C14" s="565">
        <f>B14/12</f>
        <v>0</v>
      </c>
      <c r="D14" s="100"/>
      <c r="E14" s="101"/>
    </row>
    <row r="15" spans="1:6">
      <c r="A15" s="105" t="s">
        <v>146</v>
      </c>
      <c r="B15" s="119"/>
      <c r="C15" s="565">
        <f>B15/12</f>
        <v>0</v>
      </c>
      <c r="D15" s="100"/>
      <c r="E15" s="101"/>
    </row>
    <row r="16" spans="1:6">
      <c r="A16" s="105" t="s">
        <v>147</v>
      </c>
      <c r="B16" s="46">
        <f>B14+B15</f>
        <v>0</v>
      </c>
      <c r="C16" s="565">
        <f>B16/12</f>
        <v>0</v>
      </c>
      <c r="D16" s="100"/>
      <c r="E16" s="101"/>
    </row>
    <row r="17" spans="1:6">
      <c r="A17" s="105"/>
      <c r="C17" s="100"/>
      <c r="D17" s="100"/>
      <c r="E17" s="101"/>
    </row>
    <row r="18" spans="1:6">
      <c r="A18" s="105"/>
      <c r="C18" s="100"/>
      <c r="D18" s="100"/>
      <c r="E18" s="101"/>
    </row>
    <row r="19" spans="1:6" ht="15.75">
      <c r="A19" s="120" t="s">
        <v>374</v>
      </c>
      <c r="C19" s="100"/>
      <c r="D19" s="100"/>
      <c r="E19" s="562"/>
      <c r="F19" s="562"/>
    </row>
    <row r="20" spans="1:6">
      <c r="A20" s="121" t="s">
        <v>241</v>
      </c>
      <c r="B20" s="118"/>
      <c r="C20" s="103"/>
      <c r="D20" s="561"/>
      <c r="E20" s="101"/>
    </row>
    <row r="21" spans="1:6">
      <c r="A21" s="121" t="s">
        <v>242</v>
      </c>
      <c r="B21" s="118"/>
      <c r="C21" s="104"/>
      <c r="D21" s="105"/>
      <c r="E21" s="101"/>
    </row>
    <row r="22" spans="1:6">
      <c r="A22" s="121" t="s">
        <v>338</v>
      </c>
      <c r="B22" s="118"/>
      <c r="C22" s="371"/>
      <c r="D22" s="100"/>
      <c r="E22" s="101"/>
    </row>
    <row r="23" spans="1:6">
      <c r="A23" s="121" t="s">
        <v>339</v>
      </c>
      <c r="B23" s="118"/>
      <c r="C23" s="371"/>
      <c r="D23" s="100"/>
      <c r="E23" s="101"/>
    </row>
    <row r="24" spans="1:6">
      <c r="A24" s="121" t="s">
        <v>340</v>
      </c>
      <c r="B24" s="118"/>
      <c r="C24" s="371"/>
      <c r="D24" s="100"/>
      <c r="E24" s="101"/>
    </row>
    <row r="25" spans="1:6">
      <c r="A25" s="100"/>
      <c r="B25" s="101"/>
      <c r="C25" s="371"/>
      <c r="D25" s="100"/>
      <c r="E25" s="101"/>
    </row>
    <row r="26" spans="1:6" ht="15.75">
      <c r="A26" s="171" t="s">
        <v>148</v>
      </c>
      <c r="B26" s="172"/>
      <c r="C26" s="173"/>
      <c r="D26" s="174"/>
      <c r="E26" s="172"/>
    </row>
    <row r="27" spans="1:6">
      <c r="A27" s="175" t="s">
        <v>375</v>
      </c>
      <c r="B27" s="176">
        <v>0</v>
      </c>
      <c r="C27" s="174"/>
      <c r="D27" s="174"/>
      <c r="E27" s="172"/>
    </row>
    <row r="28" spans="1:6">
      <c r="A28" s="177" t="s">
        <v>373</v>
      </c>
      <c r="B28" s="176">
        <v>0</v>
      </c>
      <c r="C28" s="174"/>
      <c r="D28" s="174"/>
      <c r="E28" s="172"/>
    </row>
    <row r="29" spans="1:6">
      <c r="A29" s="175" t="s">
        <v>148</v>
      </c>
      <c r="B29" s="178">
        <f>SUM(B27:B28)</f>
        <v>0</v>
      </c>
      <c r="C29" s="174"/>
      <c r="D29" s="174"/>
      <c r="E29" s="172"/>
    </row>
    <row r="30" spans="1:6">
      <c r="A30" s="175"/>
      <c r="B30" s="173"/>
      <c r="C30" s="174"/>
      <c r="D30" s="174"/>
      <c r="E30" s="172"/>
    </row>
    <row r="31" spans="1:6">
      <c r="A31" s="105"/>
      <c r="C31" s="100"/>
      <c r="D31" s="100"/>
      <c r="E31" s="101"/>
    </row>
    <row r="32" spans="1:6" ht="15.75">
      <c r="A32" s="120" t="s">
        <v>157</v>
      </c>
      <c r="C32" s="100"/>
      <c r="D32" s="100"/>
      <c r="E32" s="101"/>
    </row>
    <row r="33" spans="1:6" ht="15.75">
      <c r="A33" s="120"/>
      <c r="C33" s="100"/>
      <c r="D33" s="100"/>
      <c r="E33" s="101"/>
    </row>
    <row r="34" spans="1:6" ht="15.75">
      <c r="A34" s="116" t="s">
        <v>151</v>
      </c>
      <c r="B34" s="122" t="s">
        <v>149</v>
      </c>
      <c r="C34" s="122" t="s">
        <v>70</v>
      </c>
      <c r="D34" s="123" t="s">
        <v>152</v>
      </c>
      <c r="E34" s="123" t="s">
        <v>150</v>
      </c>
      <c r="F34" s="125" t="s">
        <v>153</v>
      </c>
    </row>
    <row r="35" spans="1:6">
      <c r="A35" s="105" t="s">
        <v>341</v>
      </c>
      <c r="B35" s="47" t="e">
        <f ca="1">B9</f>
        <v>#DIV/0!</v>
      </c>
      <c r="C35" s="124">
        <v>0.5</v>
      </c>
      <c r="D35" s="601">
        <f>C14</f>
        <v>0</v>
      </c>
      <c r="E35" s="103">
        <f>B21</f>
        <v>0</v>
      </c>
      <c r="F35" s="75" t="e">
        <f t="shared" ref="F35:F41" ca="1" si="0">B35*C35*D35*E35</f>
        <v>#DIV/0!</v>
      </c>
    </row>
    <row r="36" spans="1:6">
      <c r="A36" s="105"/>
      <c r="B36" s="47" t="e">
        <f ca="1">B9</f>
        <v>#DIV/0!</v>
      </c>
      <c r="C36" s="124">
        <v>1</v>
      </c>
      <c r="D36" s="601">
        <f>C15</f>
        <v>0</v>
      </c>
      <c r="E36" s="103">
        <f>B21</f>
        <v>0</v>
      </c>
      <c r="F36" s="75" t="e">
        <f t="shared" ca="1" si="0"/>
        <v>#DIV/0!</v>
      </c>
    </row>
    <row r="37" spans="1:6">
      <c r="A37" s="105" t="s">
        <v>342</v>
      </c>
      <c r="B37" s="47" t="e">
        <f>B8</f>
        <v>#DIV/0!</v>
      </c>
      <c r="C37" s="124">
        <v>0.5</v>
      </c>
      <c r="D37" s="601">
        <f>C14</f>
        <v>0</v>
      </c>
      <c r="E37" s="103">
        <f>B20</f>
        <v>0</v>
      </c>
      <c r="F37" s="75" t="e">
        <f t="shared" si="0"/>
        <v>#DIV/0!</v>
      </c>
    </row>
    <row r="38" spans="1:6">
      <c r="A38" s="105"/>
      <c r="B38" s="47" t="e">
        <f>B8</f>
        <v>#DIV/0!</v>
      </c>
      <c r="C38" s="124">
        <v>1</v>
      </c>
      <c r="D38" s="601">
        <f>C15</f>
        <v>0</v>
      </c>
      <c r="E38" s="103">
        <f>B20</f>
        <v>0</v>
      </c>
      <c r="F38" s="75" t="e">
        <f t="shared" si="0"/>
        <v>#DIV/0!</v>
      </c>
    </row>
    <row r="39" spans="1:6">
      <c r="A39" s="105" t="str">
        <f>A22</f>
        <v>2nd Construction</v>
      </c>
      <c r="B39" s="47">
        <f>'Devel. Bud'!D80</f>
        <v>0</v>
      </c>
      <c r="C39" s="124">
        <v>1</v>
      </c>
      <c r="D39" s="627">
        <f>C16</f>
        <v>0</v>
      </c>
      <c r="E39" s="103">
        <f>B22</f>
        <v>0</v>
      </c>
      <c r="F39" s="75">
        <f t="shared" si="0"/>
        <v>0</v>
      </c>
    </row>
    <row r="40" spans="1:6">
      <c r="A40" s="105" t="str">
        <f>A23</f>
        <v>3rd Construction</v>
      </c>
      <c r="B40" s="47">
        <f>'Devel. Bud'!D81</f>
        <v>0</v>
      </c>
      <c r="C40" s="124">
        <v>1</v>
      </c>
      <c r="D40" s="627">
        <f>C16</f>
        <v>0</v>
      </c>
      <c r="E40" s="103">
        <f>B23</f>
        <v>0</v>
      </c>
      <c r="F40" s="75">
        <f t="shared" si="0"/>
        <v>0</v>
      </c>
    </row>
    <row r="41" spans="1:6">
      <c r="A41" s="105" t="str">
        <f>A24</f>
        <v>4th Construction</v>
      </c>
      <c r="B41" s="47">
        <f ca="1">'Devel. Bud'!D82</f>
        <v>0</v>
      </c>
      <c r="C41" s="124">
        <v>1</v>
      </c>
      <c r="D41" s="627">
        <f>C16</f>
        <v>0</v>
      </c>
      <c r="E41" s="103">
        <f>B24</f>
        <v>0</v>
      </c>
      <c r="F41" s="75">
        <f t="shared" ca="1" si="0"/>
        <v>0</v>
      </c>
    </row>
    <row r="42" spans="1:6" ht="15.75">
      <c r="C42" s="100"/>
      <c r="D42" s="100"/>
      <c r="E42" s="116" t="s">
        <v>154</v>
      </c>
      <c r="F42" s="126" t="e">
        <f ca="1">SUM(F35:F41)</f>
        <v>#DIV/0!</v>
      </c>
    </row>
    <row r="43" spans="1:6" ht="15.75">
      <c r="A43" s="120"/>
      <c r="C43" s="100"/>
      <c r="D43" s="100"/>
      <c r="E43" s="101"/>
      <c r="F43" s="75"/>
    </row>
    <row r="44" spans="1:6" ht="15.75">
      <c r="A44" s="120"/>
      <c r="C44" s="100"/>
      <c r="D44" s="100"/>
      <c r="E44" s="101"/>
    </row>
    <row r="45" spans="1:6" ht="15.75">
      <c r="A45" s="116" t="s">
        <v>148</v>
      </c>
      <c r="B45" s="122" t="s">
        <v>149</v>
      </c>
      <c r="C45" s="122" t="s">
        <v>70</v>
      </c>
      <c r="D45" s="123" t="s">
        <v>152</v>
      </c>
      <c r="E45" s="123" t="s">
        <v>150</v>
      </c>
      <c r="F45" s="125" t="s">
        <v>153</v>
      </c>
    </row>
    <row r="46" spans="1:6">
      <c r="A46" s="105" t="s">
        <v>155</v>
      </c>
      <c r="B46" s="47" t="e">
        <f ca="1">B10</f>
        <v>#DIV/0!</v>
      </c>
      <c r="C46" s="124">
        <v>0.5</v>
      </c>
      <c r="D46" s="601">
        <f>C14</f>
        <v>0</v>
      </c>
      <c r="E46" s="103">
        <f>B29</f>
        <v>0</v>
      </c>
      <c r="F46" s="75" t="e">
        <f ca="1">B46*C46*D46*E46</f>
        <v>#DIV/0!</v>
      </c>
    </row>
    <row r="47" spans="1:6">
      <c r="A47" s="105"/>
      <c r="B47" s="47" t="e">
        <f ca="1">B10</f>
        <v>#DIV/0!</v>
      </c>
      <c r="C47" s="124">
        <v>1</v>
      </c>
      <c r="D47" s="601">
        <f>C15</f>
        <v>0</v>
      </c>
      <c r="E47" s="103">
        <f>B29</f>
        <v>0</v>
      </c>
      <c r="F47" s="75" t="e">
        <f ca="1">B47*C47*D47*E47</f>
        <v>#DIV/0!</v>
      </c>
    </row>
    <row r="48" spans="1:6">
      <c r="A48" s="105" t="s">
        <v>55</v>
      </c>
      <c r="B48" s="47">
        <f>'Devel. Bud'!D80</f>
        <v>0</v>
      </c>
      <c r="C48" s="124">
        <v>1</v>
      </c>
      <c r="D48" s="601">
        <f>C16</f>
        <v>0</v>
      </c>
      <c r="E48" s="103">
        <f>B22</f>
        <v>0</v>
      </c>
      <c r="F48" s="75">
        <f>B48*C48*D48*E48</f>
        <v>0</v>
      </c>
    </row>
    <row r="49" spans="1:8">
      <c r="A49" s="105"/>
      <c r="B49" s="47">
        <f>'Devel. Bud'!D81</f>
        <v>0</v>
      </c>
      <c r="C49" s="124">
        <v>1</v>
      </c>
      <c r="D49" s="601">
        <f>C16</f>
        <v>0</v>
      </c>
      <c r="E49" s="103">
        <f>B23</f>
        <v>0</v>
      </c>
      <c r="F49" s="75">
        <f>B49*C49*D49*E49</f>
        <v>0</v>
      </c>
    </row>
    <row r="50" spans="1:8" ht="15.75">
      <c r="C50" s="100"/>
      <c r="D50" s="100"/>
      <c r="E50" s="116" t="s">
        <v>156</v>
      </c>
      <c r="F50" s="126" t="e">
        <f ca="1">SUM(F46:F49)</f>
        <v>#DIV/0!</v>
      </c>
    </row>
    <row r="51" spans="1:8">
      <c r="A51" s="100"/>
      <c r="B51" s="100"/>
      <c r="C51" s="100"/>
      <c r="D51" s="100"/>
      <c r="E51" s="101"/>
    </row>
    <row r="52" spans="1:8">
      <c r="A52" s="79"/>
      <c r="B52" s="79"/>
      <c r="C52" s="79"/>
      <c r="D52" s="79"/>
      <c r="E52" s="114"/>
      <c r="F52" s="79"/>
      <c r="G52" s="100"/>
      <c r="H52" s="100"/>
    </row>
    <row r="53" spans="1:8" ht="15.75">
      <c r="A53" s="32" t="s">
        <v>137</v>
      </c>
    </row>
    <row r="54" spans="1:8" s="32" customFormat="1" ht="15.75">
      <c r="A54" s="48" t="s">
        <v>161</v>
      </c>
      <c r="B54" s="44"/>
    </row>
    <row r="55" spans="1:8" s="32" customFormat="1" ht="15.75">
      <c r="B55" s="44"/>
    </row>
    <row r="56" spans="1:8" s="32" customFormat="1" ht="15.75">
      <c r="A56" s="121" t="s">
        <v>160</v>
      </c>
      <c r="B56" s="127"/>
    </row>
    <row r="57" spans="1:8" s="32" customFormat="1" ht="15.75">
      <c r="B57" s="44"/>
    </row>
    <row r="58" spans="1:8" s="32" customFormat="1" ht="15.75">
      <c r="B58" s="44"/>
    </row>
    <row r="59" spans="1:8" ht="17.25" customHeight="1">
      <c r="B59" s="128" t="s">
        <v>213</v>
      </c>
      <c r="C59" s="128" t="s">
        <v>212</v>
      </c>
    </row>
    <row r="60" spans="1:8">
      <c r="A60" s="115" t="s">
        <v>158</v>
      </c>
      <c r="B60" s="245">
        <f>B21</f>
        <v>0</v>
      </c>
      <c r="C60" s="81">
        <f>B20</f>
        <v>0</v>
      </c>
    </row>
    <row r="61" spans="1:8">
      <c r="A61" s="105" t="s">
        <v>106</v>
      </c>
      <c r="B61" s="47" t="e">
        <f ca="1">B9</f>
        <v>#DIV/0!</v>
      </c>
      <c r="C61" s="194" t="e">
        <f>B8</f>
        <v>#DIV/0!</v>
      </c>
    </row>
    <row r="62" spans="1:8">
      <c r="A62" s="115" t="s">
        <v>70</v>
      </c>
      <c r="B62" s="80">
        <v>0.5</v>
      </c>
      <c r="C62" s="80">
        <v>0.5</v>
      </c>
    </row>
    <row r="63" spans="1:8">
      <c r="A63" s="115" t="s">
        <v>107</v>
      </c>
      <c r="B63" s="109">
        <f>B60-B56</f>
        <v>0</v>
      </c>
      <c r="C63" s="109">
        <f>C60-B56</f>
        <v>0</v>
      </c>
    </row>
    <row r="64" spans="1:8">
      <c r="A64" s="115" t="s">
        <v>159</v>
      </c>
      <c r="B64" s="713">
        <f>C14</f>
        <v>0</v>
      </c>
      <c r="C64" s="713">
        <f>C14</f>
        <v>0</v>
      </c>
    </row>
    <row r="65" spans="1:4">
      <c r="A65" s="115"/>
      <c r="B65" s="75" t="e">
        <f ca="1">B61*B62*B63*B64</f>
        <v>#DIV/0!</v>
      </c>
      <c r="C65" s="75" t="e">
        <f>C61*C62*C63*C64</f>
        <v>#DIV/0!</v>
      </c>
      <c r="D65" s="75"/>
    </row>
    <row r="66" spans="1:4">
      <c r="A66" s="115"/>
    </row>
    <row r="67" spans="1:4" ht="15.75">
      <c r="A67" s="116" t="s">
        <v>54</v>
      </c>
      <c r="B67" s="276" t="e">
        <f ca="1">B65+C65</f>
        <v>#DIV/0!</v>
      </c>
    </row>
    <row r="68" spans="1:4" ht="15.75">
      <c r="A68" s="33"/>
      <c r="B68" s="100"/>
    </row>
    <row r="69" spans="1:4" ht="15.75">
      <c r="A69" s="33"/>
      <c r="B69" s="100"/>
    </row>
    <row r="70" spans="1:4" ht="15.75">
      <c r="A70" s="32" t="s">
        <v>209</v>
      </c>
      <c r="B70" s="13"/>
      <c r="D70" s="568"/>
    </row>
    <row r="71" spans="1:4">
      <c r="A71" s="100"/>
      <c r="B71" s="100"/>
    </row>
    <row r="72" spans="1:4">
      <c r="A72" s="100" t="s">
        <v>142</v>
      </c>
      <c r="B72" s="100"/>
      <c r="C72" s="617" t="e">
        <f ca="1">B10</f>
        <v>#DIV/0!</v>
      </c>
    </row>
    <row r="73" spans="1:4">
      <c r="A73" s="100" t="s">
        <v>210</v>
      </c>
      <c r="B73" s="119"/>
      <c r="C73" s="221" t="e">
        <f ca="1">C72*B20*(B73/360)</f>
        <v>#DIV/0!</v>
      </c>
    </row>
    <row r="74" spans="1:4" ht="15.75">
      <c r="A74" s="230" t="s">
        <v>211</v>
      </c>
      <c r="B74" s="102"/>
      <c r="C74" s="274" t="e">
        <f ca="1">C72+C73</f>
        <v>#DIV/0!</v>
      </c>
    </row>
    <row r="75" spans="1:4">
      <c r="A75" s="100"/>
      <c r="B75" s="106"/>
    </row>
    <row r="76" spans="1:4">
      <c r="A76" s="100"/>
      <c r="B76" s="107"/>
    </row>
    <row r="77" spans="1:4">
      <c r="A77" s="100"/>
      <c r="B77" s="100"/>
    </row>
    <row r="78" spans="1:4">
      <c r="A78" s="100"/>
      <c r="B78" s="100"/>
    </row>
    <row r="79" spans="1:4">
      <c r="A79" s="100"/>
      <c r="B79" s="110"/>
    </row>
    <row r="80" spans="1:4">
      <c r="A80" s="100"/>
      <c r="B80" s="110"/>
    </row>
    <row r="81" spans="1:2">
      <c r="A81" s="100"/>
      <c r="B81" s="110"/>
    </row>
    <row r="86" spans="1:2">
      <c r="A86" s="100"/>
      <c r="B86" s="47"/>
    </row>
    <row r="87" spans="1:2">
      <c r="A87" s="100"/>
      <c r="B87" s="80"/>
    </row>
    <row r="88" spans="1:2">
      <c r="A88" s="100"/>
      <c r="B88" s="111"/>
    </row>
    <row r="89" spans="1:2">
      <c r="A89" s="100"/>
    </row>
    <row r="91" spans="1:2">
      <c r="B91" s="112"/>
    </row>
    <row r="93" spans="1:2">
      <c r="B93" s="113"/>
    </row>
    <row r="96" spans="1:2" ht="15.75">
      <c r="A96" s="32"/>
      <c r="B96" s="35"/>
    </row>
  </sheetData>
  <dataConsolidate/>
  <customSheetViews>
    <customSheetView guid="{25C4E7E7-1006-4A2D-BC83-AEE4ADF8A914}" scale="75" showPageBreaks="1" fitToPage="1" printArea="1" hiddenRows="1" showRuler="0" topLeftCell="A7">
      <selection activeCell="C18" sqref="C18"/>
      <pageMargins left="0.75" right="0.5" top="0.75" bottom="0.5" header="0.5" footer="0.5"/>
      <pageSetup scale="77" orientation="portrait" r:id="rId1"/>
      <headerFooter alignWithMargins="0"/>
    </customSheetView>
    <customSheetView guid="{28F81D13-D146-4D67-8981-BA5D7A496326}" scale="60" showPageBreaks="1" fitToPage="1" printArea="1" hiddenRows="1" view="pageBreakPreview" showRuler="0" topLeftCell="A4">
      <selection activeCell="E41" sqref="E41"/>
      <pageMargins left="0.75" right="0.75" top="1" bottom="1" header="0.5" footer="0.5"/>
      <pageSetup scale="60" orientation="portrait" r:id="rId2"/>
      <headerFooter alignWithMargins="0"/>
    </customSheetView>
    <customSheetView guid="{AEA5979F-5357-4ED6-A6CA-1BB80F5C7A74}" scale="60" showPageBreaks="1" fitToPage="1" printArea="1" hiddenRows="1" view="pageBreakPreview" showRuler="0">
      <selection activeCell="B25" sqref="B25"/>
      <pageMargins left="0.75" right="0.75" top="1" bottom="1" header="0.5" footer="0.5"/>
      <pageSetup scale="62" orientation="portrait" r:id="rId3"/>
      <headerFooter alignWithMargins="0"/>
    </customSheetView>
    <customSheetView guid="{EB776EFC-3589-4DB5-BEAF-1E83D9703F9E}" scale="75" fitToPage="1" hiddenRows="1" hiddenColumns="1" showRuler="0" topLeftCell="A17">
      <selection activeCell="J41" sqref="J41"/>
      <pageMargins left="0.75" right="0.75" top="1" bottom="1" header="0.5" footer="0.5"/>
      <pageSetup scale="93" orientation="portrait" r:id="rId4"/>
      <headerFooter alignWithMargins="0"/>
    </customSheetView>
    <customSheetView guid="{FBB4BF8E-8A9F-4E98-A6F9-5F9BF4C55C67}" scale="75" showPageBreaks="1" fitToPage="1" hiddenRows="1" hiddenColumns="1" showRuler="0" topLeftCell="A14">
      <selection activeCell="B42" sqref="B42"/>
      <pageMargins left="0.75" right="0.75" top="1" bottom="1" header="0.5" footer="0.5"/>
      <pageSetup scale="70" orientation="portrait" r:id="rId5"/>
      <headerFooter alignWithMargins="0"/>
    </customSheetView>
    <customSheetView guid="{6EF643BE-69F3-424E-8A44-3890161370D4}" scale="60" showPageBreaks="1" fitToPage="1" printArea="1" hiddenRows="1" view="pageBreakPreview" showRuler="0" topLeftCell="A13">
      <selection activeCell="E40" sqref="E40"/>
      <pageMargins left="0.75" right="0.75" top="1" bottom="1" header="0.5" footer="0.5"/>
      <pageSetup scale="60" orientation="portrait" r:id="rId6"/>
      <headerFooter alignWithMargins="0"/>
    </customSheetView>
    <customSheetView guid="{1ECE83C7-A3CE-4F97-BFD3-498FF783C0D9}" scale="75" showPageBreaks="1" fitToPage="1" printArea="1" showRuler="0" topLeftCell="A28">
      <selection activeCell="H29" sqref="H29"/>
      <pageMargins left="0.75" right="0.5" top="0.75" bottom="0.5" header="0.5" footer="0.5"/>
      <pageSetup scale="66" orientation="portrait" r:id="rId7"/>
      <headerFooter alignWithMargins="0"/>
    </customSheetView>
    <customSheetView guid="{560D4AFA-61E5-46C3-B0CD-D0EB3053A033}" scale="75" showPageBreaks="1" fitToPage="1" printArea="1" hiddenRows="1" showRuler="0">
      <selection activeCell="C18" sqref="C18"/>
      <pageMargins left="0.75" right="0.5" top="0.75" bottom="0.5" header="0.5" footer="0.5"/>
      <pageSetup scale="77" orientation="portrait" r:id="rId8"/>
      <headerFooter alignWithMargins="0"/>
    </customSheetView>
  </customSheetViews>
  <phoneticPr fontId="0" type="noConversion"/>
  <pageMargins left="0.75" right="0.5" top="0.75" bottom="0.5" header="0.5" footer="0.5"/>
  <pageSetup scale="59" firstPageNumber="208" orientation="portrait" useFirstPageNumber="1" r:id="rId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pageSetUpPr fitToPage="1"/>
  </sheetPr>
  <dimension ref="A1:AB118"/>
  <sheetViews>
    <sheetView defaultGridColor="0" colorId="22" zoomScale="70" zoomScaleNormal="70" workbookViewId="0"/>
  </sheetViews>
  <sheetFormatPr defaultColWidth="9.77734375" defaultRowHeight="15"/>
  <cols>
    <col min="1" max="1" width="23.21875" style="100" customWidth="1"/>
    <col min="2" max="2" width="13" style="100" customWidth="1"/>
    <col min="3" max="3" width="14.88671875" style="100" customWidth="1"/>
    <col min="4" max="4" width="13.109375" style="100" customWidth="1"/>
    <col min="5" max="6" width="11.77734375" style="100" customWidth="1"/>
    <col min="7" max="9" width="14.44140625" style="100" customWidth="1"/>
    <col min="10" max="10" width="9.77734375" style="100"/>
    <col min="11" max="11" width="8.44140625" style="100" customWidth="1"/>
    <col min="12" max="13" width="6.77734375" style="100" customWidth="1"/>
    <col min="14" max="20" width="6.6640625" style="100" customWidth="1"/>
    <col min="21" max="22" width="5.44140625" style="100" customWidth="1"/>
    <col min="23" max="16384" width="9.77734375" style="100"/>
  </cols>
  <sheetData>
    <row r="1" spans="1:15" ht="15.75">
      <c r="A1" s="218" t="str">
        <f>'Sources and Use'!A1</f>
        <v>Seniors First RFP: Kingsborough and Morris Houses</v>
      </c>
      <c r="B1" s="179"/>
      <c r="C1" s="230"/>
      <c r="D1" s="230"/>
      <c r="E1" s="230"/>
      <c r="H1" s="218"/>
      <c r="I1" s="218"/>
      <c r="J1" s="230"/>
      <c r="K1" s="230"/>
      <c r="L1" s="230"/>
      <c r="M1" s="230"/>
      <c r="N1" s="230"/>
      <c r="O1" s="230"/>
    </row>
    <row r="2" spans="1:15" ht="15.75">
      <c r="A2" s="218" t="str">
        <f>'Sources and Use'!A2</f>
        <v>Site:</v>
      </c>
      <c r="B2" s="179"/>
      <c r="C2" s="230"/>
      <c r="D2" s="230"/>
      <c r="E2" s="230"/>
      <c r="H2" s="218" t="str">
        <f>'Sources and Use'!C2</f>
        <v>Units:</v>
      </c>
      <c r="I2" s="574">
        <f>B22</f>
        <v>0</v>
      </c>
      <c r="J2" s="230"/>
      <c r="K2" s="230"/>
      <c r="L2" s="230"/>
      <c r="M2" s="230"/>
      <c r="N2" s="230"/>
      <c r="O2" s="230"/>
    </row>
    <row r="3" spans="1:15" ht="15.75" thickBot="1">
      <c r="A3" s="281"/>
      <c r="B3" s="281"/>
      <c r="C3" s="281"/>
      <c r="D3" s="281"/>
      <c r="E3" s="281"/>
      <c r="F3" s="281"/>
      <c r="G3" s="281"/>
      <c r="H3" s="281"/>
      <c r="I3" s="281"/>
      <c r="J3" s="230"/>
      <c r="K3" s="230"/>
      <c r="L3" s="230"/>
      <c r="M3" s="230"/>
      <c r="N3" s="230"/>
      <c r="O3" s="230"/>
    </row>
    <row r="4" spans="1:15" ht="18.75" customHeight="1" thickTop="1">
      <c r="A4" s="293" t="s">
        <v>136</v>
      </c>
      <c r="B4" s="212" t="s">
        <v>411</v>
      </c>
      <c r="C4" s="230"/>
      <c r="D4" s="631" t="s">
        <v>408</v>
      </c>
      <c r="E4" s="631" t="s">
        <v>409</v>
      </c>
      <c r="F4" s="632"/>
      <c r="G4" s="179"/>
      <c r="H4" s="230"/>
      <c r="I4" s="291"/>
      <c r="J4" s="230"/>
      <c r="K4" s="230"/>
      <c r="L4" s="230"/>
      <c r="M4" s="230"/>
      <c r="N4" s="230"/>
      <c r="O4" s="230"/>
    </row>
    <row r="5" spans="1:15" ht="15.75">
      <c r="A5" s="297" t="e">
        <f>B5/$B$9</f>
        <v>#DIV/0!</v>
      </c>
      <c r="B5" s="443"/>
      <c r="C5" s="232" t="s">
        <v>404</v>
      </c>
      <c r="D5" s="711" t="e">
        <f>E5/B5</f>
        <v>#DIV/0!</v>
      </c>
      <c r="E5" s="710">
        <f>E22</f>
        <v>0</v>
      </c>
      <c r="F5" s="633"/>
      <c r="G5" s="179"/>
      <c r="H5" s="230"/>
      <c r="I5" s="287"/>
      <c r="J5" s="230"/>
      <c r="K5" s="230"/>
      <c r="L5" s="230"/>
      <c r="M5" s="230"/>
      <c r="N5" s="230"/>
      <c r="O5" s="230"/>
    </row>
    <row r="6" spans="1:15" ht="15.75">
      <c r="A6" s="297" t="e">
        <f>B6/$B$9</f>
        <v>#DIV/0!</v>
      </c>
      <c r="B6" s="443"/>
      <c r="C6" s="232" t="s">
        <v>405</v>
      </c>
      <c r="D6" s="712">
        <v>1</v>
      </c>
      <c r="E6" s="710">
        <f>D6*B6</f>
        <v>0</v>
      </c>
      <c r="F6" s="633"/>
      <c r="G6" s="179"/>
      <c r="H6" s="230"/>
      <c r="I6" s="287"/>
      <c r="J6" s="230"/>
      <c r="K6" s="230"/>
      <c r="L6" s="230"/>
      <c r="M6" s="230"/>
      <c r="N6" s="230"/>
      <c r="O6" s="230"/>
    </row>
    <row r="7" spans="1:15" ht="15.75">
      <c r="A7" s="297" t="e">
        <f>B7/$B$9</f>
        <v>#DIV/0!</v>
      </c>
      <c r="B7" s="443"/>
      <c r="C7" s="232" t="s">
        <v>406</v>
      </c>
      <c r="D7" s="712">
        <v>1</v>
      </c>
      <c r="E7" s="710">
        <f>D7*B7</f>
        <v>0</v>
      </c>
      <c r="F7" s="633"/>
      <c r="G7" s="179"/>
      <c r="H7" s="230"/>
      <c r="I7" s="287"/>
      <c r="J7" s="230"/>
      <c r="K7" s="230"/>
      <c r="L7" s="230"/>
      <c r="M7" s="230"/>
      <c r="N7" s="230"/>
      <c r="O7" s="230"/>
    </row>
    <row r="8" spans="1:15" ht="15.75">
      <c r="A8" s="297" t="e">
        <f>B8/$B$9</f>
        <v>#DIV/0!</v>
      </c>
      <c r="B8" s="443"/>
      <c r="C8" s="232" t="s">
        <v>407</v>
      </c>
      <c r="D8" s="712">
        <v>1</v>
      </c>
      <c r="E8" s="710">
        <f>D8*B8</f>
        <v>0</v>
      </c>
      <c r="F8" s="633"/>
      <c r="G8" s="179"/>
      <c r="H8" s="230"/>
      <c r="I8" s="287"/>
      <c r="J8" s="230"/>
      <c r="K8" s="230"/>
      <c r="L8" s="230"/>
      <c r="M8" s="230"/>
      <c r="N8" s="230"/>
      <c r="O8" s="230"/>
    </row>
    <row r="9" spans="1:15" ht="15.75">
      <c r="A9" s="298"/>
      <c r="B9" s="233">
        <f>SUM(B5:B8)</f>
        <v>0</v>
      </c>
      <c r="C9" s="235" t="s">
        <v>412</v>
      </c>
      <c r="D9" s="634"/>
      <c r="E9" s="634">
        <f>SUM(E5:E8)</f>
        <v>0</v>
      </c>
      <c r="F9" s="635" t="s">
        <v>410</v>
      </c>
      <c r="G9" s="179"/>
      <c r="H9" s="230"/>
      <c r="I9" s="287"/>
      <c r="J9" s="230"/>
      <c r="K9" s="230"/>
      <c r="L9" s="230"/>
      <c r="M9" s="230"/>
      <c r="N9" s="230"/>
      <c r="O9" s="230"/>
    </row>
    <row r="10" spans="1:15" ht="15.75">
      <c r="A10" s="290"/>
      <c r="B10" s="212"/>
      <c r="D10" s="233"/>
      <c r="E10" s="385"/>
      <c r="F10" s="235"/>
      <c r="G10" s="179"/>
      <c r="H10" s="230"/>
      <c r="I10" s="287"/>
      <c r="J10" s="230"/>
      <c r="K10" s="230"/>
      <c r="L10" s="230"/>
      <c r="M10" s="230"/>
      <c r="N10" s="230"/>
      <c r="O10" s="230"/>
    </row>
    <row r="11" spans="1:15" ht="15.75">
      <c r="A11" s="299"/>
      <c r="B11" s="300"/>
      <c r="C11" s="301"/>
      <c r="D11" s="302"/>
      <c r="E11" s="302"/>
      <c r="F11" s="386"/>
      <c r="G11" s="387"/>
      <c r="H11" s="292"/>
      <c r="I11" s="288"/>
      <c r="J11" s="230"/>
      <c r="K11" s="230"/>
      <c r="L11" s="230"/>
      <c r="M11" s="230"/>
      <c r="N11" s="230"/>
      <c r="O11" s="230"/>
    </row>
    <row r="12" spans="1:15" ht="16.5" thickBot="1">
      <c r="A12" s="282"/>
      <c r="B12" s="283"/>
      <c r="C12" s="284"/>
      <c r="D12" s="285"/>
      <c r="E12" s="286"/>
      <c r="F12" s="255"/>
      <c r="G12" s="255"/>
      <c r="H12" s="281"/>
      <c r="I12" s="281"/>
      <c r="J12" s="230"/>
      <c r="K12" s="230"/>
      <c r="L12" s="230"/>
      <c r="M12" s="230"/>
      <c r="N12" s="230"/>
      <c r="O12" s="230"/>
    </row>
    <row r="13" spans="1:15" ht="16.5" thickTop="1">
      <c r="A13" s="293" t="s">
        <v>128</v>
      </c>
      <c r="B13" s="212"/>
      <c r="C13" s="234"/>
      <c r="D13" s="233"/>
      <c r="E13" s="383"/>
      <c r="F13" s="230"/>
      <c r="G13" s="179"/>
      <c r="H13" s="230"/>
      <c r="I13" s="291"/>
      <c r="J13" s="230"/>
      <c r="K13" s="230"/>
      <c r="L13" s="230"/>
      <c r="M13" s="230"/>
      <c r="N13" s="230"/>
      <c r="O13" s="230"/>
    </row>
    <row r="14" spans="1:15" ht="15" customHeight="1">
      <c r="A14" s="294"/>
      <c r="B14" s="212"/>
      <c r="C14" s="212"/>
      <c r="D14" s="212"/>
      <c r="E14" s="233" t="s">
        <v>194</v>
      </c>
      <c r="F14" s="277"/>
      <c r="G14" s="179"/>
      <c r="H14" s="230"/>
      <c r="I14" s="287"/>
      <c r="J14" s="230"/>
      <c r="K14" s="230"/>
      <c r="L14" s="230"/>
      <c r="M14" s="230"/>
      <c r="N14" s="230"/>
      <c r="O14" s="230"/>
    </row>
    <row r="15" spans="1:15" ht="15.75">
      <c r="A15" s="180"/>
      <c r="B15" s="211" t="s">
        <v>0</v>
      </c>
      <c r="C15" s="211" t="s">
        <v>65</v>
      </c>
      <c r="D15" s="211" t="s">
        <v>129</v>
      </c>
      <c r="E15" s="233" t="s">
        <v>195</v>
      </c>
      <c r="F15" s="277"/>
      <c r="G15" s="212"/>
      <c r="H15" s="212"/>
      <c r="I15" s="287"/>
      <c r="J15" s="230"/>
      <c r="K15" s="230"/>
      <c r="L15" s="230"/>
      <c r="M15" s="230"/>
      <c r="N15" s="230"/>
      <c r="O15" s="230"/>
    </row>
    <row r="16" spans="1:15" ht="15.75">
      <c r="A16" s="289" t="s">
        <v>64</v>
      </c>
      <c r="B16" s="705">
        <f>SUM(H62,H70,H78,H102)</f>
        <v>0</v>
      </c>
      <c r="C16" s="213">
        <v>2</v>
      </c>
      <c r="D16" s="708">
        <f>C16*B16</f>
        <v>0</v>
      </c>
      <c r="E16" s="443"/>
      <c r="F16" s="277"/>
      <c r="G16" s="212"/>
      <c r="I16" s="287"/>
      <c r="J16" s="230"/>
      <c r="K16" s="230"/>
      <c r="L16" s="230"/>
      <c r="M16" s="230"/>
      <c r="N16" s="230"/>
      <c r="O16" s="230"/>
    </row>
    <row r="17" spans="1:15" ht="15.75">
      <c r="A17" s="289" t="s">
        <v>383</v>
      </c>
      <c r="B17" s="705">
        <f>SUM(H63,H71,H79,H103)</f>
        <v>0</v>
      </c>
      <c r="C17" s="213">
        <v>3</v>
      </c>
      <c r="D17" s="708">
        <f>B17*C17</f>
        <v>0</v>
      </c>
      <c r="E17" s="443"/>
      <c r="F17" s="277"/>
      <c r="G17" s="179"/>
      <c r="I17" s="287"/>
      <c r="J17" s="230"/>
      <c r="K17" s="230"/>
      <c r="L17" s="230"/>
      <c r="M17" s="230"/>
      <c r="N17" s="230"/>
      <c r="O17" s="230"/>
    </row>
    <row r="18" spans="1:15" ht="15.75">
      <c r="A18" s="289" t="s">
        <v>384</v>
      </c>
      <c r="B18" s="705">
        <f>SUM(H64,H72,H80,H104)</f>
        <v>0</v>
      </c>
      <c r="C18" s="213">
        <v>4</v>
      </c>
      <c r="D18" s="708">
        <f>B18*C18</f>
        <v>0</v>
      </c>
      <c r="E18" s="443"/>
      <c r="F18" s="235"/>
      <c r="G18" s="179"/>
      <c r="I18" s="287"/>
      <c r="J18" s="230"/>
      <c r="K18" s="230"/>
      <c r="L18" s="230"/>
      <c r="M18" s="230"/>
      <c r="N18" s="230"/>
      <c r="O18" s="230"/>
    </row>
    <row r="19" spans="1:15" ht="15.75">
      <c r="A19" s="289" t="s">
        <v>385</v>
      </c>
      <c r="B19" s="705">
        <f>SUM(H65,H73,H81,H105)</f>
        <v>0</v>
      </c>
      <c r="C19" s="213">
        <v>5</v>
      </c>
      <c r="D19" s="708">
        <f>C19*B19</f>
        <v>0</v>
      </c>
      <c r="E19" s="443"/>
      <c r="F19" s="236"/>
      <c r="G19" s="179"/>
      <c r="I19" s="287"/>
      <c r="J19" s="230"/>
      <c r="K19" s="230"/>
      <c r="L19" s="230"/>
      <c r="M19" s="230"/>
      <c r="N19" s="230"/>
      <c r="O19" s="230"/>
    </row>
    <row r="20" spans="1:15" ht="15.75">
      <c r="A20" s="572" t="s">
        <v>53</v>
      </c>
      <c r="B20" s="706">
        <f>SUM(B16:B19)</f>
        <v>0</v>
      </c>
      <c r="C20" s="214"/>
      <c r="D20" s="709">
        <f>SUM(D16:D19)</f>
        <v>0</v>
      </c>
      <c r="E20" s="230"/>
      <c r="F20" s="230"/>
      <c r="G20" s="179"/>
      <c r="H20" s="179"/>
      <c r="I20" s="287"/>
      <c r="J20" s="230"/>
      <c r="K20" s="230"/>
      <c r="L20" s="230"/>
      <c r="M20" s="230"/>
      <c r="N20" s="230"/>
      <c r="O20" s="230"/>
    </row>
    <row r="21" spans="1:15" ht="15.75">
      <c r="A21" s="289" t="s">
        <v>80</v>
      </c>
      <c r="B21" s="707"/>
      <c r="C21" s="443"/>
      <c r="D21" s="708">
        <f>C21*B21</f>
        <v>0</v>
      </c>
      <c r="E21" s="443"/>
      <c r="F21" s="277"/>
      <c r="G21" s="179"/>
      <c r="H21" s="179"/>
      <c r="I21" s="287"/>
      <c r="J21" s="230"/>
      <c r="K21" s="230"/>
      <c r="L21" s="230"/>
      <c r="M21" s="230"/>
      <c r="N21" s="230"/>
      <c r="O21" s="230"/>
    </row>
    <row r="22" spans="1:15" ht="15.75">
      <c r="A22" s="572" t="s">
        <v>1</v>
      </c>
      <c r="B22" s="706">
        <f>B21+B20</f>
        <v>0</v>
      </c>
      <c r="C22" s="215"/>
      <c r="D22" s="709">
        <f>SUM(D20:D21)</f>
        <v>0</v>
      </c>
      <c r="E22" s="233">
        <f>B16*E16+B17*E17+B18*E18+B19*E19+B21*E21</f>
        <v>0</v>
      </c>
      <c r="F22" s="306" t="s">
        <v>203</v>
      </c>
      <c r="G22" s="179"/>
      <c r="H22" s="179"/>
      <c r="I22" s="287"/>
      <c r="J22" s="230"/>
      <c r="K22" s="230"/>
      <c r="L22" s="230"/>
      <c r="M22" s="230"/>
      <c r="N22" s="230"/>
      <c r="O22" s="230"/>
    </row>
    <row r="23" spans="1:15">
      <c r="A23" s="295"/>
      <c r="B23" s="230"/>
      <c r="C23" s="230"/>
      <c r="D23" s="230"/>
      <c r="E23" s="384" t="e">
        <f>E22/B22</f>
        <v>#DIV/0!</v>
      </c>
      <c r="F23" s="307" t="s">
        <v>196</v>
      </c>
      <c r="G23" s="230"/>
      <c r="H23" s="230"/>
      <c r="I23" s="287"/>
      <c r="J23" s="230"/>
      <c r="K23" s="230"/>
      <c r="L23" s="230"/>
      <c r="M23" s="230"/>
      <c r="N23" s="230"/>
      <c r="O23" s="230"/>
    </row>
    <row r="24" spans="1:15">
      <c r="A24" s="296"/>
      <c r="B24" s="292"/>
      <c r="C24" s="292"/>
      <c r="D24" s="292"/>
      <c r="E24" s="382"/>
      <c r="F24" s="382"/>
      <c r="G24" s="292"/>
      <c r="H24" s="292"/>
      <c r="I24" s="288"/>
      <c r="J24" s="230"/>
      <c r="K24" s="230"/>
      <c r="L24" s="230"/>
      <c r="M24" s="230"/>
      <c r="N24" s="230"/>
      <c r="O24" s="230"/>
    </row>
    <row r="25" spans="1:15">
      <c r="B25" s="212"/>
      <c r="C25" s="212"/>
      <c r="D25" s="212"/>
      <c r="E25" s="179"/>
      <c r="F25" s="179"/>
      <c r="G25" s="179"/>
      <c r="H25" s="230"/>
      <c r="I25" s="380"/>
      <c r="J25" s="230"/>
      <c r="K25" s="230"/>
      <c r="L25" s="230"/>
      <c r="M25" s="230"/>
      <c r="N25" s="230"/>
      <c r="O25" s="230"/>
    </row>
    <row r="26" spans="1:15" ht="16.5" thickBot="1">
      <c r="A26" s="231"/>
      <c r="B26" s="283"/>
      <c r="C26" s="283"/>
      <c r="D26" s="283"/>
      <c r="E26" s="255"/>
      <c r="F26" s="255"/>
      <c r="G26" s="255"/>
      <c r="H26" s="281"/>
      <c r="I26" s="281"/>
      <c r="J26" s="230"/>
      <c r="K26" s="230"/>
      <c r="L26" s="230"/>
      <c r="M26" s="230"/>
      <c r="N26" s="230"/>
      <c r="O26" s="230"/>
    </row>
    <row r="27" spans="1:15" ht="16.5" thickTop="1">
      <c r="A27" s="303" t="s">
        <v>214</v>
      </c>
      <c r="B27" s="237"/>
      <c r="C27" s="179"/>
      <c r="D27" s="179"/>
      <c r="E27" s="381"/>
      <c r="F27" s="179"/>
      <c r="G27" s="179"/>
      <c r="H27" s="230"/>
      <c r="I27" s="291"/>
      <c r="J27" s="230"/>
      <c r="K27" s="230"/>
      <c r="L27" s="230"/>
      <c r="M27" s="230"/>
      <c r="N27" s="230"/>
      <c r="O27" s="230"/>
    </row>
    <row r="28" spans="1:15" s="278" customFormat="1" ht="30" customHeight="1">
      <c r="A28" s="304"/>
      <c r="B28" s="216" t="s">
        <v>2</v>
      </c>
      <c r="C28" s="583" t="s">
        <v>3</v>
      </c>
      <c r="D28" s="216" t="s">
        <v>4</v>
      </c>
      <c r="E28" s="238"/>
      <c r="F28" s="238"/>
      <c r="G28" s="238"/>
      <c r="H28" s="240"/>
      <c r="I28" s="388"/>
      <c r="J28" s="240"/>
      <c r="K28" s="240"/>
      <c r="L28" s="240"/>
      <c r="M28" s="240"/>
      <c r="N28" s="240"/>
      <c r="O28" s="240"/>
    </row>
    <row r="29" spans="1:15">
      <c r="A29" s="664" t="s">
        <v>482</v>
      </c>
      <c r="B29" s="443"/>
      <c r="C29" s="513"/>
      <c r="D29" s="99">
        <f>B29*C29*12</f>
        <v>0</v>
      </c>
      <c r="E29" s="179"/>
      <c r="F29" s="179"/>
      <c r="G29" s="179"/>
      <c r="H29" s="230"/>
      <c r="I29" s="287"/>
      <c r="J29" s="230"/>
      <c r="K29" s="230"/>
      <c r="L29" s="230"/>
      <c r="M29" s="230"/>
      <c r="N29" s="230"/>
      <c r="O29" s="230"/>
    </row>
    <row r="30" spans="1:15">
      <c r="A30" s="664" t="s">
        <v>484</v>
      </c>
      <c r="B30" s="443"/>
      <c r="C30" s="513"/>
      <c r="D30" s="99">
        <f>B30*C30*12</f>
        <v>0</v>
      </c>
      <c r="E30" s="179"/>
      <c r="F30" s="179"/>
      <c r="G30" s="179"/>
      <c r="H30" s="230"/>
      <c r="I30" s="287"/>
      <c r="J30" s="230"/>
      <c r="K30" s="230"/>
      <c r="L30" s="230"/>
      <c r="M30" s="230"/>
      <c r="N30" s="230"/>
      <c r="O30" s="230"/>
    </row>
    <row r="31" spans="1:15">
      <c r="A31" s="664" t="s">
        <v>483</v>
      </c>
      <c r="B31" s="443"/>
      <c r="C31" s="513"/>
      <c r="D31" s="99">
        <f>B31*C31*12</f>
        <v>0</v>
      </c>
      <c r="E31" s="179"/>
      <c r="F31" s="179"/>
      <c r="G31" s="179"/>
      <c r="H31" s="230"/>
      <c r="I31" s="287"/>
      <c r="J31" s="230"/>
      <c r="K31" s="230"/>
      <c r="L31" s="230"/>
      <c r="M31" s="230"/>
      <c r="N31" s="230"/>
      <c r="O31" s="230"/>
    </row>
    <row r="32" spans="1:15" s="278" customFormat="1" ht="30.75" customHeight="1">
      <c r="A32" s="305"/>
      <c r="B32" s="584" t="s">
        <v>5</v>
      </c>
      <c r="C32" s="585" t="s">
        <v>6</v>
      </c>
      <c r="D32" s="216" t="s">
        <v>4</v>
      </c>
      <c r="E32" s="238"/>
      <c r="F32" s="279"/>
      <c r="G32" s="238"/>
      <c r="H32" s="240"/>
      <c r="I32" s="388"/>
      <c r="J32" s="240"/>
      <c r="K32" s="240"/>
      <c r="L32" s="240"/>
      <c r="M32" s="240"/>
      <c r="N32" s="240"/>
      <c r="O32" s="240"/>
    </row>
    <row r="33" spans="1:28">
      <c r="A33" s="289" t="s">
        <v>88</v>
      </c>
      <c r="B33" s="516">
        <f>E6</f>
        <v>0</v>
      </c>
      <c r="C33" s="444"/>
      <c r="D33" s="99">
        <f>C33*B33</f>
        <v>0</v>
      </c>
      <c r="E33" s="239"/>
      <c r="F33" s="179"/>
      <c r="G33" s="179"/>
      <c r="H33" s="230"/>
      <c r="I33" s="287"/>
      <c r="J33" s="230"/>
      <c r="K33" s="230"/>
      <c r="L33" s="230"/>
      <c r="M33" s="230"/>
      <c r="N33" s="230"/>
      <c r="O33" s="230"/>
    </row>
    <row r="34" spans="1:28" ht="32.25" customHeight="1">
      <c r="A34" s="289"/>
      <c r="B34" s="584" t="s">
        <v>5</v>
      </c>
      <c r="C34" s="585" t="s">
        <v>6</v>
      </c>
      <c r="D34" s="99"/>
      <c r="E34" s="239"/>
      <c r="F34" s="179"/>
      <c r="G34" s="179"/>
      <c r="H34" s="230"/>
      <c r="I34" s="287"/>
      <c r="J34" s="230"/>
      <c r="K34" s="230"/>
      <c r="L34" s="230"/>
      <c r="M34" s="230"/>
      <c r="N34" s="230"/>
      <c r="O34" s="230"/>
    </row>
    <row r="35" spans="1:28">
      <c r="A35" s="289" t="s">
        <v>110</v>
      </c>
      <c r="B35" s="516">
        <f>E7</f>
        <v>0</v>
      </c>
      <c r="C35" s="444"/>
      <c r="D35" s="99">
        <f>C35*B35</f>
        <v>0</v>
      </c>
      <c r="E35" s="239"/>
      <c r="F35" s="179"/>
      <c r="G35" s="179"/>
      <c r="H35" s="230"/>
      <c r="I35" s="287"/>
      <c r="J35" s="230"/>
      <c r="K35" s="230"/>
      <c r="L35" s="230"/>
      <c r="M35" s="230"/>
      <c r="N35" s="230"/>
      <c r="O35" s="230"/>
    </row>
    <row r="36" spans="1:28">
      <c r="A36" s="295"/>
      <c r="B36" s="230"/>
      <c r="C36" s="230"/>
      <c r="D36" s="230"/>
      <c r="E36" s="230"/>
      <c r="F36" s="230"/>
      <c r="G36" s="230"/>
      <c r="H36" s="230"/>
      <c r="I36" s="287"/>
      <c r="J36" s="230"/>
      <c r="K36" s="230"/>
      <c r="L36" s="230"/>
      <c r="M36" s="230"/>
      <c r="N36" s="230"/>
      <c r="O36" s="230"/>
    </row>
    <row r="37" spans="1:28" s="278" customFormat="1" ht="15" customHeight="1">
      <c r="A37" s="304"/>
      <c r="B37" s="216" t="s">
        <v>7</v>
      </c>
      <c r="C37" s="216" t="s">
        <v>133</v>
      </c>
      <c r="D37" s="216" t="s">
        <v>4</v>
      </c>
      <c r="E37" s="238"/>
      <c r="F37" s="238"/>
      <c r="G37" s="240"/>
      <c r="H37" s="240"/>
      <c r="I37" s="388"/>
      <c r="J37" s="240"/>
      <c r="K37" s="240"/>
      <c r="L37" s="240"/>
      <c r="M37" s="240"/>
      <c r="N37" s="240"/>
      <c r="O37" s="240"/>
    </row>
    <row r="38" spans="1:28">
      <c r="A38" s="289" t="s">
        <v>8</v>
      </c>
      <c r="B38" s="516">
        <f>+B22</f>
        <v>0</v>
      </c>
      <c r="C38" s="444"/>
      <c r="D38" s="99">
        <f>B38*C38</f>
        <v>0</v>
      </c>
      <c r="E38" s="179"/>
      <c r="F38" s="179"/>
      <c r="G38" s="230"/>
      <c r="H38" s="230"/>
      <c r="I38" s="287"/>
      <c r="J38" s="230"/>
      <c r="K38" s="230"/>
      <c r="L38" s="230"/>
      <c r="M38" s="230"/>
      <c r="N38" s="230"/>
      <c r="O38" s="230"/>
    </row>
    <row r="39" spans="1:28" ht="15.75">
      <c r="A39" s="295"/>
      <c r="B39" s="230"/>
      <c r="C39" s="241"/>
      <c r="D39" s="230"/>
      <c r="E39" s="230"/>
      <c r="F39" s="230"/>
      <c r="G39" s="230"/>
      <c r="H39" s="230"/>
      <c r="I39" s="287"/>
      <c r="J39" s="230"/>
      <c r="K39" s="230"/>
      <c r="L39" s="230"/>
      <c r="M39" s="230"/>
      <c r="N39" s="230"/>
      <c r="O39" s="230"/>
      <c r="P39" s="218"/>
      <c r="Q39" s="179"/>
      <c r="R39" s="179"/>
      <c r="S39" s="179"/>
      <c r="T39" s="179"/>
    </row>
    <row r="40" spans="1:28" ht="15.75">
      <c r="A40" s="295"/>
      <c r="B40" s="179"/>
      <c r="C40" s="219" t="s">
        <v>131</v>
      </c>
      <c r="D40" s="220">
        <f>D38+D33+D29+D35</f>
        <v>0</v>
      </c>
      <c r="E40" s="242" t="e">
        <f>D40/$I$118</f>
        <v>#DIV/0!</v>
      </c>
      <c r="F40" s="99"/>
      <c r="G40" s="230"/>
      <c r="H40" s="230"/>
      <c r="I40" s="287"/>
      <c r="J40" s="230"/>
      <c r="K40" s="230"/>
      <c r="L40" s="230"/>
      <c r="M40" s="230"/>
      <c r="N40" s="230"/>
      <c r="O40" s="230"/>
      <c r="P40" s="218"/>
      <c r="Q40" s="179"/>
      <c r="R40" s="179"/>
      <c r="S40" s="179"/>
      <c r="T40" s="179"/>
    </row>
    <row r="41" spans="1:28" ht="15.75">
      <c r="A41" s="296"/>
      <c r="B41" s="292"/>
      <c r="C41" s="292"/>
      <c r="D41" s="292"/>
      <c r="E41" s="292"/>
      <c r="F41" s="258"/>
      <c r="G41" s="292"/>
      <c r="H41" s="292"/>
      <c r="I41" s="288"/>
      <c r="J41" s="230"/>
      <c r="K41" s="230"/>
      <c r="L41" s="230"/>
      <c r="M41" s="230"/>
      <c r="N41" s="230"/>
      <c r="O41" s="230"/>
      <c r="P41" s="390"/>
      <c r="Q41" s="216"/>
      <c r="R41" s="216"/>
      <c r="S41" s="216"/>
      <c r="T41" s="391"/>
    </row>
    <row r="42" spans="1:28" ht="15.75" thickBot="1">
      <c r="B42" s="18"/>
      <c r="C42" s="18"/>
      <c r="D42" s="18"/>
      <c r="E42" s="18"/>
      <c r="F42" s="18"/>
      <c r="G42" s="46"/>
      <c r="H42" s="230"/>
      <c r="I42" s="230"/>
      <c r="J42" s="230"/>
      <c r="K42" s="230"/>
      <c r="L42" s="230"/>
      <c r="M42" s="230"/>
      <c r="N42" s="230"/>
      <c r="O42" s="230"/>
      <c r="P42" s="179"/>
      <c r="Q42" s="179"/>
      <c r="R42" s="280"/>
      <c r="S42" s="99"/>
      <c r="T42" s="230"/>
    </row>
    <row r="43" spans="1:28" ht="16.5" thickTop="1">
      <c r="A43" s="303" t="s">
        <v>364</v>
      </c>
      <c r="B43" s="381"/>
      <c r="C43" s="381"/>
      <c r="D43" s="381"/>
      <c r="E43" s="381"/>
      <c r="F43" s="381"/>
      <c r="G43" s="381"/>
      <c r="H43" s="381"/>
      <c r="I43" s="291"/>
      <c r="J43" s="184"/>
      <c r="K43" s="184"/>
      <c r="L43" s="681" t="s">
        <v>487</v>
      </c>
      <c r="M43" s="684"/>
      <c r="N43" s="682"/>
      <c r="O43" s="682"/>
      <c r="P43" s="683"/>
      <c r="Q43" s="684"/>
      <c r="R43" s="684"/>
      <c r="S43" s="685"/>
      <c r="T43" s="682"/>
      <c r="U43" s="686"/>
      <c r="V43" s="687"/>
    </row>
    <row r="44" spans="1:28" ht="47.25" customHeight="1">
      <c r="E44" s="548"/>
      <c r="F44" s="380"/>
      <c r="G44" s="676" t="s">
        <v>486</v>
      </c>
      <c r="H44" s="676" t="s">
        <v>506</v>
      </c>
      <c r="I44" s="549" t="s">
        <v>350</v>
      </c>
      <c r="J44" s="123"/>
      <c r="K44" s="184"/>
      <c r="L44" s="688"/>
      <c r="M44" s="680" t="s">
        <v>488</v>
      </c>
      <c r="N44" s="679">
        <f>A60</f>
        <v>0.27</v>
      </c>
      <c r="O44" s="679">
        <f>A68</f>
        <v>0.37</v>
      </c>
      <c r="P44" s="679">
        <f>A76</f>
        <v>0.47</v>
      </c>
      <c r="Q44" s="679">
        <f>A84</f>
        <v>0.56999999999999995</v>
      </c>
      <c r="R44" s="679">
        <f>A92</f>
        <v>0.8</v>
      </c>
      <c r="S44" s="679">
        <f>A100</f>
        <v>1</v>
      </c>
      <c r="T44" s="680" t="s">
        <v>80</v>
      </c>
      <c r="U44" s="788" t="s">
        <v>1</v>
      </c>
      <c r="V44" s="789"/>
    </row>
    <row r="45" spans="1:28" ht="15.75">
      <c r="A45" s="715" t="s">
        <v>485</v>
      </c>
      <c r="B45" s="643">
        <v>95400</v>
      </c>
      <c r="C45" s="553" t="s">
        <v>348</v>
      </c>
      <c r="E45" s="550" t="s">
        <v>351</v>
      </c>
      <c r="F45" s="536" t="s">
        <v>352</v>
      </c>
      <c r="G45" s="645">
        <v>55</v>
      </c>
      <c r="H45" s="645">
        <v>68</v>
      </c>
      <c r="I45" s="646">
        <v>17</v>
      </c>
      <c r="J45" s="123"/>
      <c r="K45" s="184"/>
      <c r="L45" s="690" t="s">
        <v>352</v>
      </c>
      <c r="M45" s="693">
        <f>H54</f>
        <v>0</v>
      </c>
      <c r="N45" s="693">
        <f>H62</f>
        <v>0</v>
      </c>
      <c r="O45" s="693">
        <f>H70</f>
        <v>0</v>
      </c>
      <c r="P45" s="693">
        <f>H78</f>
        <v>0</v>
      </c>
      <c r="Q45" s="693">
        <f>H86</f>
        <v>0</v>
      </c>
      <c r="R45" s="693">
        <f>H94</f>
        <v>0</v>
      </c>
      <c r="S45" s="693">
        <f>H102</f>
        <v>0</v>
      </c>
      <c r="T45" s="693">
        <v>0</v>
      </c>
      <c r="U45" s="693">
        <f>SUM(M45:T45)</f>
        <v>0</v>
      </c>
      <c r="V45" s="694" t="e">
        <f>U45/$U$49</f>
        <v>#DIV/0!</v>
      </c>
      <c r="AB45" s="716" t="s">
        <v>507</v>
      </c>
    </row>
    <row r="46" spans="1:28" ht="15.75">
      <c r="A46" s="554"/>
      <c r="B46" s="644">
        <v>1637</v>
      </c>
      <c r="C46" s="555" t="s">
        <v>349</v>
      </c>
      <c r="E46" s="550" t="s">
        <v>353</v>
      </c>
      <c r="F46" s="536" t="s">
        <v>354</v>
      </c>
      <c r="G46" s="645">
        <v>57</v>
      </c>
      <c r="H46" s="645">
        <v>72</v>
      </c>
      <c r="I46" s="646">
        <v>17</v>
      </c>
      <c r="J46" s="123"/>
      <c r="K46" s="184"/>
      <c r="L46" s="691" t="s">
        <v>354</v>
      </c>
      <c r="M46" s="695">
        <f>H55</f>
        <v>0</v>
      </c>
      <c r="N46" s="695">
        <f>H63</f>
        <v>0</v>
      </c>
      <c r="O46" s="695">
        <f>H71</f>
        <v>0</v>
      </c>
      <c r="P46" s="695">
        <f>H79</f>
        <v>0</v>
      </c>
      <c r="Q46" s="695">
        <f>H87</f>
        <v>0</v>
      </c>
      <c r="R46" s="695">
        <f>H95</f>
        <v>0</v>
      </c>
      <c r="S46" s="695">
        <f>H103</f>
        <v>0</v>
      </c>
      <c r="T46" s="695">
        <v>0</v>
      </c>
      <c r="U46" s="695">
        <f>SUM(M46:T46)</f>
        <v>0</v>
      </c>
      <c r="V46" s="696" t="e">
        <f>U46/$U$49</f>
        <v>#DIV/0!</v>
      </c>
      <c r="AB46" s="716" t="s">
        <v>486</v>
      </c>
    </row>
    <row r="47" spans="1:28">
      <c r="E47" s="550" t="s">
        <v>355</v>
      </c>
      <c r="F47" s="536" t="s">
        <v>356</v>
      </c>
      <c r="G47" s="645">
        <v>58</v>
      </c>
      <c r="H47" s="645">
        <v>76</v>
      </c>
      <c r="I47" s="646">
        <v>17</v>
      </c>
      <c r="J47" s="534"/>
      <c r="K47" s="184"/>
      <c r="L47" s="691" t="s">
        <v>356</v>
      </c>
      <c r="M47" s="695">
        <f>H56</f>
        <v>0</v>
      </c>
      <c r="N47" s="695">
        <f>H64</f>
        <v>0</v>
      </c>
      <c r="O47" s="695">
        <f>H72</f>
        <v>0</v>
      </c>
      <c r="P47" s="695">
        <f>H80</f>
        <v>0</v>
      </c>
      <c r="Q47" s="695">
        <f>H88</f>
        <v>0</v>
      </c>
      <c r="R47" s="695">
        <f>H96</f>
        <v>0</v>
      </c>
      <c r="S47" s="695">
        <f>H104</f>
        <v>0</v>
      </c>
      <c r="T47" s="697">
        <f>B21</f>
        <v>0</v>
      </c>
      <c r="U47" s="695">
        <f>SUM(M47:T47)</f>
        <v>0</v>
      </c>
      <c r="V47" s="696" t="e">
        <f>U47/$U$49</f>
        <v>#DIV/0!</v>
      </c>
      <c r="AB47" s="716" t="s">
        <v>506</v>
      </c>
    </row>
    <row r="48" spans="1:28" ht="15" customHeight="1">
      <c r="A48" s="790" t="s">
        <v>505</v>
      </c>
      <c r="B48" s="791" t="s">
        <v>486</v>
      </c>
      <c r="C48" s="791"/>
      <c r="E48" s="551" t="s">
        <v>357</v>
      </c>
      <c r="F48" s="552" t="s">
        <v>358</v>
      </c>
      <c r="G48" s="647">
        <v>75</v>
      </c>
      <c r="H48" s="647">
        <v>97</v>
      </c>
      <c r="I48" s="648">
        <v>18</v>
      </c>
      <c r="J48" s="677"/>
      <c r="K48" s="184"/>
      <c r="L48" s="692" t="s">
        <v>358</v>
      </c>
      <c r="M48" s="698">
        <f>H57</f>
        <v>0</v>
      </c>
      <c r="N48" s="698">
        <f>H65</f>
        <v>0</v>
      </c>
      <c r="O48" s="698">
        <f>H73</f>
        <v>0</v>
      </c>
      <c r="P48" s="698">
        <f>H81</f>
        <v>0</v>
      </c>
      <c r="Q48" s="698">
        <f>H89</f>
        <v>0</v>
      </c>
      <c r="R48" s="698">
        <f>H97</f>
        <v>0</v>
      </c>
      <c r="S48" s="698">
        <f>H105</f>
        <v>0</v>
      </c>
      <c r="T48" s="698">
        <v>0</v>
      </c>
      <c r="U48" s="698">
        <f>SUM(M48:T48)</f>
        <v>0</v>
      </c>
      <c r="V48" s="699" t="e">
        <f>U48/$U$49</f>
        <v>#DIV/0!</v>
      </c>
      <c r="AB48" s="716" t="s">
        <v>350</v>
      </c>
    </row>
    <row r="49" spans="1:28">
      <c r="A49" s="790"/>
      <c r="B49" s="791"/>
      <c r="C49" s="791"/>
      <c r="E49" s="537"/>
      <c r="F49" s="612"/>
      <c r="G49" s="536"/>
      <c r="H49" s="125"/>
      <c r="I49" s="613"/>
      <c r="J49" s="678"/>
      <c r="K49" s="184"/>
      <c r="L49" s="688"/>
      <c r="M49" s="123">
        <f>SUM(M45:M48)</f>
        <v>0</v>
      </c>
      <c r="N49" s="123">
        <f>SUM(N45:N48)</f>
        <v>0</v>
      </c>
      <c r="O49" s="123">
        <f t="shared" ref="O49:U49" si="0">SUM(O45:O48)</f>
        <v>0</v>
      </c>
      <c r="P49" s="123">
        <f t="shared" si="0"/>
        <v>0</v>
      </c>
      <c r="Q49" s="123">
        <f t="shared" si="0"/>
        <v>0</v>
      </c>
      <c r="R49" s="123">
        <f t="shared" si="0"/>
        <v>0</v>
      </c>
      <c r="S49" s="123">
        <f t="shared" si="0"/>
        <v>0</v>
      </c>
      <c r="T49" s="123">
        <f t="shared" si="0"/>
        <v>0</v>
      </c>
      <c r="U49" s="123">
        <f t="shared" si="0"/>
        <v>0</v>
      </c>
      <c r="V49" s="700"/>
      <c r="AB49" s="716" t="s">
        <v>508</v>
      </c>
    </row>
    <row r="50" spans="1:28">
      <c r="E50" s="537"/>
      <c r="F50" s="612"/>
      <c r="G50" s="536"/>
      <c r="H50" s="125"/>
      <c r="I50" s="613"/>
      <c r="J50" s="678"/>
      <c r="K50" s="184"/>
      <c r="L50" s="689"/>
      <c r="M50" s="701" t="e">
        <f>M49/$U$49</f>
        <v>#DIV/0!</v>
      </c>
      <c r="N50" s="701" t="e">
        <f>N49/$U$49</f>
        <v>#DIV/0!</v>
      </c>
      <c r="O50" s="701" t="e">
        <f t="shared" ref="O50:T50" si="1">O49/$U$49</f>
        <v>#DIV/0!</v>
      </c>
      <c r="P50" s="701" t="e">
        <f t="shared" si="1"/>
        <v>#DIV/0!</v>
      </c>
      <c r="Q50" s="701" t="e">
        <f t="shared" si="1"/>
        <v>#DIV/0!</v>
      </c>
      <c r="R50" s="701" t="e">
        <f t="shared" si="1"/>
        <v>#DIV/0!</v>
      </c>
      <c r="S50" s="701" t="e">
        <f t="shared" si="1"/>
        <v>#DIV/0!</v>
      </c>
      <c r="T50" s="701" t="e">
        <f t="shared" si="1"/>
        <v>#DIV/0!</v>
      </c>
      <c r="U50" s="702"/>
      <c r="V50" s="703"/>
      <c r="AB50" s="716"/>
    </row>
    <row r="51" spans="1:28" ht="15.75">
      <c r="A51" s="569" t="s">
        <v>381</v>
      </c>
      <c r="B51" s="159"/>
      <c r="C51" s="159"/>
      <c r="D51" s="570"/>
      <c r="E51" s="79"/>
      <c r="F51" s="514"/>
      <c r="G51" s="514"/>
      <c r="H51" s="514"/>
      <c r="I51" s="546"/>
      <c r="J51" s="123"/>
      <c r="K51" s="184"/>
      <c r="L51"/>
      <c r="M51"/>
    </row>
    <row r="52" spans="1:28" ht="15.75">
      <c r="A52" s="515">
        <v>0.3</v>
      </c>
      <c r="B52" s="539" t="s">
        <v>367</v>
      </c>
      <c r="C52" s="540">
        <f>$B$45*A52</f>
        <v>28620</v>
      </c>
      <c r="D52" s="434" t="s">
        <v>489</v>
      </c>
      <c r="E52" s="46"/>
      <c r="F52" s="122"/>
      <c r="G52" s="122"/>
      <c r="H52" s="122"/>
      <c r="I52" s="547"/>
      <c r="J52" s="123"/>
      <c r="K52" s="184"/>
      <c r="L52"/>
      <c r="M52"/>
    </row>
    <row r="53" spans="1:28" ht="30">
      <c r="A53" s="122" t="s">
        <v>368</v>
      </c>
      <c r="B53" s="536" t="s">
        <v>359</v>
      </c>
      <c r="C53" s="541" t="s">
        <v>360</v>
      </c>
      <c r="D53" s="46" t="s">
        <v>380</v>
      </c>
      <c r="E53" s="535" t="s">
        <v>361</v>
      </c>
      <c r="F53" s="654" t="s">
        <v>402</v>
      </c>
      <c r="G53" s="653" t="s">
        <v>363</v>
      </c>
      <c r="H53" s="534" t="s">
        <v>365</v>
      </c>
      <c r="I53" s="543" t="s">
        <v>366</v>
      </c>
      <c r="K53" s="184"/>
      <c r="L53"/>
      <c r="M53"/>
    </row>
    <row r="54" spans="1:28">
      <c r="A54" s="536" t="s">
        <v>352</v>
      </c>
      <c r="B54" s="536">
        <v>1</v>
      </c>
      <c r="C54" s="542">
        <v>0.6</v>
      </c>
      <c r="D54" s="537">
        <f>$C$52*C54</f>
        <v>17172</v>
      </c>
      <c r="E54" s="538">
        <f>ROUNDDOWN(D54*0.3/12,0)</f>
        <v>429</v>
      </c>
      <c r="F54" s="649">
        <f>F62</f>
        <v>-55</v>
      </c>
      <c r="G54" s="650">
        <v>215</v>
      </c>
      <c r="H54" s="704"/>
      <c r="I54" s="545">
        <f>G54*H54*12</f>
        <v>0</v>
      </c>
      <c r="K54" s="184"/>
      <c r="L54"/>
      <c r="M54"/>
    </row>
    <row r="55" spans="1:28">
      <c r="A55" s="536" t="s">
        <v>354</v>
      </c>
      <c r="B55" s="536">
        <v>1.5</v>
      </c>
      <c r="C55" s="542">
        <v>0.75</v>
      </c>
      <c r="D55" s="537">
        <f>$C$52*C55</f>
        <v>21465</v>
      </c>
      <c r="E55" s="538">
        <f>ROUND(D55*0.3/12,0)</f>
        <v>537</v>
      </c>
      <c r="F55" s="649">
        <f>F63</f>
        <v>-57</v>
      </c>
      <c r="G55" s="650">
        <v>283</v>
      </c>
      <c r="H55" s="704"/>
      <c r="I55" s="545">
        <f>G55*H55*12</f>
        <v>0</v>
      </c>
      <c r="K55" s="184"/>
      <c r="L55"/>
      <c r="M55"/>
    </row>
    <row r="56" spans="1:28">
      <c r="A56" s="536" t="s">
        <v>356</v>
      </c>
      <c r="B56" s="536">
        <v>3</v>
      </c>
      <c r="C56" s="542">
        <v>0.9</v>
      </c>
      <c r="D56" s="537">
        <f>$C$52*C56</f>
        <v>25758</v>
      </c>
      <c r="E56" s="538">
        <f>ROUNDDOWN(D56*0.3/12,0)</f>
        <v>643</v>
      </c>
      <c r="F56" s="649">
        <f>F64</f>
        <v>-58</v>
      </c>
      <c r="G56" s="650">
        <v>425</v>
      </c>
      <c r="H56" s="704"/>
      <c r="I56" s="545">
        <f>G56*H56*12</f>
        <v>0</v>
      </c>
      <c r="K56" s="184"/>
      <c r="L56"/>
      <c r="M56"/>
    </row>
    <row r="57" spans="1:28">
      <c r="A57" s="536" t="s">
        <v>358</v>
      </c>
      <c r="B57" s="536">
        <v>4.5</v>
      </c>
      <c r="C57" s="542">
        <v>1.04</v>
      </c>
      <c r="D57" s="537">
        <f>$C$52*C57</f>
        <v>29764.799999999999</v>
      </c>
      <c r="E57" s="538">
        <f>ROUNDDOWN(D57*0.3/12,0)</f>
        <v>744</v>
      </c>
      <c r="F57" s="649">
        <f>F65</f>
        <v>-75</v>
      </c>
      <c r="G57" s="650">
        <v>512</v>
      </c>
      <c r="H57" s="704"/>
      <c r="I57" s="545">
        <f>G57*H57*12</f>
        <v>0</v>
      </c>
      <c r="K57" s="184"/>
      <c r="L57"/>
      <c r="M57"/>
    </row>
    <row r="58" spans="1:28">
      <c r="A58" s="46"/>
      <c r="B58" s="122"/>
      <c r="C58" s="122"/>
      <c r="D58" s="122"/>
      <c r="E58" s="46"/>
      <c r="F58" s="651"/>
      <c r="G58" s="651"/>
      <c r="H58" s="122">
        <f>SUM(H54:H57)</f>
        <v>0</v>
      </c>
      <c r="I58" s="545">
        <f>SUM(I54:I57)</f>
        <v>0</v>
      </c>
      <c r="J58" s="123"/>
      <c r="K58" s="184"/>
      <c r="L58"/>
      <c r="M58"/>
    </row>
    <row r="59" spans="1:28">
      <c r="B59" s="514"/>
      <c r="C59" s="514"/>
      <c r="D59" s="514"/>
      <c r="E59" s="79"/>
      <c r="F59" s="652"/>
      <c r="G59" s="652"/>
      <c r="H59" s="514"/>
      <c r="I59" s="546"/>
      <c r="J59" s="123"/>
      <c r="K59" s="184"/>
      <c r="L59"/>
      <c r="M59"/>
    </row>
    <row r="60" spans="1:28" ht="15.75">
      <c r="A60" s="515">
        <v>0.27</v>
      </c>
      <c r="B60" s="539" t="s">
        <v>367</v>
      </c>
      <c r="C60" s="540">
        <f>$B$45*A60</f>
        <v>25758</v>
      </c>
      <c r="D60" s="675"/>
      <c r="E60" s="46"/>
      <c r="F60" s="651"/>
      <c r="G60" s="651"/>
      <c r="H60" s="122"/>
      <c r="I60" s="547"/>
      <c r="J60" s="123"/>
      <c r="K60" s="184"/>
      <c r="L60"/>
      <c r="M60"/>
    </row>
    <row r="61" spans="1:28" ht="30">
      <c r="A61" s="122" t="s">
        <v>368</v>
      </c>
      <c r="B61" s="536" t="s">
        <v>359</v>
      </c>
      <c r="C61" s="541" t="s">
        <v>360</v>
      </c>
      <c r="D61" s="46" t="s">
        <v>380</v>
      </c>
      <c r="E61" s="535" t="s">
        <v>361</v>
      </c>
      <c r="F61" s="654" t="s">
        <v>402</v>
      </c>
      <c r="G61" s="653" t="s">
        <v>363</v>
      </c>
      <c r="H61" s="534" t="s">
        <v>365</v>
      </c>
      <c r="I61" s="543" t="s">
        <v>366</v>
      </c>
      <c r="K61" s="184"/>
      <c r="L61"/>
      <c r="M61"/>
    </row>
    <row r="62" spans="1:28">
      <c r="A62" s="536" t="s">
        <v>352</v>
      </c>
      <c r="B62" s="536">
        <v>1</v>
      </c>
      <c r="C62" s="542">
        <v>0.6</v>
      </c>
      <c r="D62" s="537">
        <f>$C$60*C62</f>
        <v>15454.8</v>
      </c>
      <c r="E62" s="538">
        <f>ROUNDDOWN(D62*0.3/12,0)</f>
        <v>386</v>
      </c>
      <c r="F62" s="649">
        <f>IF($B$48="No Utilities",0,IF($B$48="Electricity &amp; Gas Allowance",G45+I45,INDEX($F$44:$I$48,MATCH(A62,$F$44:$F$48,0),MATCH($B$48,$F$44:$I$44,0))))*-1</f>
        <v>-55</v>
      </c>
      <c r="G62" s="650">
        <f>E62+F62</f>
        <v>331</v>
      </c>
      <c r="H62" s="704"/>
      <c r="I62" s="545">
        <f>G62*H62*12</f>
        <v>0</v>
      </c>
      <c r="K62" s="184"/>
      <c r="L62"/>
      <c r="M62"/>
    </row>
    <row r="63" spans="1:28">
      <c r="A63" s="536" t="s">
        <v>354</v>
      </c>
      <c r="B63" s="536">
        <v>1.5</v>
      </c>
      <c r="C63" s="542">
        <v>0.75</v>
      </c>
      <c r="D63" s="537">
        <f>$C$60*C63</f>
        <v>19318.5</v>
      </c>
      <c r="E63" s="538">
        <f>ROUND(D63*0.3/12,0)</f>
        <v>483</v>
      </c>
      <c r="F63" s="649">
        <f>IF($B$48="No Utilities",0,IF($B$48="Electricity &amp; Gas Allowance",G46+I46,INDEX($F$44:$I$48,MATCH(A63,$F$44:$F$48,0),MATCH($B$48,$F$44:$I$44,0))))*-1</f>
        <v>-57</v>
      </c>
      <c r="G63" s="650">
        <f>E63+F63</f>
        <v>426</v>
      </c>
      <c r="H63" s="704"/>
      <c r="I63" s="545">
        <f>G63*H63*12</f>
        <v>0</v>
      </c>
      <c r="K63" s="184"/>
      <c r="L63"/>
      <c r="M63"/>
    </row>
    <row r="64" spans="1:28">
      <c r="A64" s="536" t="s">
        <v>356</v>
      </c>
      <c r="B64" s="536">
        <v>3</v>
      </c>
      <c r="C64" s="542">
        <v>0.9</v>
      </c>
      <c r="D64" s="537">
        <f>$C$60*C64</f>
        <v>23182.2</v>
      </c>
      <c r="E64" s="538">
        <f>ROUNDDOWN(D64*0.3/12,0)</f>
        <v>579</v>
      </c>
      <c r="F64" s="649">
        <f>IF($B$48="No Utilities",0,IF($B$48="Electricity &amp; Gas Allowance",G47+I47,INDEX($F$44:$I$48,MATCH(A64,$F$44:$F$48,0),MATCH($B$48,$F$44:$I$44,0))))*-1</f>
        <v>-58</v>
      </c>
      <c r="G64" s="650">
        <f>E64+F64</f>
        <v>521</v>
      </c>
      <c r="H64" s="704"/>
      <c r="I64" s="545">
        <f>G64*H64*12</f>
        <v>0</v>
      </c>
      <c r="K64" s="184"/>
      <c r="L64"/>
      <c r="M64"/>
    </row>
    <row r="65" spans="1:13">
      <c r="A65" s="536" t="s">
        <v>358</v>
      </c>
      <c r="B65" s="536">
        <v>4.5</v>
      </c>
      <c r="C65" s="542">
        <v>1.04</v>
      </c>
      <c r="D65" s="537">
        <f>$C$60*C65</f>
        <v>26788.32</v>
      </c>
      <c r="E65" s="538">
        <f>ROUNDDOWN(D65*0.3/12,0)</f>
        <v>669</v>
      </c>
      <c r="F65" s="649">
        <f>IF($B$48="No Utilities",0,IF($B$48="Electricity &amp; Gas Allowance",G48+I48,INDEX($F$44:$I$48,MATCH(A65,$F$44:$F$48,0),MATCH($B$48,$F$44:$I$44,0))))*-1</f>
        <v>-75</v>
      </c>
      <c r="G65" s="650">
        <f>E65+F65</f>
        <v>594</v>
      </c>
      <c r="H65" s="704"/>
      <c r="I65" s="545">
        <f>G65*H65*12</f>
        <v>0</v>
      </c>
      <c r="K65" s="184"/>
      <c r="L65"/>
      <c r="M65"/>
    </row>
    <row r="66" spans="1:13">
      <c r="A66" s="46"/>
      <c r="B66" s="122"/>
      <c r="C66" s="122"/>
      <c r="D66" s="122"/>
      <c r="E66" s="46"/>
      <c r="F66" s="651"/>
      <c r="G66" s="651"/>
      <c r="H66" s="122">
        <f>SUM(H62:H65)</f>
        <v>0</v>
      </c>
      <c r="I66" s="545">
        <f>SUM(I62:I65)</f>
        <v>0</v>
      </c>
      <c r="J66" s="123"/>
      <c r="K66" s="184"/>
      <c r="L66"/>
      <c r="M66"/>
    </row>
    <row r="67" spans="1:13">
      <c r="B67" s="514"/>
      <c r="C67" s="514"/>
      <c r="D67" s="514"/>
      <c r="E67" s="79"/>
      <c r="F67" s="652"/>
      <c r="G67" s="652"/>
      <c r="H67" s="514"/>
      <c r="I67" s="546"/>
      <c r="J67" s="123"/>
      <c r="K67" s="184"/>
      <c r="L67"/>
      <c r="M67"/>
    </row>
    <row r="68" spans="1:13" ht="15.75">
      <c r="A68" s="515">
        <v>0.37</v>
      </c>
      <c r="B68" s="539" t="s">
        <v>367</v>
      </c>
      <c r="C68" s="540">
        <f>$B$45*A68</f>
        <v>35298</v>
      </c>
      <c r="D68" s="675"/>
      <c r="E68" s="46"/>
      <c r="F68" s="651"/>
      <c r="G68" s="651"/>
      <c r="H68" s="122"/>
      <c r="I68" s="547"/>
      <c r="J68" s="123"/>
      <c r="K68" s="184"/>
      <c r="L68"/>
      <c r="M68"/>
    </row>
    <row r="69" spans="1:13" ht="30">
      <c r="A69" s="122" t="s">
        <v>368</v>
      </c>
      <c r="B69" s="536" t="s">
        <v>359</v>
      </c>
      <c r="C69" s="541" t="s">
        <v>360</v>
      </c>
      <c r="D69" s="46" t="s">
        <v>380</v>
      </c>
      <c r="E69" s="535" t="s">
        <v>361</v>
      </c>
      <c r="F69" s="653" t="s">
        <v>362</v>
      </c>
      <c r="G69" s="653" t="s">
        <v>363</v>
      </c>
      <c r="H69" s="534" t="s">
        <v>365</v>
      </c>
      <c r="I69" s="543" t="s">
        <v>366</v>
      </c>
      <c r="K69" s="184"/>
      <c r="L69"/>
      <c r="M69"/>
    </row>
    <row r="70" spans="1:13">
      <c r="A70" s="536" t="s">
        <v>352</v>
      </c>
      <c r="B70" s="536">
        <v>1</v>
      </c>
      <c r="C70" s="542">
        <v>0.6</v>
      </c>
      <c r="D70" s="537">
        <f>$C$68*C70</f>
        <v>21178.799999999999</v>
      </c>
      <c r="E70" s="538">
        <f>ROUNDDOWN(D70*0.3/12,0)+1</f>
        <v>530</v>
      </c>
      <c r="F70" s="649">
        <f>F62</f>
        <v>-55</v>
      </c>
      <c r="G70" s="650">
        <f>E70+F70</f>
        <v>475</v>
      </c>
      <c r="H70" s="704"/>
      <c r="I70" s="545">
        <f>G70*H70*12</f>
        <v>0</v>
      </c>
      <c r="K70" s="184"/>
      <c r="L70"/>
      <c r="M70"/>
    </row>
    <row r="71" spans="1:13">
      <c r="A71" s="536" t="s">
        <v>354</v>
      </c>
      <c r="B71" s="536">
        <v>1.5</v>
      </c>
      <c r="C71" s="542">
        <v>0.75</v>
      </c>
      <c r="D71" s="537">
        <f>$C$68*C71</f>
        <v>26473.5</v>
      </c>
      <c r="E71" s="538">
        <f>ROUNDDOWN(D71*0.3/12,0)+1</f>
        <v>662</v>
      </c>
      <c r="F71" s="649">
        <f>F63</f>
        <v>-57</v>
      </c>
      <c r="G71" s="650">
        <f>E71+F71</f>
        <v>605</v>
      </c>
      <c r="H71" s="704"/>
      <c r="I71" s="545">
        <f>G71*H71*12</f>
        <v>0</v>
      </c>
      <c r="K71" s="184"/>
      <c r="L71"/>
      <c r="M71"/>
    </row>
    <row r="72" spans="1:13">
      <c r="A72" s="536" t="s">
        <v>356</v>
      </c>
      <c r="B72" s="536">
        <v>3</v>
      </c>
      <c r="C72" s="542">
        <v>0.9</v>
      </c>
      <c r="D72" s="537">
        <f>$C$68*C72</f>
        <v>31768.2</v>
      </c>
      <c r="E72" s="538">
        <f>ROUNDDOWN(D72*0.3/12,0)</f>
        <v>794</v>
      </c>
      <c r="F72" s="649">
        <f>F64</f>
        <v>-58</v>
      </c>
      <c r="G72" s="650">
        <f>E72+F72</f>
        <v>736</v>
      </c>
      <c r="H72" s="704"/>
      <c r="I72" s="545">
        <f>G72*H72*12</f>
        <v>0</v>
      </c>
      <c r="K72" s="184"/>
      <c r="L72"/>
      <c r="M72"/>
    </row>
    <row r="73" spans="1:13">
      <c r="A73" s="536" t="s">
        <v>358</v>
      </c>
      <c r="B73" s="536">
        <v>4.5</v>
      </c>
      <c r="C73" s="542">
        <v>1.04</v>
      </c>
      <c r="D73" s="537">
        <f>$C$68*C73</f>
        <v>36709.919999999998</v>
      </c>
      <c r="E73" s="538">
        <f>ROUNDDOWN(D73*0.3/12,0)+1</f>
        <v>918</v>
      </c>
      <c r="F73" s="649">
        <f>F65</f>
        <v>-75</v>
      </c>
      <c r="G73" s="650">
        <f>E73+F73</f>
        <v>843</v>
      </c>
      <c r="H73" s="704"/>
      <c r="I73" s="545">
        <f>G73*H73*12</f>
        <v>0</v>
      </c>
      <c r="K73" s="184"/>
      <c r="L73"/>
      <c r="M73"/>
    </row>
    <row r="74" spans="1:13">
      <c r="A74" s="46"/>
      <c r="B74" s="122"/>
      <c r="C74" s="122"/>
      <c r="D74" s="122"/>
      <c r="E74" s="46"/>
      <c r="F74" s="651"/>
      <c r="G74" s="651"/>
      <c r="H74" s="122">
        <f>SUM(H70:H73)</f>
        <v>0</v>
      </c>
      <c r="I74" s="545">
        <f>SUM(I70:I73)</f>
        <v>0</v>
      </c>
      <c r="J74" s="123"/>
      <c r="K74" s="184"/>
      <c r="L74"/>
      <c r="M74"/>
    </row>
    <row r="75" spans="1:13">
      <c r="B75" s="514"/>
      <c r="C75" s="514"/>
      <c r="D75" s="514"/>
      <c r="E75" s="79"/>
      <c r="F75" s="652"/>
      <c r="G75" s="652"/>
      <c r="H75" s="514"/>
      <c r="I75" s="546"/>
      <c r="J75" s="123"/>
      <c r="K75" s="184"/>
      <c r="L75"/>
      <c r="M75"/>
    </row>
    <row r="76" spans="1:13" ht="15.75">
      <c r="A76" s="515">
        <v>0.47</v>
      </c>
      <c r="B76" s="539" t="s">
        <v>367</v>
      </c>
      <c r="C76" s="540">
        <f>$B$45*A76</f>
        <v>44838</v>
      </c>
      <c r="D76" s="122"/>
      <c r="E76" s="46"/>
      <c r="F76" s="651"/>
      <c r="G76" s="651"/>
      <c r="H76" s="122"/>
      <c r="I76" s="547"/>
      <c r="J76" s="123"/>
      <c r="K76" s="184"/>
      <c r="L76"/>
      <c r="M76"/>
    </row>
    <row r="77" spans="1:13" ht="30">
      <c r="A77" s="122" t="s">
        <v>368</v>
      </c>
      <c r="B77" s="536" t="s">
        <v>359</v>
      </c>
      <c r="C77" s="541" t="s">
        <v>360</v>
      </c>
      <c r="D77" s="46" t="s">
        <v>380</v>
      </c>
      <c r="E77" s="535" t="s">
        <v>361</v>
      </c>
      <c r="F77" s="654" t="s">
        <v>362</v>
      </c>
      <c r="G77" s="653" t="s">
        <v>363</v>
      </c>
      <c r="H77" s="534" t="s">
        <v>365</v>
      </c>
      <c r="I77" s="543" t="s">
        <v>366</v>
      </c>
      <c r="K77" s="184"/>
      <c r="L77"/>
      <c r="M77"/>
    </row>
    <row r="78" spans="1:13">
      <c r="A78" s="536" t="s">
        <v>352</v>
      </c>
      <c r="B78" s="536">
        <v>1</v>
      </c>
      <c r="C78" s="542">
        <v>0.6</v>
      </c>
      <c r="D78" s="537">
        <f>$C$76*C78</f>
        <v>26902.799999999999</v>
      </c>
      <c r="E78" s="538">
        <f>ROUNDDOWN(D78*0.3/12,0)+1</f>
        <v>673</v>
      </c>
      <c r="F78" s="649">
        <f>F62</f>
        <v>-55</v>
      </c>
      <c r="G78" s="650">
        <f>E78+F78</f>
        <v>618</v>
      </c>
      <c r="H78" s="704"/>
      <c r="I78" s="545">
        <f>G78*H78*12</f>
        <v>0</v>
      </c>
      <c r="K78" s="184"/>
      <c r="L78"/>
      <c r="M78"/>
    </row>
    <row r="79" spans="1:13">
      <c r="A79" s="536" t="s">
        <v>354</v>
      </c>
      <c r="B79" s="536">
        <v>1.5</v>
      </c>
      <c r="C79" s="542">
        <v>0.75</v>
      </c>
      <c r="D79" s="537">
        <f>$C$76*C79</f>
        <v>33628.5</v>
      </c>
      <c r="E79" s="538">
        <f>ROUNDDOWN(D79*0.3/12,0)+1</f>
        <v>841</v>
      </c>
      <c r="F79" s="649">
        <f>F63</f>
        <v>-57</v>
      </c>
      <c r="G79" s="650">
        <f>E79+F79</f>
        <v>784</v>
      </c>
      <c r="H79" s="704"/>
      <c r="I79" s="545">
        <f>G79*H79*12</f>
        <v>0</v>
      </c>
      <c r="K79" s="184"/>
      <c r="L79"/>
      <c r="M79"/>
    </row>
    <row r="80" spans="1:13">
      <c r="A80" s="536" t="s">
        <v>356</v>
      </c>
      <c r="B80" s="536">
        <v>3</v>
      </c>
      <c r="C80" s="542">
        <v>0.9</v>
      </c>
      <c r="D80" s="537">
        <f>$C$76*C80</f>
        <v>40354.200000000004</v>
      </c>
      <c r="E80" s="538">
        <f>ROUNDDOWN(D80*0.3/12,0)+1</f>
        <v>1009</v>
      </c>
      <c r="F80" s="649">
        <f>F64</f>
        <v>-58</v>
      </c>
      <c r="G80" s="650">
        <f>E80+F80</f>
        <v>951</v>
      </c>
      <c r="H80" s="704"/>
      <c r="I80" s="545">
        <f>G80*H80*12</f>
        <v>0</v>
      </c>
      <c r="K80" s="184"/>
      <c r="L80"/>
      <c r="M80"/>
    </row>
    <row r="81" spans="1:13">
      <c r="A81" s="536" t="s">
        <v>358</v>
      </c>
      <c r="B81" s="536">
        <v>4.5</v>
      </c>
      <c r="C81" s="542">
        <v>1.04</v>
      </c>
      <c r="D81" s="537">
        <f>$C$76*C81</f>
        <v>46631.520000000004</v>
      </c>
      <c r="E81" s="538">
        <f>ROUNDDOWN(D81*0.3/12,0)+1</f>
        <v>1166</v>
      </c>
      <c r="F81" s="649">
        <f>F65</f>
        <v>-75</v>
      </c>
      <c r="G81" s="650">
        <f>E81+F81</f>
        <v>1091</v>
      </c>
      <c r="H81" s="704"/>
      <c r="I81" s="545">
        <f>G81*H81*12</f>
        <v>0</v>
      </c>
      <c r="K81" s="184"/>
      <c r="L81"/>
      <c r="M81"/>
    </row>
    <row r="82" spans="1:13">
      <c r="A82" s="46"/>
      <c r="B82" s="122"/>
      <c r="C82" s="122"/>
      <c r="D82" s="122"/>
      <c r="E82" s="46"/>
      <c r="F82" s="651"/>
      <c r="G82" s="651"/>
      <c r="H82" s="125">
        <f>SUM(H78:H81)</f>
        <v>0</v>
      </c>
      <c r="I82" s="545">
        <f>SUM(I78:I81)</f>
        <v>0</v>
      </c>
      <c r="J82" s="123"/>
      <c r="K82" s="184"/>
      <c r="L82"/>
      <c r="M82"/>
    </row>
    <row r="83" spans="1:13">
      <c r="B83" s="514"/>
      <c r="C83" s="514"/>
      <c r="D83" s="514"/>
      <c r="E83" s="79"/>
      <c r="F83" s="652"/>
      <c r="G83" s="652"/>
      <c r="H83" s="514"/>
      <c r="I83" s="546"/>
      <c r="J83" s="123"/>
      <c r="K83" s="184"/>
      <c r="L83"/>
      <c r="M83"/>
    </row>
    <row r="84" spans="1:13" ht="15.75">
      <c r="A84" s="515">
        <v>0.56999999999999995</v>
      </c>
      <c r="B84" s="539" t="s">
        <v>367</v>
      </c>
      <c r="C84" s="540">
        <f>$B$45*A84</f>
        <v>54377.999999999993</v>
      </c>
      <c r="D84" s="122"/>
      <c r="E84" s="46"/>
      <c r="F84" s="651"/>
      <c r="G84" s="651"/>
      <c r="H84" s="122"/>
      <c r="I84" s="547"/>
      <c r="J84" s="123"/>
      <c r="K84" s="184"/>
      <c r="L84"/>
      <c r="M84"/>
    </row>
    <row r="85" spans="1:13" ht="30">
      <c r="A85" s="122" t="s">
        <v>368</v>
      </c>
      <c r="B85" s="536" t="s">
        <v>359</v>
      </c>
      <c r="C85" s="541" t="s">
        <v>360</v>
      </c>
      <c r="D85" s="46" t="s">
        <v>380</v>
      </c>
      <c r="E85" s="535" t="s">
        <v>361</v>
      </c>
      <c r="F85" s="654" t="s">
        <v>362</v>
      </c>
      <c r="G85" s="653" t="s">
        <v>363</v>
      </c>
      <c r="H85" s="534" t="s">
        <v>365</v>
      </c>
      <c r="I85" s="543" t="s">
        <v>366</v>
      </c>
      <c r="K85" s="184"/>
      <c r="L85"/>
      <c r="M85"/>
    </row>
    <row r="86" spans="1:13">
      <c r="A86" s="536" t="s">
        <v>352</v>
      </c>
      <c r="B86" s="536">
        <v>1</v>
      </c>
      <c r="C86" s="542">
        <v>0.6</v>
      </c>
      <c r="D86" s="537">
        <f>$C$84*C86</f>
        <v>32626.799999999996</v>
      </c>
      <c r="E86" s="538">
        <f>ROUNDDOWN(D86*0.3/12,0)+1</f>
        <v>816</v>
      </c>
      <c r="F86" s="649">
        <f>F62</f>
        <v>-55</v>
      </c>
      <c r="G86" s="650">
        <f>E86+F86</f>
        <v>761</v>
      </c>
      <c r="H86" s="704"/>
      <c r="I86" s="545">
        <f>G86*H86*12</f>
        <v>0</v>
      </c>
      <c r="K86" s="184"/>
      <c r="L86"/>
      <c r="M86"/>
    </row>
    <row r="87" spans="1:13">
      <c r="A87" s="536" t="s">
        <v>354</v>
      </c>
      <c r="B87" s="536">
        <v>1.5</v>
      </c>
      <c r="C87" s="542">
        <v>0.75</v>
      </c>
      <c r="D87" s="537">
        <f>$C$84*C87</f>
        <v>40783.499999999993</v>
      </c>
      <c r="E87" s="538">
        <f>ROUNDDOWN(D87*0.3/12,0)+1</f>
        <v>1020</v>
      </c>
      <c r="F87" s="649">
        <f>F63</f>
        <v>-57</v>
      </c>
      <c r="G87" s="650">
        <f>E87+F87</f>
        <v>963</v>
      </c>
      <c r="H87" s="704"/>
      <c r="I87" s="545">
        <f>G87*H87*12</f>
        <v>0</v>
      </c>
      <c r="K87" s="184"/>
      <c r="L87"/>
      <c r="M87"/>
    </row>
    <row r="88" spans="1:13">
      <c r="A88" s="536" t="s">
        <v>356</v>
      </c>
      <c r="B88" s="536">
        <v>3</v>
      </c>
      <c r="C88" s="542">
        <v>0.9</v>
      </c>
      <c r="D88" s="537">
        <f>$C$84*C88</f>
        <v>48940.2</v>
      </c>
      <c r="E88" s="538">
        <f>ROUNDDOWN(D88*0.3/12,0)+1</f>
        <v>1224</v>
      </c>
      <c r="F88" s="649">
        <f>F64</f>
        <v>-58</v>
      </c>
      <c r="G88" s="650">
        <f>E88+F88</f>
        <v>1166</v>
      </c>
      <c r="H88" s="704"/>
      <c r="I88" s="545">
        <f>G88*H88*12</f>
        <v>0</v>
      </c>
      <c r="K88" s="184"/>
      <c r="L88"/>
      <c r="M88"/>
    </row>
    <row r="89" spans="1:13">
      <c r="A89" s="536" t="s">
        <v>358</v>
      </c>
      <c r="B89" s="536">
        <v>4.5</v>
      </c>
      <c r="C89" s="542">
        <v>1.04</v>
      </c>
      <c r="D89" s="537">
        <f>$C$84*C89</f>
        <v>56553.119999999995</v>
      </c>
      <c r="E89" s="538">
        <f>ROUNDDOWN(D89*0.3/12,0)+1</f>
        <v>1414</v>
      </c>
      <c r="F89" s="649">
        <f>F65</f>
        <v>-75</v>
      </c>
      <c r="G89" s="650">
        <f>E89+F89</f>
        <v>1339</v>
      </c>
      <c r="H89" s="704"/>
      <c r="I89" s="545">
        <f>G89*H89*12</f>
        <v>0</v>
      </c>
      <c r="K89" s="184"/>
      <c r="L89"/>
      <c r="M89"/>
    </row>
    <row r="90" spans="1:13">
      <c r="A90" s="46"/>
      <c r="B90" s="122"/>
      <c r="C90" s="122"/>
      <c r="D90" s="122"/>
      <c r="E90" s="46"/>
      <c r="F90" s="651"/>
      <c r="G90" s="651"/>
      <c r="H90" s="125">
        <f>SUM(H86:H89)</f>
        <v>0</v>
      </c>
      <c r="I90" s="545">
        <f>SUM(I86:I89)</f>
        <v>0</v>
      </c>
      <c r="J90" s="123"/>
      <c r="K90" s="184"/>
      <c r="L90"/>
      <c r="M90"/>
    </row>
    <row r="91" spans="1:13">
      <c r="B91" s="514"/>
      <c r="C91" s="514"/>
      <c r="D91" s="514"/>
      <c r="E91" s="79"/>
      <c r="F91" s="652"/>
      <c r="G91" s="652"/>
      <c r="H91" s="514"/>
      <c r="I91" s="546"/>
      <c r="J91" s="123"/>
      <c r="K91" s="184"/>
      <c r="L91"/>
      <c r="M91"/>
    </row>
    <row r="92" spans="1:13" ht="15.75">
      <c r="A92" s="515">
        <v>0.8</v>
      </c>
      <c r="B92" s="539" t="s">
        <v>367</v>
      </c>
      <c r="C92" s="540">
        <f>$B$45*A92</f>
        <v>76320</v>
      </c>
      <c r="D92" s="122"/>
      <c r="E92" s="46"/>
      <c r="F92" s="651"/>
      <c r="G92" s="651"/>
      <c r="H92" s="122"/>
      <c r="I92" s="547"/>
      <c r="J92" s="123"/>
      <c r="K92" s="184"/>
      <c r="L92"/>
      <c r="M92"/>
    </row>
    <row r="93" spans="1:13" ht="30">
      <c r="A93" s="122" t="s">
        <v>368</v>
      </c>
      <c r="B93" s="536" t="s">
        <v>359</v>
      </c>
      <c r="C93" s="541" t="s">
        <v>360</v>
      </c>
      <c r="D93" s="46" t="s">
        <v>380</v>
      </c>
      <c r="E93" s="535" t="s">
        <v>361</v>
      </c>
      <c r="F93" s="654" t="s">
        <v>362</v>
      </c>
      <c r="G93" s="653" t="s">
        <v>363</v>
      </c>
      <c r="H93" s="534" t="s">
        <v>365</v>
      </c>
      <c r="I93" s="543" t="s">
        <v>366</v>
      </c>
      <c r="K93" s="184"/>
      <c r="L93"/>
      <c r="M93"/>
    </row>
    <row r="94" spans="1:13">
      <c r="A94" s="536" t="s">
        <v>352</v>
      </c>
      <c r="B94" s="536">
        <v>1</v>
      </c>
      <c r="C94" s="542">
        <v>0.6</v>
      </c>
      <c r="D94" s="537">
        <f>$C$92*C94</f>
        <v>45792</v>
      </c>
      <c r="E94" s="538">
        <f>ROUND(D94*0.3/12,0)+1</f>
        <v>1146</v>
      </c>
      <c r="F94" s="649">
        <f>F62</f>
        <v>-55</v>
      </c>
      <c r="G94" s="650">
        <f>E94+F94</f>
        <v>1091</v>
      </c>
      <c r="H94" s="704"/>
      <c r="I94" s="545">
        <f>G94*H94*12</f>
        <v>0</v>
      </c>
      <c r="K94" s="184"/>
      <c r="L94"/>
      <c r="M94"/>
    </row>
    <row r="95" spans="1:13">
      <c r="A95" s="536" t="s">
        <v>354</v>
      </c>
      <c r="B95" s="536">
        <v>1.5</v>
      </c>
      <c r="C95" s="542">
        <v>0.75</v>
      </c>
      <c r="D95" s="537">
        <f>$C$92*C95</f>
        <v>57240</v>
      </c>
      <c r="E95" s="538">
        <f>ROUND(D95*0.3/12,0)+1</f>
        <v>1432</v>
      </c>
      <c r="F95" s="649">
        <f>F63</f>
        <v>-57</v>
      </c>
      <c r="G95" s="650">
        <f>E95+F95</f>
        <v>1375</v>
      </c>
      <c r="H95" s="704"/>
      <c r="I95" s="545">
        <f>G95*H95*12</f>
        <v>0</v>
      </c>
      <c r="K95" s="184"/>
      <c r="L95"/>
      <c r="M95"/>
    </row>
    <row r="96" spans="1:13">
      <c r="A96" s="536" t="s">
        <v>356</v>
      </c>
      <c r="B96" s="536">
        <v>3</v>
      </c>
      <c r="C96" s="542">
        <v>0.9</v>
      </c>
      <c r="D96" s="537">
        <f>$C$92*C96</f>
        <v>68688</v>
      </c>
      <c r="E96" s="538">
        <f>ROUND(D96*0.3/12,0)+1</f>
        <v>1718</v>
      </c>
      <c r="F96" s="649">
        <f>F64</f>
        <v>-58</v>
      </c>
      <c r="G96" s="650">
        <f>E96+F96</f>
        <v>1660</v>
      </c>
      <c r="H96" s="704"/>
      <c r="I96" s="545">
        <f>G96*H96*12</f>
        <v>0</v>
      </c>
      <c r="K96" s="184"/>
      <c r="L96"/>
      <c r="M96"/>
    </row>
    <row r="97" spans="1:13">
      <c r="A97" s="536" t="s">
        <v>358</v>
      </c>
      <c r="B97" s="536">
        <v>4.5</v>
      </c>
      <c r="C97" s="542">
        <v>1.04</v>
      </c>
      <c r="D97" s="537">
        <f>$C$92*C97</f>
        <v>79372.800000000003</v>
      </c>
      <c r="E97" s="538">
        <f>ROUND(D97*0.3/12,0)+1</f>
        <v>1985</v>
      </c>
      <c r="F97" s="649">
        <f>F65</f>
        <v>-75</v>
      </c>
      <c r="G97" s="650">
        <f>E97+F97</f>
        <v>1910</v>
      </c>
      <c r="H97" s="704"/>
      <c r="I97" s="545">
        <f>G97*H97*12</f>
        <v>0</v>
      </c>
      <c r="K97" s="184"/>
      <c r="L97"/>
      <c r="M97"/>
    </row>
    <row r="98" spans="1:13">
      <c r="A98" s="46"/>
      <c r="B98" s="122"/>
      <c r="C98" s="122"/>
      <c r="D98" s="122"/>
      <c r="E98" s="46"/>
      <c r="F98" s="651"/>
      <c r="G98" s="651"/>
      <c r="H98" s="125">
        <f>SUM(H94:H97)</f>
        <v>0</v>
      </c>
      <c r="I98" s="545">
        <f>SUM(I94:I97)</f>
        <v>0</v>
      </c>
      <c r="J98" s="123"/>
      <c r="K98" s="184"/>
      <c r="L98"/>
      <c r="M98"/>
    </row>
    <row r="99" spans="1:13">
      <c r="B99" s="514"/>
      <c r="C99" s="514"/>
      <c r="D99" s="514"/>
      <c r="E99" s="79"/>
      <c r="F99" s="652"/>
      <c r="G99" s="652"/>
      <c r="H99" s="514"/>
      <c r="I99" s="546"/>
      <c r="J99" s="123"/>
      <c r="K99" s="184"/>
      <c r="L99"/>
      <c r="M99"/>
    </row>
    <row r="100" spans="1:13" ht="15.75">
      <c r="A100" s="515">
        <v>1</v>
      </c>
      <c r="B100" s="539" t="s">
        <v>367</v>
      </c>
      <c r="C100" s="540">
        <f>$B$45*A100</f>
        <v>95400</v>
      </c>
      <c r="D100" s="122"/>
      <c r="E100" s="46"/>
      <c r="F100" s="651"/>
      <c r="G100" s="651"/>
      <c r="H100" s="122"/>
      <c r="I100" s="547"/>
      <c r="J100" s="123"/>
      <c r="K100" s="184"/>
      <c r="L100"/>
      <c r="M100"/>
    </row>
    <row r="101" spans="1:13" ht="30">
      <c r="A101" s="122" t="s">
        <v>368</v>
      </c>
      <c r="B101" s="536" t="s">
        <v>359</v>
      </c>
      <c r="C101" s="541" t="s">
        <v>360</v>
      </c>
      <c r="D101" s="46" t="s">
        <v>380</v>
      </c>
      <c r="E101" s="535" t="s">
        <v>361</v>
      </c>
      <c r="F101" s="654" t="s">
        <v>362</v>
      </c>
      <c r="G101" s="653" t="s">
        <v>363</v>
      </c>
      <c r="H101" s="534" t="s">
        <v>365</v>
      </c>
      <c r="I101" s="543" t="s">
        <v>366</v>
      </c>
      <c r="K101" s="184"/>
      <c r="L101"/>
      <c r="M101"/>
    </row>
    <row r="102" spans="1:13">
      <c r="A102" s="536" t="s">
        <v>352</v>
      </c>
      <c r="B102" s="536">
        <v>1</v>
      </c>
      <c r="C102" s="542">
        <v>0.6</v>
      </c>
      <c r="D102" s="537">
        <f>$C$100*C102</f>
        <v>57240</v>
      </c>
      <c r="E102" s="538">
        <f>ROUND(D102*0.3/12,0)+1</f>
        <v>1432</v>
      </c>
      <c r="F102" s="649">
        <f>F62</f>
        <v>-55</v>
      </c>
      <c r="G102" s="650">
        <f>E102+F102</f>
        <v>1377</v>
      </c>
      <c r="H102" s="704"/>
      <c r="I102" s="545">
        <f>G102*H102*12</f>
        <v>0</v>
      </c>
      <c r="K102" s="184"/>
      <c r="L102"/>
      <c r="M102"/>
    </row>
    <row r="103" spans="1:13">
      <c r="A103" s="536" t="s">
        <v>354</v>
      </c>
      <c r="B103" s="536">
        <v>1.5</v>
      </c>
      <c r="C103" s="542">
        <v>0.75</v>
      </c>
      <c r="D103" s="537">
        <f>$C$100*C103</f>
        <v>71550</v>
      </c>
      <c r="E103" s="538">
        <f>ROUND(D103*0.3/12,0)+1</f>
        <v>1790</v>
      </c>
      <c r="F103" s="649">
        <f>F63</f>
        <v>-57</v>
      </c>
      <c r="G103" s="650">
        <f>E103+F103</f>
        <v>1733</v>
      </c>
      <c r="H103" s="704"/>
      <c r="I103" s="545">
        <f>G103*H103*12</f>
        <v>0</v>
      </c>
      <c r="K103" s="184"/>
      <c r="L103"/>
      <c r="M103"/>
    </row>
    <row r="104" spans="1:13">
      <c r="A104" s="536" t="s">
        <v>356</v>
      </c>
      <c r="B104" s="536">
        <v>3</v>
      </c>
      <c r="C104" s="542">
        <v>0.9</v>
      </c>
      <c r="D104" s="537">
        <f>$C$100*C104</f>
        <v>85860</v>
      </c>
      <c r="E104" s="538">
        <f>ROUND(D104*0.3/12,0)</f>
        <v>2147</v>
      </c>
      <c r="F104" s="649">
        <f>F64</f>
        <v>-58</v>
      </c>
      <c r="G104" s="650">
        <f>E104+F104</f>
        <v>2089</v>
      </c>
      <c r="H104" s="704"/>
      <c r="I104" s="545">
        <f>G104*H104*12</f>
        <v>0</v>
      </c>
      <c r="K104" s="184"/>
      <c r="L104"/>
      <c r="M104"/>
    </row>
    <row r="105" spans="1:13">
      <c r="A105" s="536" t="s">
        <v>358</v>
      </c>
      <c r="B105" s="536">
        <v>4.5</v>
      </c>
      <c r="C105" s="542">
        <v>1.04</v>
      </c>
      <c r="D105" s="537">
        <f>$C$100*C105</f>
        <v>99216</v>
      </c>
      <c r="E105" s="538">
        <f>ROUND(D105*0.3/12,0)+1</f>
        <v>2481</v>
      </c>
      <c r="F105" s="649">
        <f>F65</f>
        <v>-75</v>
      </c>
      <c r="G105" s="650">
        <f>E105+F105</f>
        <v>2406</v>
      </c>
      <c r="H105" s="704"/>
      <c r="I105" s="545">
        <f>G105*H105*12</f>
        <v>0</v>
      </c>
      <c r="K105" s="184"/>
      <c r="L105"/>
      <c r="M105"/>
    </row>
    <row r="106" spans="1:13">
      <c r="A106" s="46"/>
      <c r="B106" s="122"/>
      <c r="C106" s="122"/>
      <c r="D106" s="122"/>
      <c r="E106" s="46"/>
      <c r="F106" s="651"/>
      <c r="G106" s="651"/>
      <c r="H106" s="125">
        <f>SUM(H102:H105)</f>
        <v>0</v>
      </c>
      <c r="I106" s="545">
        <f>SUM(I102:I105)</f>
        <v>0</v>
      </c>
      <c r="J106" s="123"/>
      <c r="K106" s="184"/>
      <c r="L106"/>
      <c r="M106"/>
    </row>
    <row r="107" spans="1:13" ht="15.75">
      <c r="A107" s="587" t="s">
        <v>386</v>
      </c>
      <c r="B107"/>
      <c r="C107"/>
      <c r="D107" s="122"/>
      <c r="E107" s="46"/>
      <c r="F107" s="122"/>
      <c r="G107" s="122"/>
      <c r="H107" s="122"/>
      <c r="I107" s="547"/>
      <c r="K107" s="184"/>
      <c r="L107"/>
      <c r="M107"/>
    </row>
    <row r="108" spans="1:13">
      <c r="A108" s="122" t="s">
        <v>368</v>
      </c>
      <c r="B108" s="536"/>
      <c r="C108" s="541"/>
      <c r="D108" s="46"/>
      <c r="E108" s="535"/>
      <c r="F108" s="534"/>
      <c r="G108" s="534" t="s">
        <v>3</v>
      </c>
      <c r="H108" s="534" t="s">
        <v>365</v>
      </c>
      <c r="I108" s="543" t="s">
        <v>366</v>
      </c>
      <c r="K108" s="184"/>
      <c r="L108"/>
      <c r="M108"/>
    </row>
    <row r="109" spans="1:13">
      <c r="A109" s="536" t="s">
        <v>352</v>
      </c>
      <c r="B109" s="590"/>
      <c r="C109" s="591"/>
      <c r="D109" s="592"/>
      <c r="E109" s="593"/>
      <c r="F109" s="593"/>
      <c r="G109" s="556"/>
      <c r="H109" s="704"/>
      <c r="I109" s="545">
        <f>H109*12*G109</f>
        <v>0</v>
      </c>
      <c r="K109" s="184"/>
      <c r="L109"/>
      <c r="M109"/>
    </row>
    <row r="110" spans="1:13">
      <c r="A110" s="536" t="s">
        <v>354</v>
      </c>
      <c r="B110" s="590"/>
      <c r="C110" s="591"/>
      <c r="D110" s="592"/>
      <c r="E110" s="593"/>
      <c r="F110" s="593"/>
      <c r="G110" s="556"/>
      <c r="H110" s="704"/>
      <c r="I110" s="545">
        <f>H110*12*G110</f>
        <v>0</v>
      </c>
      <c r="K110" s="184"/>
      <c r="L110"/>
      <c r="M110"/>
    </row>
    <row r="111" spans="1:13">
      <c r="A111" s="536" t="s">
        <v>356</v>
      </c>
      <c r="B111" s="590"/>
      <c r="C111" s="591"/>
      <c r="D111" s="592"/>
      <c r="E111" s="593"/>
      <c r="F111" s="593"/>
      <c r="G111" s="556"/>
      <c r="H111" s="704"/>
      <c r="I111" s="545">
        <f>H111*12*G111</f>
        <v>0</v>
      </c>
      <c r="K111" s="184"/>
      <c r="L111"/>
      <c r="M111"/>
    </row>
    <row r="112" spans="1:13">
      <c r="A112" s="536" t="s">
        <v>358</v>
      </c>
      <c r="B112" s="590"/>
      <c r="C112" s="591"/>
      <c r="D112" s="592"/>
      <c r="E112" s="593"/>
      <c r="F112" s="593"/>
      <c r="G112" s="556"/>
      <c r="H112" s="704"/>
      <c r="I112" s="545">
        <f>H112*12*G112</f>
        <v>0</v>
      </c>
      <c r="K112" s="184"/>
      <c r="L112"/>
      <c r="M112"/>
    </row>
    <row r="113" spans="1:20">
      <c r="A113" s="536"/>
      <c r="B113" s="536"/>
      <c r="C113" s="542"/>
      <c r="D113" s="537"/>
      <c r="E113" s="538"/>
      <c r="F113" s="538"/>
      <c r="G113"/>
      <c r="H113" s="405"/>
      <c r="I113" s="545">
        <f>SUM(I109:I112)</f>
        <v>0</v>
      </c>
      <c r="K113" s="184"/>
      <c r="L113"/>
      <c r="M113"/>
    </row>
    <row r="114" spans="1:20" ht="15.75">
      <c r="A114"/>
      <c r="B114"/>
      <c r="C114"/>
      <c r="D114" s="122"/>
      <c r="E114" s="46"/>
      <c r="F114" s="122"/>
      <c r="G114" s="571" t="s">
        <v>369</v>
      </c>
      <c r="H114" s="122">
        <f>SUM(H58,H66,H74,H82,H90,H98,H106)</f>
        <v>0</v>
      </c>
      <c r="I114" s="547"/>
      <c r="J114" s="123"/>
      <c r="K114" s="184"/>
      <c r="L114"/>
      <c r="M114"/>
    </row>
    <row r="115" spans="1:20" ht="15.75">
      <c r="A115" s="46"/>
      <c r="B115" s="122"/>
      <c r="C115" s="122"/>
      <c r="D115" s="122"/>
      <c r="E115" s="46"/>
      <c r="F115" s="122"/>
      <c r="G115" s="571"/>
      <c r="H115" s="122"/>
      <c r="I115" s="547"/>
      <c r="J115" s="123"/>
      <c r="K115" s="184"/>
      <c r="L115"/>
      <c r="M115"/>
      <c r="N115" s="230"/>
      <c r="O115" s="230"/>
    </row>
    <row r="116" spans="1:20" ht="15.75">
      <c r="D116" s="46"/>
      <c r="E116" s="46"/>
      <c r="F116" s="46"/>
      <c r="G116" s="451"/>
      <c r="H116" s="452" t="s">
        <v>256</v>
      </c>
      <c r="I116" s="588">
        <f>SUM(I58,I66,I74,I82,I90,I98,I106,I113)</f>
        <v>0</v>
      </c>
      <c r="K116" s="184"/>
      <c r="L116"/>
      <c r="M116"/>
      <c r="N116" s="230"/>
      <c r="O116" s="230"/>
    </row>
    <row r="117" spans="1:20">
      <c r="A117" s="230"/>
      <c r="B117" s="230"/>
      <c r="C117" s="230"/>
      <c r="D117" s="230"/>
      <c r="E117" s="230"/>
      <c r="F117" s="230"/>
      <c r="G117" s="230"/>
      <c r="H117" s="230"/>
      <c r="I117" s="287"/>
      <c r="K117" s="184"/>
      <c r="L117"/>
      <c r="M117"/>
      <c r="N117" s="230"/>
      <c r="O117" s="230"/>
      <c r="P117" s="179"/>
      <c r="Q117" s="179"/>
      <c r="R117" s="217"/>
      <c r="S117" s="99"/>
      <c r="T117" s="389"/>
    </row>
    <row r="118" spans="1:20" ht="15.75">
      <c r="A118" s="382"/>
      <c r="B118" s="382"/>
      <c r="C118" s="382"/>
      <c r="D118" s="382"/>
      <c r="E118" s="292"/>
      <c r="F118" s="258"/>
      <c r="G118" s="292"/>
      <c r="H118" s="544" t="s">
        <v>134</v>
      </c>
      <c r="I118" s="589">
        <f>I116+D40</f>
        <v>0</v>
      </c>
    </row>
  </sheetData>
  <customSheetViews>
    <customSheetView guid="{25C4E7E7-1006-4A2D-BC83-AEE4ADF8A914}" scale="75" colorId="22" showPageBreaks="1" fitToPage="1" printArea="1" showRuler="0" topLeftCell="A28">
      <selection activeCell="F39" sqref="F39"/>
      <pageMargins left="0.75" right="0.5" top="0.75" bottom="0.5" header="0.5" footer="0.5"/>
      <pageSetup scale="68" orientation="portrait" r:id="rId1"/>
      <headerFooter alignWithMargins="0"/>
    </customSheetView>
    <customSheetView guid="{28F81D13-D146-4D67-8981-BA5D7A496326}" scale="87" colorId="22" showPageBreaks="1" fitToPage="1" printArea="1" showRuler="0" topLeftCell="A37">
      <selection activeCell="C33" sqref="C33"/>
      <pageMargins left="0.5" right="0.5" top="0.5" bottom="0.5" header="0.5" footer="0.5"/>
      <pageSetup scale="77" orientation="portrait" r:id="rId2"/>
      <headerFooter alignWithMargins="0"/>
    </customSheetView>
    <customSheetView guid="{AEA5979F-5357-4ED6-A6CA-1BB80F5C7A74}" scale="87" colorId="22" showPageBreaks="1" fitToPage="1" printArea="1" showRuler="0" topLeftCell="A10">
      <selection activeCell="B28" sqref="B28"/>
      <pageMargins left="0.5" right="0.5" top="0.5" bottom="0.5" header="0.5" footer="0.5"/>
      <pageSetup scale="77" orientation="portrait" r:id="rId3"/>
      <headerFooter alignWithMargins="0"/>
    </customSheetView>
    <customSheetView guid="{EB776EFC-3589-4DB5-BEAF-1E83D9703F9E}" scale="87" colorId="22" fitToPage="1" showRuler="0" topLeftCell="A38">
      <selection activeCell="A59" sqref="A59"/>
      <pageMargins left="0.5" right="0.5" top="0.5" bottom="0.5" header="0.5" footer="0.5"/>
      <pageSetup scale="80" orientation="portrait" r:id="rId4"/>
      <headerFooter alignWithMargins="0"/>
    </customSheetView>
    <customSheetView guid="{FBB4BF8E-8A9F-4E98-A6F9-5F9BF4C55C67}" scale="87" colorId="22" showPageBreaks="1" fitToPage="1" printArea="1" showRuler="0" topLeftCell="A14">
      <selection activeCell="C29" sqref="C29"/>
      <pageMargins left="0.5" right="0.5" top="0.5" bottom="0.5" header="0.5" footer="0.5"/>
      <pageSetup scale="80" orientation="portrait" r:id="rId5"/>
      <headerFooter alignWithMargins="0"/>
    </customSheetView>
    <customSheetView guid="{6EF643BE-69F3-424E-8A44-3890161370D4}" scale="87" colorId="22" showPageBreaks="1" fitToPage="1" printArea="1" showRuler="0" topLeftCell="A40">
      <selection activeCell="D42" sqref="D42"/>
      <pageMargins left="0.5" right="0.5" top="0.5" bottom="0.5" header="0.5" footer="0.5"/>
      <pageSetup scale="77" orientation="portrait" r:id="rId6"/>
      <headerFooter alignWithMargins="0"/>
    </customSheetView>
    <customSheetView guid="{1ECE83C7-A3CE-4F97-BFD3-498FF783C0D9}" scale="75" colorId="22" showPageBreaks="1" fitToPage="1" printArea="1" showRuler="0">
      <selection activeCell="H29" sqref="H29"/>
      <pageMargins left="0.75" right="0.5" top="0.75" bottom="0.5" header="0.5" footer="0.5"/>
      <pageSetup scale="75" orientation="portrait" r:id="rId7"/>
      <headerFooter alignWithMargins="0"/>
    </customSheetView>
    <customSheetView guid="{560D4AFA-61E5-46C3-B0CD-D0EB3053A033}" scale="75" colorId="22" showPageBreaks="1" fitToPage="1" printArea="1" showRuler="0" topLeftCell="A4">
      <selection activeCell="B5" sqref="B5"/>
      <pageMargins left="0.75" right="0.5" top="0.75" bottom="0.5" header="0.5" footer="0.5"/>
      <pageSetup scale="66" orientation="portrait" r:id="rId8"/>
      <headerFooter alignWithMargins="0"/>
    </customSheetView>
  </customSheetViews>
  <mergeCells count="3">
    <mergeCell ref="U44:V44"/>
    <mergeCell ref="A48:A49"/>
    <mergeCell ref="B48:C49"/>
  </mergeCells>
  <phoneticPr fontId="0" type="noConversion"/>
  <dataValidations count="1">
    <dataValidation type="list" allowBlank="1" showInputMessage="1" showErrorMessage="1" sqref="B48" xr:uid="{00000000-0002-0000-0400-000000000000}">
      <formula1>$AB$45:$AB$49</formula1>
    </dataValidation>
  </dataValidations>
  <pageMargins left="0.75" right="0.5" top="0.75" bottom="0.5" header="0.5" footer="0.5"/>
  <pageSetup scale="35" firstPageNumber="209" orientation="portrait" useFirstPageNumber="1"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pageSetUpPr fitToPage="1"/>
  </sheetPr>
  <dimension ref="A1:O42"/>
  <sheetViews>
    <sheetView defaultGridColor="0" colorId="22" zoomScale="80" zoomScaleNormal="80" workbookViewId="0">
      <selection activeCell="A2" sqref="A2"/>
    </sheetView>
  </sheetViews>
  <sheetFormatPr defaultColWidth="9.77734375" defaultRowHeight="15"/>
  <cols>
    <col min="1" max="1" width="26.6640625" style="184" customWidth="1"/>
    <col min="2" max="2" width="11.6640625" style="184" customWidth="1"/>
    <col min="3" max="3" width="14.21875" style="184" customWidth="1"/>
    <col min="4" max="4" width="9.5546875" style="184" customWidth="1"/>
    <col min="5" max="5" width="10.6640625" style="184" customWidth="1"/>
    <col min="6" max="6" width="18.6640625" style="184" customWidth="1"/>
    <col min="7" max="7" width="9.77734375" style="184"/>
    <col min="8" max="8" width="38.109375" style="184" customWidth="1"/>
    <col min="9" max="10" width="14.6640625" style="184" customWidth="1"/>
    <col min="11" max="11" width="9.33203125" style="184" customWidth="1"/>
    <col min="12" max="12" width="11" style="184" customWidth="1"/>
    <col min="13" max="14" width="10.6640625" style="184" customWidth="1"/>
    <col min="15" max="15" width="13.77734375" style="184" customWidth="1"/>
    <col min="16" max="16384" width="9.77734375" style="184"/>
  </cols>
  <sheetData>
    <row r="1" spans="1:10" ht="15.75">
      <c r="A1" s="78" t="str">
        <f>'Sources and Use'!A1</f>
        <v>Seniors First RFP: Kingsborough and Morris Houses</v>
      </c>
      <c r="B1" s="30"/>
      <c r="D1" s="33"/>
      <c r="E1" s="33"/>
      <c r="F1" s="30"/>
      <c r="G1" s="30"/>
      <c r="H1" s="30"/>
      <c r="I1" s="30"/>
    </row>
    <row r="2" spans="1:10" ht="15.75">
      <c r="A2" s="78" t="str">
        <f>'Cons Int &amp; Neg Arb'!A2</f>
        <v>Site:</v>
      </c>
      <c r="B2" s="30"/>
      <c r="D2" s="33" t="str">
        <f>'Sources and Use'!C2</f>
        <v>Units:</v>
      </c>
      <c r="E2" s="120">
        <f>'Units &amp; Income'!B22</f>
        <v>0</v>
      </c>
      <c r="F2" s="30"/>
      <c r="G2" s="30"/>
      <c r="H2" s="30"/>
      <c r="I2" s="30"/>
    </row>
    <row r="3" spans="1:10" ht="15.75">
      <c r="A3" s="78"/>
      <c r="B3" s="30"/>
      <c r="F3" s="30"/>
      <c r="G3" s="30"/>
      <c r="H3" s="30"/>
      <c r="I3" s="30"/>
    </row>
    <row r="4" spans="1:10" ht="15.75">
      <c r="A4" s="78"/>
      <c r="B4" s="30"/>
      <c r="F4" s="30"/>
      <c r="G4" s="30"/>
      <c r="H4" s="30"/>
      <c r="I4" s="30"/>
    </row>
    <row r="5" spans="1:10" ht="15.75">
      <c r="A5" s="363" t="s">
        <v>138</v>
      </c>
      <c r="B5" s="30"/>
      <c r="C5" s="30"/>
      <c r="D5" s="714">
        <f>'Units &amp; Income'!B22</f>
        <v>0</v>
      </c>
      <c r="E5" s="435" t="s">
        <v>67</v>
      </c>
      <c r="F5" s="30"/>
      <c r="G5" s="30"/>
      <c r="H5" s="30"/>
      <c r="I5" s="30"/>
    </row>
    <row r="6" spans="1:10">
      <c r="B6" s="364"/>
      <c r="C6" s="364"/>
      <c r="D6" s="714">
        <f>'Units &amp; Income'!D22</f>
        <v>0</v>
      </c>
      <c r="E6" s="435" t="s">
        <v>68</v>
      </c>
      <c r="F6" s="30"/>
      <c r="G6" s="30"/>
      <c r="H6" s="30"/>
      <c r="I6" s="30"/>
    </row>
    <row r="7" spans="1:10" ht="15.75" thickBot="1">
      <c r="A7" s="338"/>
      <c r="B7" s="338"/>
      <c r="C7" s="338"/>
      <c r="D7" s="338"/>
      <c r="E7" s="338"/>
    </row>
    <row r="8" spans="1:10" s="722" customFormat="1" ht="18" customHeight="1" thickTop="1">
      <c r="A8" s="717" t="s">
        <v>74</v>
      </c>
      <c r="B8" s="718"/>
      <c r="C8" s="719"/>
      <c r="D8" s="719" t="s">
        <v>66</v>
      </c>
      <c r="E8" s="720"/>
      <c r="F8" s="721"/>
      <c r="H8" s="795" t="s">
        <v>510</v>
      </c>
      <c r="I8" s="796"/>
      <c r="J8" s="797"/>
    </row>
    <row r="9" spans="1:10" s="722" customFormat="1" ht="18" customHeight="1">
      <c r="A9" s="723" t="s">
        <v>16</v>
      </c>
      <c r="B9" s="721"/>
      <c r="C9" s="724">
        <f>D9*$D$6</f>
        <v>0</v>
      </c>
      <c r="D9" s="725"/>
      <c r="E9" s="726" t="s">
        <v>17</v>
      </c>
      <c r="F9" s="727"/>
      <c r="H9" s="723" t="s">
        <v>16</v>
      </c>
      <c r="I9" s="728">
        <v>135</v>
      </c>
      <c r="J9" s="726" t="s">
        <v>17</v>
      </c>
    </row>
    <row r="10" spans="1:10" s="722" customFormat="1" ht="18" customHeight="1">
      <c r="A10" s="723" t="s">
        <v>18</v>
      </c>
      <c r="B10" s="721"/>
      <c r="C10" s="724">
        <f>D10*D6</f>
        <v>0</v>
      </c>
      <c r="D10" s="729"/>
      <c r="E10" s="726" t="s">
        <v>17</v>
      </c>
      <c r="F10" s="727"/>
      <c r="H10" s="723" t="s">
        <v>18</v>
      </c>
      <c r="I10" s="728">
        <v>300</v>
      </c>
      <c r="J10" s="726" t="s">
        <v>17</v>
      </c>
    </row>
    <row r="11" spans="1:10" s="722" customFormat="1" ht="18" customHeight="1">
      <c r="A11" s="723" t="s">
        <v>19</v>
      </c>
      <c r="B11" s="721"/>
      <c r="C11" s="724">
        <f>D11*$D$6</f>
        <v>0</v>
      </c>
      <c r="D11" s="729"/>
      <c r="E11" s="726" t="s">
        <v>17</v>
      </c>
      <c r="F11" s="727"/>
      <c r="H11" s="723" t="s">
        <v>19</v>
      </c>
      <c r="I11" s="728">
        <v>164</v>
      </c>
      <c r="J11" s="726" t="s">
        <v>17</v>
      </c>
    </row>
    <row r="12" spans="1:10" s="722" customFormat="1" ht="18" customHeight="1">
      <c r="A12" s="723" t="s">
        <v>69</v>
      </c>
      <c r="B12" s="721"/>
      <c r="C12" s="724">
        <f>D12*D5</f>
        <v>0</v>
      </c>
      <c r="D12" s="730"/>
      <c r="E12" s="726" t="s">
        <v>111</v>
      </c>
      <c r="F12" s="727"/>
      <c r="H12" s="723"/>
      <c r="I12" s="728"/>
      <c r="J12" s="726"/>
    </row>
    <row r="13" spans="1:10" s="722" customFormat="1" ht="18" customHeight="1">
      <c r="A13" s="723" t="s">
        <v>371</v>
      </c>
      <c r="B13" s="721"/>
      <c r="C13" s="724">
        <f>D13*$D$5</f>
        <v>0</v>
      </c>
      <c r="D13" s="730"/>
      <c r="E13" s="726" t="s">
        <v>20</v>
      </c>
      <c r="F13" s="727"/>
      <c r="H13" s="723" t="s">
        <v>511</v>
      </c>
      <c r="I13" s="728">
        <v>650</v>
      </c>
      <c r="J13" s="726" t="s">
        <v>20</v>
      </c>
    </row>
    <row r="14" spans="1:10" s="722" customFormat="1" ht="18" customHeight="1">
      <c r="A14" s="723" t="s">
        <v>204</v>
      </c>
      <c r="B14" s="721"/>
      <c r="C14" s="724">
        <f>D14*$D$5</f>
        <v>0</v>
      </c>
      <c r="D14" s="730"/>
      <c r="E14" s="726" t="s">
        <v>20</v>
      </c>
      <c r="F14" s="727"/>
      <c r="H14" s="723" t="s">
        <v>204</v>
      </c>
      <c r="I14" s="728">
        <v>220</v>
      </c>
      <c r="J14" s="726" t="s">
        <v>20</v>
      </c>
    </row>
    <row r="15" spans="1:10" s="722" customFormat="1" ht="18" customHeight="1">
      <c r="A15" s="723" t="s">
        <v>51</v>
      </c>
      <c r="B15" s="721"/>
      <c r="C15" s="724">
        <f>D15</f>
        <v>0</v>
      </c>
      <c r="D15" s="729"/>
      <c r="E15" s="726" t="s">
        <v>205</v>
      </c>
      <c r="F15" s="727"/>
      <c r="H15" s="723" t="s">
        <v>51</v>
      </c>
      <c r="I15" s="728">
        <v>16000</v>
      </c>
      <c r="J15" s="726" t="s">
        <v>205</v>
      </c>
    </row>
    <row r="16" spans="1:10" s="722" customFormat="1" ht="18" customHeight="1">
      <c r="A16" s="723" t="s">
        <v>21</v>
      </c>
      <c r="B16" s="721"/>
      <c r="C16" s="724">
        <f>D16*$D$6</f>
        <v>0</v>
      </c>
      <c r="D16" s="730"/>
      <c r="E16" s="726" t="s">
        <v>17</v>
      </c>
      <c r="F16" s="727"/>
      <c r="G16" s="731"/>
      <c r="H16" s="723"/>
      <c r="I16" s="728"/>
      <c r="J16" s="726"/>
    </row>
    <row r="17" spans="1:15" s="722" customFormat="1" ht="18" customHeight="1">
      <c r="A17" s="732" t="s">
        <v>22</v>
      </c>
      <c r="B17" s="733"/>
      <c r="C17" s="734">
        <f>C19+C20</f>
        <v>0</v>
      </c>
      <c r="D17" s="735" t="e">
        <f>C17/E2</f>
        <v>#DIV/0!</v>
      </c>
      <c r="E17" s="726" t="s">
        <v>20</v>
      </c>
      <c r="F17" s="727"/>
      <c r="H17" s="736" t="s">
        <v>523</v>
      </c>
      <c r="I17" s="737">
        <v>980</v>
      </c>
      <c r="J17" s="738" t="s">
        <v>20</v>
      </c>
    </row>
    <row r="18" spans="1:15" s="722" customFormat="1" ht="18" customHeight="1">
      <c r="A18" s="723" t="s">
        <v>23</v>
      </c>
      <c r="B18" s="739"/>
      <c r="E18" s="726"/>
      <c r="F18" s="727"/>
      <c r="H18" s="740"/>
      <c r="I18" s="798" t="s">
        <v>509</v>
      </c>
      <c r="J18" s="799"/>
      <c r="L18" s="741"/>
      <c r="M18" s="742" t="s">
        <v>521</v>
      </c>
      <c r="N18" s="742" t="s">
        <v>520</v>
      </c>
      <c r="O18" s="743"/>
    </row>
    <row r="19" spans="1:15" s="722" customFormat="1" ht="18" customHeight="1">
      <c r="A19" s="744" t="s">
        <v>139</v>
      </c>
      <c r="B19" s="745"/>
      <c r="C19" s="731">
        <f>D19*B19</f>
        <v>0</v>
      </c>
      <c r="D19" s="729"/>
      <c r="E19" s="726" t="s">
        <v>370</v>
      </c>
      <c r="F19" s="727"/>
      <c r="H19" s="746"/>
      <c r="I19" s="802" t="s">
        <v>518</v>
      </c>
      <c r="J19" s="803"/>
      <c r="K19" s="792"/>
      <c r="L19" s="747" t="s">
        <v>522</v>
      </c>
      <c r="M19" s="748">
        <v>55000</v>
      </c>
      <c r="N19" s="748">
        <v>82000</v>
      </c>
      <c r="O19" s="749" t="s">
        <v>370</v>
      </c>
    </row>
    <row r="20" spans="1:15" s="722" customFormat="1" ht="18" customHeight="1">
      <c r="A20" s="744" t="s">
        <v>108</v>
      </c>
      <c r="B20" s="745"/>
      <c r="C20" s="731">
        <f>D20*B20</f>
        <v>0</v>
      </c>
      <c r="D20" s="729"/>
      <c r="E20" s="726" t="s">
        <v>370</v>
      </c>
      <c r="F20" s="727"/>
      <c r="H20" s="746"/>
      <c r="I20" s="802" t="s">
        <v>519</v>
      </c>
      <c r="J20" s="803"/>
      <c r="K20" s="792"/>
      <c r="L20" s="750" t="s">
        <v>525</v>
      </c>
      <c r="M20" s="751">
        <v>43000</v>
      </c>
      <c r="N20" s="751">
        <v>54400</v>
      </c>
      <c r="O20" s="752" t="s">
        <v>370</v>
      </c>
    </row>
    <row r="21" spans="1:15" s="722" customFormat="1" ht="18" customHeight="1">
      <c r="A21" s="744"/>
      <c r="B21" s="753"/>
      <c r="E21" s="726"/>
      <c r="F21" s="727"/>
      <c r="H21" s="754"/>
      <c r="I21" s="793" t="s">
        <v>524</v>
      </c>
      <c r="J21" s="794"/>
      <c r="L21" s="755"/>
    </row>
    <row r="22" spans="1:15" s="722" customFormat="1" ht="18" customHeight="1">
      <c r="A22" s="732" t="s">
        <v>24</v>
      </c>
      <c r="B22" s="745"/>
      <c r="C22" s="724">
        <f>D22*B22</f>
        <v>0</v>
      </c>
      <c r="D22" s="730"/>
      <c r="E22" s="726" t="s">
        <v>71</v>
      </c>
      <c r="F22" s="727"/>
      <c r="H22" s="732" t="s">
        <v>24</v>
      </c>
      <c r="I22" s="728">
        <v>6600</v>
      </c>
      <c r="J22" s="726" t="s">
        <v>71</v>
      </c>
      <c r="L22" s="755"/>
    </row>
    <row r="23" spans="1:15" s="722" customFormat="1" ht="18" customHeight="1">
      <c r="A23" s="723" t="s">
        <v>25</v>
      </c>
      <c r="B23" s="721"/>
      <c r="C23" s="756">
        <f>D23*Mort!D11</f>
        <v>0</v>
      </c>
      <c r="D23" s="757"/>
      <c r="E23" s="726" t="s">
        <v>192</v>
      </c>
      <c r="F23" s="727"/>
      <c r="G23" s="721"/>
      <c r="H23" s="723" t="s">
        <v>25</v>
      </c>
      <c r="I23" s="758">
        <v>0.06</v>
      </c>
      <c r="J23" s="726" t="s">
        <v>192</v>
      </c>
      <c r="L23" s="759"/>
      <c r="M23" s="759"/>
      <c r="N23" s="759"/>
    </row>
    <row r="24" spans="1:15" s="722" customFormat="1" ht="18" customHeight="1">
      <c r="A24" s="732" t="s">
        <v>26</v>
      </c>
      <c r="B24" s="760"/>
      <c r="C24" s="724">
        <f>D24*$D$6</f>
        <v>0</v>
      </c>
      <c r="D24" s="730"/>
      <c r="E24" s="726" t="s">
        <v>17</v>
      </c>
      <c r="F24" s="727"/>
      <c r="G24" s="721"/>
      <c r="H24" s="732" t="s">
        <v>26</v>
      </c>
      <c r="I24" s="728">
        <v>273</v>
      </c>
      <c r="J24" s="726" t="s">
        <v>17</v>
      </c>
    </row>
    <row r="25" spans="1:15" s="722" customFormat="1" ht="18" customHeight="1">
      <c r="A25" s="732" t="s">
        <v>27</v>
      </c>
      <c r="B25" s="760"/>
      <c r="C25" s="724">
        <f>D25*$D$5</f>
        <v>0</v>
      </c>
      <c r="D25" s="729"/>
      <c r="E25" s="726" t="s">
        <v>20</v>
      </c>
      <c r="F25" s="727"/>
      <c r="G25" s="721"/>
      <c r="H25" s="732" t="s">
        <v>27</v>
      </c>
      <c r="I25" s="728">
        <v>600</v>
      </c>
      <c r="J25" s="726" t="s">
        <v>20</v>
      </c>
    </row>
    <row r="26" spans="1:15" s="722" customFormat="1" ht="18" customHeight="1">
      <c r="A26" s="732" t="s">
        <v>372</v>
      </c>
      <c r="B26" s="760"/>
      <c r="C26" s="761">
        <v>0</v>
      </c>
      <c r="D26" s="729"/>
      <c r="E26" s="726" t="s">
        <v>20</v>
      </c>
      <c r="F26" s="727"/>
      <c r="G26" s="721"/>
      <c r="H26" s="732" t="s">
        <v>513</v>
      </c>
      <c r="I26" s="800" t="s">
        <v>512</v>
      </c>
      <c r="J26" s="801"/>
    </row>
    <row r="27" spans="1:15" s="722" customFormat="1" ht="18" customHeight="1">
      <c r="A27" s="732" t="s">
        <v>372</v>
      </c>
      <c r="B27" s="762"/>
      <c r="C27" s="761">
        <v>0</v>
      </c>
      <c r="D27" s="729"/>
      <c r="E27" s="726" t="s">
        <v>20</v>
      </c>
      <c r="F27" s="727"/>
      <c r="G27" s="721"/>
      <c r="H27" s="732" t="s">
        <v>514</v>
      </c>
      <c r="I27" s="728">
        <v>495</v>
      </c>
      <c r="J27" s="726" t="s">
        <v>515</v>
      </c>
    </row>
    <row r="28" spans="1:15" s="722" customFormat="1" ht="18" customHeight="1">
      <c r="A28" s="723" t="s">
        <v>28</v>
      </c>
      <c r="B28" s="763"/>
      <c r="C28" s="724">
        <f>D28*$D$5</f>
        <v>0</v>
      </c>
      <c r="D28" s="764"/>
      <c r="E28" s="726" t="s">
        <v>20</v>
      </c>
      <c r="F28" s="727"/>
      <c r="G28" s="721"/>
      <c r="H28" s="723" t="s">
        <v>28</v>
      </c>
      <c r="I28" s="728">
        <v>250</v>
      </c>
      <c r="J28" s="726" t="s">
        <v>20</v>
      </c>
    </row>
    <row r="29" spans="1:15" s="722" customFormat="1" ht="18" customHeight="1">
      <c r="A29" s="723" t="s">
        <v>249</v>
      </c>
      <c r="B29" s="763"/>
      <c r="C29" s="724">
        <f>D29*$D$5</f>
        <v>0</v>
      </c>
      <c r="D29" s="764"/>
      <c r="E29" s="726" t="s">
        <v>20</v>
      </c>
      <c r="F29" s="727"/>
      <c r="G29" s="721"/>
      <c r="H29" s="765"/>
      <c r="I29" s="766"/>
      <c r="J29" s="766"/>
    </row>
    <row r="30" spans="1:15" s="722" customFormat="1" ht="18" customHeight="1">
      <c r="A30" s="723"/>
      <c r="B30" s="763"/>
      <c r="C30" s="767"/>
      <c r="D30" s="768"/>
      <c r="E30" s="726"/>
      <c r="F30" s="727"/>
      <c r="G30" s="721"/>
      <c r="H30" s="769" t="s">
        <v>516</v>
      </c>
      <c r="I30" s="770">
        <v>9500</v>
      </c>
      <c r="J30" s="771" t="s">
        <v>517</v>
      </c>
    </row>
    <row r="31" spans="1:15" s="722" customFormat="1" ht="18" customHeight="1">
      <c r="A31" s="772" t="s">
        <v>29</v>
      </c>
      <c r="B31" s="721"/>
      <c r="C31" s="773">
        <f>SUM(C9:C17,C22:C29)</f>
        <v>0</v>
      </c>
      <c r="E31" s="774" t="s">
        <v>1</v>
      </c>
      <c r="F31" s="721"/>
      <c r="G31" s="727"/>
    </row>
    <row r="32" spans="1:15" s="722" customFormat="1" ht="18" customHeight="1">
      <c r="A32" s="775"/>
      <c r="D32" s="776" t="e">
        <f>C31/D6</f>
        <v>#DIV/0!</v>
      </c>
      <c r="E32" s="774" t="s">
        <v>17</v>
      </c>
      <c r="F32" s="777"/>
      <c r="G32" s="727"/>
    </row>
    <row r="33" spans="1:7" s="722" customFormat="1" ht="18" customHeight="1">
      <c r="A33" s="778"/>
      <c r="B33" s="721"/>
      <c r="D33" s="776" t="e">
        <f>C31/D5</f>
        <v>#DIV/0!</v>
      </c>
      <c r="E33" s="774" t="s">
        <v>20</v>
      </c>
      <c r="F33" s="727"/>
      <c r="G33" s="727"/>
    </row>
    <row r="34" spans="1:7" s="722" customFormat="1" ht="18" customHeight="1">
      <c r="A34" s="778"/>
      <c r="B34" s="721"/>
      <c r="C34" s="727"/>
      <c r="D34" s="727"/>
      <c r="E34" s="726"/>
      <c r="F34" s="727"/>
      <c r="G34" s="727"/>
    </row>
    <row r="35" spans="1:7" s="722" customFormat="1" ht="18" customHeight="1">
      <c r="A35" s="723" t="s">
        <v>30</v>
      </c>
      <c r="B35" s="779"/>
      <c r="C35" s="780"/>
      <c r="E35" s="726"/>
      <c r="F35" s="727"/>
      <c r="G35" s="727"/>
    </row>
    <row r="36" spans="1:7" s="722" customFormat="1" ht="18" customHeight="1">
      <c r="A36" s="723"/>
      <c r="B36" s="721"/>
      <c r="C36" s="727"/>
      <c r="D36" s="727"/>
      <c r="E36" s="726"/>
      <c r="F36" s="727"/>
      <c r="G36" s="727"/>
    </row>
    <row r="37" spans="1:7" s="722" customFormat="1" ht="18" customHeight="1">
      <c r="A37" s="772" t="s">
        <v>140</v>
      </c>
      <c r="B37" s="721"/>
      <c r="C37" s="776">
        <f>Expenses+C35</f>
        <v>0</v>
      </c>
      <c r="D37" s="727"/>
      <c r="E37" s="726"/>
      <c r="F37" s="727"/>
      <c r="G37" s="727"/>
    </row>
    <row r="38" spans="1:7" s="722" customFormat="1" ht="18" customHeight="1">
      <c r="A38" s="781"/>
      <c r="B38" s="721"/>
      <c r="C38" s="776" t="e">
        <f>C37/D5</f>
        <v>#DIV/0!</v>
      </c>
      <c r="D38" s="776"/>
      <c r="E38" s="774" t="s">
        <v>77</v>
      </c>
      <c r="F38" s="727"/>
      <c r="G38" s="727"/>
    </row>
    <row r="39" spans="1:7" s="722" customFormat="1" ht="18" customHeight="1">
      <c r="A39" s="782"/>
      <c r="B39" s="718"/>
      <c r="C39" s="783" t="e">
        <f>C37/D6</f>
        <v>#DIV/0!</v>
      </c>
      <c r="D39" s="783"/>
      <c r="E39" s="784" t="s">
        <v>17</v>
      </c>
      <c r="F39" s="727"/>
      <c r="G39" s="727"/>
    </row>
    <row r="40" spans="1:7" ht="15.75">
      <c r="A40" s="30"/>
      <c r="B40" s="30"/>
      <c r="C40" s="77"/>
      <c r="D40" s="77"/>
      <c r="E40" s="78"/>
      <c r="F40" s="31"/>
      <c r="G40" s="31"/>
    </row>
    <row r="41" spans="1:7">
      <c r="A41" s="30"/>
      <c r="B41" s="30"/>
      <c r="C41" s="31"/>
      <c r="D41" s="31"/>
      <c r="E41" s="30"/>
      <c r="F41" s="31"/>
      <c r="G41" s="30"/>
    </row>
    <row r="42" spans="1:7">
      <c r="A42" s="249"/>
      <c r="B42" s="248"/>
      <c r="C42" s="30"/>
      <c r="D42" s="31"/>
      <c r="E42" s="30"/>
      <c r="F42" s="30"/>
    </row>
  </sheetData>
  <customSheetViews>
    <customSheetView guid="{25C4E7E7-1006-4A2D-BC83-AEE4ADF8A914}" scale="75" colorId="22" showPageBreaks="1" printArea="1" hiddenRows="1" hiddenColumns="1" showRuler="0" topLeftCell="A17">
      <selection activeCell="G26" sqref="G26"/>
      <pageMargins left="0.75" right="0.5" top="0.75" bottom="0.5" header="0.5" footer="0.5"/>
      <pageSetup scale="93" orientation="landscape" r:id="rId1"/>
      <headerFooter alignWithMargins="0"/>
    </customSheetView>
    <customSheetView guid="{28F81D13-D146-4D67-8981-BA5D7A496326}" scale="75" colorId="22" showPageBreaks="1" fitToPage="1" printArea="1" hiddenColumns="1" showRuler="0" topLeftCell="A7">
      <selection activeCell="K9" sqref="K9"/>
      <pageMargins left="0.5" right="0.5" top="0.5" bottom="0.5" header="0.5" footer="0.5"/>
      <pageSetup orientation="landscape" r:id="rId2"/>
      <headerFooter alignWithMargins="0"/>
    </customSheetView>
    <customSheetView guid="{AEA5979F-5357-4ED6-A6CA-1BB80F5C7A74}" scale="75" colorId="22" showPageBreaks="1" fitToPage="1" printArea="1" hiddenColumns="1" showRuler="0">
      <selection activeCell="J28" sqref="J28"/>
      <pageMargins left="0.5" right="0.5" top="0.5" bottom="0.5" header="0.5" footer="0.5"/>
      <pageSetup orientation="landscape" r:id="rId3"/>
      <headerFooter alignWithMargins="0"/>
    </customSheetView>
    <customSheetView guid="{EB776EFC-3589-4DB5-BEAF-1E83D9703F9E}" scale="65" colorId="22" fitToPage="1" hiddenColumns="1" showRuler="0" topLeftCell="A4">
      <selection activeCell="C19" sqref="C19"/>
      <pageMargins left="0.5" right="0.5" top="0.5" bottom="0.5" header="0.5" footer="0.5"/>
      <pageSetup orientation="landscape" r:id="rId4"/>
      <headerFooter alignWithMargins="0"/>
    </customSheetView>
    <customSheetView guid="{FBB4BF8E-8A9F-4E98-A6F9-5F9BF4C55C67}" scale="65" colorId="22" showPageBreaks="1" fitToPage="1" printArea="1" hiddenColumns="1" showRuler="0">
      <selection activeCell="J16" sqref="J16"/>
      <pageMargins left="0.5" right="0.5" top="0.5" bottom="0.5" header="0.5" footer="0.5"/>
      <pageSetup orientation="landscape" r:id="rId5"/>
      <headerFooter alignWithMargins="0"/>
    </customSheetView>
    <customSheetView guid="{6EF643BE-69F3-424E-8A44-3890161370D4}" scale="75" colorId="22" showPageBreaks="1" fitToPage="1" printArea="1" hiddenColumns="1" showRuler="0" topLeftCell="A10">
      <selection activeCell="J28" sqref="J28"/>
      <pageMargins left="0.5" right="0.5" top="0.5" bottom="0.5" header="0.5" footer="0.5"/>
      <pageSetup orientation="landscape" r:id="rId6"/>
      <headerFooter alignWithMargins="0"/>
    </customSheetView>
    <customSheetView guid="{1ECE83C7-A3CE-4F97-BFD3-498FF783C0D9}" scale="75" colorId="22" showPageBreaks="1" printArea="1" hiddenColumns="1" showRuler="0">
      <selection activeCell="H29" sqref="H29"/>
      <pageMargins left="0.75" right="0.5" top="0.75" bottom="0.5" header="0.5" footer="0.5"/>
      <pageSetup scale="93" orientation="landscape" r:id="rId7"/>
      <headerFooter alignWithMargins="0"/>
    </customSheetView>
    <customSheetView guid="{560D4AFA-61E5-46C3-B0CD-D0EB3053A033}" scale="75" colorId="22" showPageBreaks="1" printArea="1" hiddenRows="1" hiddenColumns="1" showRuler="0" topLeftCell="A2">
      <selection activeCell="H26" sqref="H26"/>
      <pageMargins left="0.75" right="0.5" top="0.75" bottom="0.5" header="0.5" footer="0.5"/>
      <pageSetup scale="93" orientation="landscape" r:id="rId8"/>
      <headerFooter alignWithMargins="0"/>
    </customSheetView>
  </customSheetViews>
  <mergeCells count="7">
    <mergeCell ref="K19:K20"/>
    <mergeCell ref="I21:J21"/>
    <mergeCell ref="H8:J8"/>
    <mergeCell ref="I18:J18"/>
    <mergeCell ref="I26:J26"/>
    <mergeCell ref="I19:J19"/>
    <mergeCell ref="I20:J20"/>
  </mergeCells>
  <phoneticPr fontId="0" type="noConversion"/>
  <printOptions horizontalCentered="1" verticalCentered="1"/>
  <pageMargins left="0.75" right="0.5" top="0.75" bottom="0.5" header="0.5" footer="0.5"/>
  <pageSetup firstPageNumber="210" orientation="portrait" useFirstPageNumber="1" r:id="rId9"/>
  <headerFooter alignWithMargins="0"/>
  <drawing r:id="rId1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T46"/>
  <sheetViews>
    <sheetView defaultGridColor="0" colorId="22" zoomScale="70" zoomScaleNormal="70" workbookViewId="0">
      <selection activeCell="A2" sqref="A2"/>
    </sheetView>
  </sheetViews>
  <sheetFormatPr defaultColWidth="9.77734375" defaultRowHeight="15"/>
  <cols>
    <col min="1" max="1" width="29.6640625" customWidth="1"/>
    <col min="2" max="2" width="11.77734375" bestFit="1" customWidth="1"/>
    <col min="4" max="4" width="13.109375" customWidth="1"/>
    <col min="6" max="7" width="12.6640625" customWidth="1"/>
    <col min="8" max="8" width="20.88671875" customWidth="1"/>
    <col min="9" max="9" width="16.88671875" customWidth="1"/>
    <col min="10" max="10" width="15.6640625" customWidth="1"/>
    <col min="11" max="11" width="14.88671875" customWidth="1"/>
    <col min="12" max="12" width="12.6640625" customWidth="1"/>
    <col min="13" max="13" width="10.77734375" bestFit="1" customWidth="1"/>
    <col min="14" max="14" width="11" bestFit="1" customWidth="1"/>
  </cols>
  <sheetData>
    <row r="1" spans="1:16" ht="15.75">
      <c r="A1" s="1" t="str">
        <f>'Sources and Use'!A1</f>
        <v>Seniors First RFP: Kingsborough and Morris Houses</v>
      </c>
      <c r="E1" s="2"/>
      <c r="F1" s="49"/>
      <c r="G1" s="2"/>
      <c r="H1" s="2"/>
      <c r="I1" s="2"/>
      <c r="J1" s="2"/>
      <c r="K1" s="25"/>
      <c r="L1" s="25"/>
      <c r="M1" s="2"/>
      <c r="N1" s="2"/>
    </row>
    <row r="2" spans="1:16" ht="15.75">
      <c r="A2" s="1" t="str">
        <f>'M and O'!A2</f>
        <v>Site:</v>
      </c>
      <c r="B2" s="2"/>
      <c r="E2" s="2"/>
      <c r="F2" s="2"/>
      <c r="G2" s="2"/>
      <c r="H2" s="2"/>
      <c r="I2" s="2"/>
      <c r="J2" s="2"/>
      <c r="K2" s="25" t="str">
        <f>'Sources and Use'!C2</f>
        <v>Units:</v>
      </c>
      <c r="L2" s="25">
        <f>'Units &amp; Income'!B22</f>
        <v>0</v>
      </c>
      <c r="M2" s="2"/>
      <c r="N2" s="2"/>
    </row>
    <row r="3" spans="1:16" ht="15.75">
      <c r="A3" s="1"/>
      <c r="B3" s="2"/>
      <c r="C3" s="2"/>
      <c r="D3" s="2"/>
      <c r="E3" s="2"/>
      <c r="F3" s="2"/>
      <c r="G3" s="2"/>
      <c r="H3" s="2"/>
      <c r="I3" s="2"/>
      <c r="J3" s="2"/>
      <c r="K3" s="2"/>
      <c r="L3" s="2"/>
      <c r="M3" s="2"/>
      <c r="N3" s="2"/>
    </row>
    <row r="4" spans="1:16">
      <c r="B4" s="2"/>
      <c r="C4" s="2"/>
      <c r="D4" s="2"/>
      <c r="E4" s="2"/>
      <c r="F4" s="117" t="s">
        <v>32</v>
      </c>
      <c r="G4" s="2"/>
      <c r="H4" s="4"/>
      <c r="I4" s="4"/>
      <c r="J4" s="4"/>
      <c r="K4" s="15"/>
      <c r="L4" s="2"/>
      <c r="M4" s="2"/>
      <c r="N4" s="2"/>
    </row>
    <row r="5" spans="1:16" ht="15.75">
      <c r="A5" s="32" t="s">
        <v>215</v>
      </c>
      <c r="B5" s="2"/>
      <c r="C5" s="2"/>
      <c r="D5" s="2"/>
      <c r="E5" s="2"/>
      <c r="F5" s="117" t="s">
        <v>169</v>
      </c>
      <c r="G5" s="2"/>
      <c r="H5" s="2"/>
      <c r="I5" s="2"/>
      <c r="J5" s="2"/>
      <c r="K5" s="4"/>
      <c r="L5" s="15"/>
      <c r="M5" s="15"/>
      <c r="N5" s="15"/>
    </row>
    <row r="6" spans="1:16" ht="16.5" thickBot="1">
      <c r="A6" s="334"/>
      <c r="B6" s="335"/>
      <c r="C6" s="335"/>
      <c r="D6" s="335"/>
      <c r="E6" s="333"/>
      <c r="F6" s="337"/>
      <c r="G6" s="337"/>
      <c r="H6" s="337"/>
      <c r="I6" s="337"/>
      <c r="J6" s="337"/>
      <c r="K6" s="338"/>
      <c r="L6" s="338"/>
      <c r="M6" s="4"/>
      <c r="N6" s="4"/>
    </row>
    <row r="7" spans="1:16" ht="16.5" thickTop="1">
      <c r="A7" s="37"/>
      <c r="B7" s="19"/>
      <c r="C7" s="19"/>
      <c r="D7" s="308"/>
      <c r="E7" s="344"/>
      <c r="F7" s="235" t="s">
        <v>216</v>
      </c>
      <c r="G7" s="235"/>
      <c r="H7" s="383"/>
      <c r="I7" s="445" t="s">
        <v>173</v>
      </c>
      <c r="J7" s="336"/>
      <c r="K7" s="164"/>
      <c r="L7" s="339"/>
      <c r="M7" s="2"/>
      <c r="N7" s="2"/>
    </row>
    <row r="8" spans="1:16" ht="15.75">
      <c r="A8" s="317" t="s">
        <v>170</v>
      </c>
      <c r="B8" s="17"/>
      <c r="C8" s="17"/>
      <c r="D8" s="14"/>
      <c r="E8" s="344"/>
      <c r="F8" s="230"/>
      <c r="G8" s="185"/>
      <c r="H8" s="371"/>
      <c r="I8" s="446"/>
      <c r="J8" s="164"/>
      <c r="K8" s="165" t="s">
        <v>254</v>
      </c>
      <c r="L8" s="340"/>
      <c r="M8" s="2"/>
      <c r="N8" s="2"/>
    </row>
    <row r="9" spans="1:16">
      <c r="A9" s="318" t="s">
        <v>132</v>
      </c>
      <c r="B9" s="316"/>
      <c r="C9" s="17"/>
      <c r="D9" s="14">
        <f>'Units &amp; Income'!I116</f>
        <v>0</v>
      </c>
      <c r="E9" s="29"/>
      <c r="F9" s="230" t="s">
        <v>217</v>
      </c>
      <c r="G9" s="185"/>
      <c r="H9" s="454"/>
      <c r="I9" s="446"/>
      <c r="J9" s="166" t="s">
        <v>223</v>
      </c>
      <c r="K9" s="456"/>
      <c r="L9" s="341"/>
      <c r="M9" s="2"/>
      <c r="N9" s="2"/>
    </row>
    <row r="10" spans="1:16">
      <c r="A10" s="366" t="s">
        <v>162</v>
      </c>
      <c r="B10" s="359"/>
      <c r="C10" s="22"/>
      <c r="D10" s="14">
        <f>B10*-D9</f>
        <v>0</v>
      </c>
      <c r="E10" s="29"/>
      <c r="F10" s="343" t="s">
        <v>218</v>
      </c>
      <c r="G10" s="186"/>
      <c r="H10" s="454"/>
      <c r="I10" s="447"/>
      <c r="J10" s="166" t="s">
        <v>345</v>
      </c>
      <c r="K10" s="456"/>
      <c r="L10" s="341"/>
      <c r="M10" s="2"/>
    </row>
    <row r="11" spans="1:16">
      <c r="A11" s="320" t="s">
        <v>33</v>
      </c>
      <c r="B11" s="131"/>
      <c r="C11" s="131"/>
      <c r="D11" s="309">
        <f>D9+D10</f>
        <v>0</v>
      </c>
      <c r="E11" s="29"/>
      <c r="F11" s="230" t="s">
        <v>219</v>
      </c>
      <c r="G11" s="185"/>
      <c r="H11" s="455"/>
      <c r="I11" s="447"/>
      <c r="J11" s="168" t="s">
        <v>34</v>
      </c>
      <c r="K11" s="456"/>
      <c r="L11" s="341"/>
      <c r="M11" s="2"/>
    </row>
    <row r="12" spans="1:16">
      <c r="A12" s="321"/>
      <c r="B12" s="46"/>
      <c r="C12" s="46"/>
      <c r="D12" s="310"/>
      <c r="E12" s="29"/>
      <c r="F12" s="230" t="s">
        <v>220</v>
      </c>
      <c r="G12" s="185"/>
      <c r="H12" s="454"/>
      <c r="I12" s="447"/>
      <c r="J12" s="166" t="s">
        <v>35</v>
      </c>
      <c r="K12" s="167">
        <f>SUM(K9:K11)</f>
        <v>0</v>
      </c>
      <c r="L12" s="341"/>
      <c r="M12" s="2"/>
    </row>
    <row r="13" spans="1:16">
      <c r="A13" s="318" t="s">
        <v>113</v>
      </c>
      <c r="B13" s="22"/>
      <c r="C13" s="22"/>
      <c r="D13" s="14">
        <f>'Units &amp; Income'!D29</f>
        <v>0</v>
      </c>
      <c r="E13" s="29"/>
      <c r="F13" s="230" t="s">
        <v>221</v>
      </c>
      <c r="G13" s="185"/>
      <c r="H13" s="454"/>
      <c r="I13" s="447"/>
      <c r="J13" s="169"/>
      <c r="K13" s="170"/>
      <c r="L13" s="342"/>
      <c r="M13" s="2"/>
      <c r="P13" s="184"/>
    </row>
    <row r="14" spans="1:16">
      <c r="A14" s="318" t="s">
        <v>163</v>
      </c>
      <c r="B14" s="22"/>
      <c r="C14" s="22"/>
      <c r="D14" s="14">
        <f>'Units &amp; Income'!D33</f>
        <v>0</v>
      </c>
      <c r="E14" s="29"/>
      <c r="F14" s="295" t="s">
        <v>222</v>
      </c>
      <c r="G14" s="202"/>
      <c r="H14" s="455"/>
      <c r="I14" s="447"/>
      <c r="J14" s="163"/>
      <c r="K14" s="164"/>
      <c r="L14" s="342"/>
      <c r="M14" s="2"/>
    </row>
    <row r="15" spans="1:16">
      <c r="A15" s="318" t="s">
        <v>164</v>
      </c>
      <c r="B15" s="22"/>
      <c r="C15" s="22"/>
      <c r="D15" s="14">
        <f>'Units &amp; Income'!D35</f>
        <v>0</v>
      </c>
      <c r="E15" s="29"/>
      <c r="F15" s="370"/>
      <c r="G15" s="137"/>
      <c r="H15" s="457">
        <f>SUM(H9:H14)</f>
        <v>0</v>
      </c>
      <c r="I15" s="448"/>
      <c r="J15" s="137"/>
      <c r="K15" s="367"/>
      <c r="L15" s="349"/>
      <c r="M15" s="2"/>
      <c r="N15" s="2"/>
    </row>
    <row r="16" spans="1:16">
      <c r="A16" s="318" t="s">
        <v>36</v>
      </c>
      <c r="B16" s="22"/>
      <c r="C16" s="22"/>
      <c r="D16" s="14">
        <f>'Units &amp; Income'!D38</f>
        <v>0</v>
      </c>
      <c r="E16" s="18"/>
      <c r="F16" s="369"/>
      <c r="G16" s="250"/>
      <c r="H16" s="250"/>
      <c r="I16" s="449"/>
      <c r="J16" s="250"/>
      <c r="K16" s="250"/>
      <c r="L16" s="368"/>
      <c r="M16" s="2"/>
      <c r="N16" s="2"/>
      <c r="P16" s="184"/>
    </row>
    <row r="17" spans="1:20" ht="15.75" thickBot="1">
      <c r="A17" s="319" t="s">
        <v>165</v>
      </c>
      <c r="B17" s="359"/>
      <c r="C17" s="22"/>
      <c r="D17" s="14">
        <f>-(D13*B17)</f>
        <v>0</v>
      </c>
      <c r="E17" s="18"/>
      <c r="F17" s="337"/>
      <c r="G17" s="337"/>
      <c r="H17" s="337"/>
      <c r="I17" s="337"/>
      <c r="J17" s="337"/>
      <c r="K17" s="351"/>
      <c r="L17" s="352"/>
      <c r="M17" s="2"/>
      <c r="N17" s="2"/>
    </row>
    <row r="18" spans="1:20" ht="15.75" thickTop="1">
      <c r="A18" s="319" t="s">
        <v>167</v>
      </c>
      <c r="B18" s="358"/>
      <c r="C18" s="20"/>
      <c r="D18" s="14">
        <f>-(D14*B18)</f>
        <v>0</v>
      </c>
      <c r="E18" s="345"/>
      <c r="F18" s="18"/>
      <c r="H18" s="3"/>
      <c r="I18" s="372"/>
      <c r="J18" s="2"/>
      <c r="K18" s="2"/>
      <c r="L18" s="349"/>
    </row>
    <row r="19" spans="1:20">
      <c r="A19" s="322" t="s">
        <v>172</v>
      </c>
      <c r="B19" s="358"/>
      <c r="D19" s="14">
        <f>-(D15*B19)</f>
        <v>0</v>
      </c>
      <c r="E19" s="345"/>
      <c r="F19" s="18"/>
      <c r="H19" s="6"/>
      <c r="I19" s="373"/>
      <c r="J19" s="9"/>
      <c r="K19" s="4"/>
      <c r="L19" s="349"/>
    </row>
    <row r="20" spans="1:20">
      <c r="A20" s="319" t="s">
        <v>166</v>
      </c>
      <c r="B20" s="358"/>
      <c r="C20" s="46"/>
      <c r="D20" s="14">
        <f>-(D16*B20)</f>
        <v>0</v>
      </c>
      <c r="E20" s="345"/>
      <c r="F20" s="18"/>
      <c r="I20" s="374"/>
      <c r="J20" s="2"/>
      <c r="K20" s="2"/>
      <c r="L20" s="349"/>
    </row>
    <row r="21" spans="1:20">
      <c r="A21" s="323" t="s">
        <v>168</v>
      </c>
      <c r="B21" s="130"/>
      <c r="C21" s="130"/>
      <c r="D21" s="309">
        <f>SUM(D13:D20)</f>
        <v>0</v>
      </c>
      <c r="E21" s="345"/>
      <c r="F21" s="18"/>
      <c r="H21" s="3" t="s">
        <v>37</v>
      </c>
      <c r="I21" s="378"/>
      <c r="J21" s="2" t="s">
        <v>393</v>
      </c>
      <c r="K21" s="2"/>
      <c r="L21" s="349"/>
    </row>
    <row r="22" spans="1:20" ht="15.75">
      <c r="A22" s="324" t="s">
        <v>171</v>
      </c>
      <c r="B22" s="129"/>
      <c r="C22" s="129"/>
      <c r="D22" s="311">
        <f>D11+D21</f>
        <v>0</v>
      </c>
      <c r="E22" s="345"/>
      <c r="F22" s="18"/>
      <c r="H22" s="3" t="s">
        <v>347</v>
      </c>
      <c r="I22" s="663">
        <f>SECOND</f>
        <v>0</v>
      </c>
      <c r="L22" s="313"/>
    </row>
    <row r="23" spans="1:20">
      <c r="A23" s="325"/>
      <c r="B23" s="22"/>
      <c r="C23" s="22"/>
      <c r="D23" s="14"/>
      <c r="E23" s="345"/>
      <c r="F23" s="18"/>
      <c r="G23" s="139"/>
      <c r="H23" s="3" t="s">
        <v>244</v>
      </c>
      <c r="I23" s="375">
        <f>J30</f>
        <v>0</v>
      </c>
      <c r="J23" s="2"/>
      <c r="K23" s="2"/>
      <c r="L23" s="349"/>
    </row>
    <row r="24" spans="1:20" ht="15.75">
      <c r="A24" s="317" t="s">
        <v>74</v>
      </c>
      <c r="B24" s="22"/>
      <c r="C24" s="22"/>
      <c r="D24" s="14"/>
      <c r="E24" s="345"/>
      <c r="F24" s="18"/>
      <c r="H24" s="132" t="s">
        <v>245</v>
      </c>
      <c r="I24" s="375">
        <f>K30</f>
        <v>0</v>
      </c>
      <c r="J24" s="2"/>
      <c r="K24" s="2"/>
      <c r="L24" s="349"/>
    </row>
    <row r="25" spans="1:20">
      <c r="A25" s="318" t="s">
        <v>41</v>
      </c>
      <c r="B25" s="21" t="e">
        <f>D25/'Units &amp; Income'!B22</f>
        <v>#DIV/0!</v>
      </c>
      <c r="C25" s="21" t="s">
        <v>20</v>
      </c>
      <c r="D25" s="14">
        <f>'M and O'!C31-'M and O'!C28</f>
        <v>0</v>
      </c>
      <c r="E25" s="345"/>
      <c r="F25" s="69"/>
      <c r="G25" s="331"/>
      <c r="H25" s="347" t="s">
        <v>38</v>
      </c>
      <c r="I25" s="441">
        <f>I21+I22+I23+I24</f>
        <v>0</v>
      </c>
      <c r="J25" s="331"/>
      <c r="K25" s="331"/>
      <c r="L25" s="350"/>
    </row>
    <row r="26" spans="1:20" ht="15.75" thickBot="1">
      <c r="A26" s="318" t="s">
        <v>42</v>
      </c>
      <c r="B26" s="21" t="e">
        <f>D26/'Units &amp; Income'!B22</f>
        <v>#DIV/0!</v>
      </c>
      <c r="C26" s="21" t="s">
        <v>20</v>
      </c>
      <c r="D26" s="14">
        <f>'M and O'!C35</f>
        <v>0</v>
      </c>
      <c r="F26" s="353"/>
      <c r="G26" s="354"/>
      <c r="H26" s="354"/>
      <c r="I26" s="354"/>
      <c r="J26" s="354"/>
      <c r="K26" s="354"/>
      <c r="L26" s="354"/>
      <c r="M26" s="164"/>
      <c r="N26" s="164"/>
      <c r="O26" s="164"/>
      <c r="P26" s="164"/>
      <c r="Q26" s="164"/>
      <c r="R26" s="164"/>
      <c r="S26" s="164"/>
      <c r="T26" s="164"/>
    </row>
    <row r="27" spans="1:20" ht="15.75" thickTop="1">
      <c r="A27" s="318" t="s">
        <v>44</v>
      </c>
      <c r="B27" s="21" t="e">
        <f>D27/'Units &amp; Income'!B22</f>
        <v>#DIV/0!</v>
      </c>
      <c r="C27" s="17" t="s">
        <v>20</v>
      </c>
      <c r="D27" s="14">
        <f>'M and O'!C28</f>
        <v>0</v>
      </c>
      <c r="E27" s="345"/>
      <c r="F27" s="2"/>
      <c r="G27" s="394"/>
      <c r="H27" s="395" t="s">
        <v>401</v>
      </c>
      <c r="I27" s="392" t="s">
        <v>390</v>
      </c>
      <c r="J27" s="392" t="s">
        <v>391</v>
      </c>
      <c r="K27" s="392" t="s">
        <v>392</v>
      </c>
      <c r="L27" s="362"/>
      <c r="M27" s="447"/>
      <c r="N27" s="164"/>
      <c r="O27" s="164"/>
      <c r="P27" s="164"/>
      <c r="Q27" s="164"/>
      <c r="R27" s="164"/>
      <c r="S27" s="164"/>
      <c r="T27" s="164"/>
    </row>
    <row r="28" spans="1:20" ht="15.75">
      <c r="A28" s="324" t="s">
        <v>31</v>
      </c>
      <c r="B28" s="7" t="e">
        <f>SUM(B25:B27)</f>
        <v>#DIV/0!</v>
      </c>
      <c r="C28" s="16" t="s">
        <v>20</v>
      </c>
      <c r="D28" s="312">
        <f>SUM(D25:D27)</f>
        <v>0</v>
      </c>
      <c r="E28" s="345"/>
      <c r="H28" s="379"/>
      <c r="I28" s="621"/>
      <c r="J28" s="379"/>
      <c r="K28" s="379"/>
      <c r="M28" s="447"/>
      <c r="N28" s="164"/>
      <c r="O28" s="164"/>
      <c r="P28" s="164"/>
      <c r="Q28" s="164"/>
      <c r="R28" s="164"/>
      <c r="S28" s="164"/>
      <c r="T28" s="164"/>
    </row>
    <row r="29" spans="1:20">
      <c r="A29" s="326"/>
      <c r="D29" s="313"/>
      <c r="E29" s="345"/>
      <c r="F29" s="329"/>
      <c r="G29" s="30"/>
      <c r="H29" s="362" t="s">
        <v>39</v>
      </c>
      <c r="I29" s="392" t="s">
        <v>40</v>
      </c>
      <c r="J29" s="393" t="s">
        <v>246</v>
      </c>
      <c r="K29" s="397" t="s">
        <v>247</v>
      </c>
      <c r="L29" s="362" t="s">
        <v>1</v>
      </c>
      <c r="M29" s="414"/>
    </row>
    <row r="30" spans="1:20">
      <c r="A30" s="326"/>
      <c r="D30" s="313"/>
      <c r="E30" s="345"/>
      <c r="F30" s="30"/>
      <c r="G30" s="30"/>
      <c r="H30" s="673" t="e">
        <f>-PV(H31/12,H32*12,(D36-I36-J36-K36)/12,H34)-H28</f>
        <v>#DIV/0!</v>
      </c>
      <c r="I30" s="628">
        <f>H41*('Units &amp; Income'!B22-SUM('Units &amp; Income'!H109:H112))</f>
        <v>0</v>
      </c>
      <c r="J30" s="629">
        <f>H42*('Units &amp; Income'!B22-SUM('Units &amp; Income'!H109:H112))</f>
        <v>0</v>
      </c>
      <c r="K30" s="630">
        <f>H43*('Units &amp; Income'!B22-SUM('Units &amp; Income'!H109:H112))</f>
        <v>0</v>
      </c>
      <c r="L30" s="31" t="e">
        <f>I30+H30+J30+K30</f>
        <v>#DIV/0!</v>
      </c>
      <c r="M30" s="414"/>
    </row>
    <row r="31" spans="1:20" ht="15.75">
      <c r="A31" s="317" t="s">
        <v>45</v>
      </c>
      <c r="B31" s="16"/>
      <c r="C31" s="16"/>
      <c r="D31" s="312">
        <f>D22-D28</f>
        <v>0</v>
      </c>
      <c r="E31" s="345"/>
      <c r="F31" s="184"/>
      <c r="G31" s="134" t="s">
        <v>158</v>
      </c>
      <c r="H31" s="396">
        <f>K12</f>
        <v>0</v>
      </c>
      <c r="I31" s="379"/>
      <c r="J31" s="379"/>
      <c r="K31" s="379"/>
      <c r="L31" s="184"/>
      <c r="M31" s="414"/>
    </row>
    <row r="32" spans="1:20">
      <c r="A32" s="326"/>
      <c r="D32" s="313"/>
      <c r="E32" s="345"/>
      <c r="F32" s="30"/>
      <c r="G32" s="376" t="s">
        <v>43</v>
      </c>
      <c r="H32" s="377"/>
      <c r="I32" s="377"/>
      <c r="J32" s="378"/>
      <c r="K32" s="378"/>
      <c r="L32" s="31"/>
      <c r="M32" s="414"/>
    </row>
    <row r="33" spans="1:14">
      <c r="A33" s="325"/>
      <c r="B33" s="17"/>
      <c r="C33" s="17"/>
      <c r="D33" s="14"/>
      <c r="E33" s="345"/>
      <c r="F33" s="133" t="s">
        <v>177</v>
      </c>
      <c r="G33" s="133" t="s">
        <v>174</v>
      </c>
      <c r="H33" s="31" t="e">
        <f>H30-H3</f>
        <v>#DIV/0!</v>
      </c>
      <c r="I33" s="31">
        <f>SECOND-I34</f>
        <v>0</v>
      </c>
      <c r="J33" s="31">
        <f>J30-J34</f>
        <v>0</v>
      </c>
      <c r="K33" s="31">
        <f>K30-K34</f>
        <v>0</v>
      </c>
      <c r="L33" s="135"/>
      <c r="M33" s="414"/>
      <c r="N33" s="599"/>
    </row>
    <row r="34" spans="1:14">
      <c r="A34" s="325" t="s">
        <v>47</v>
      </c>
      <c r="B34" s="17"/>
      <c r="C34" s="17"/>
      <c r="D34" s="14">
        <f>(+D22/1.05)-(D28)</f>
        <v>0</v>
      </c>
      <c r="E34" s="345"/>
      <c r="F34" s="30"/>
      <c r="G34" s="133" t="s">
        <v>46</v>
      </c>
      <c r="H34" s="31">
        <v>0</v>
      </c>
      <c r="I34" s="31">
        <f>-FV(I31/12,I32*12,-(I36/12),SECOND)</f>
        <v>0</v>
      </c>
      <c r="J34" s="31">
        <f>-FV(J31/12, J32*12, -J36/12, J30)</f>
        <v>0</v>
      </c>
      <c r="K34" s="31">
        <f>-FV(K31/12, K32*12, -K36/12, K30)</f>
        <v>0</v>
      </c>
      <c r="L34" s="135"/>
      <c r="M34" s="414"/>
    </row>
    <row r="35" spans="1:14">
      <c r="A35" s="619" t="s">
        <v>399</v>
      </c>
      <c r="B35" s="250"/>
      <c r="D35" s="313"/>
      <c r="E35" s="345"/>
      <c r="F35" s="184"/>
      <c r="G35" s="133" t="s">
        <v>175</v>
      </c>
      <c r="H35" s="136" t="e">
        <f>H34/FIRST</f>
        <v>#DIV/0!</v>
      </c>
      <c r="I35" s="136" t="e">
        <f>I34/I30</f>
        <v>#DIV/0!</v>
      </c>
      <c r="J35" s="136" t="e">
        <f>J34/J30</f>
        <v>#DIV/0!</v>
      </c>
      <c r="K35" s="136" t="e">
        <f>K34/K30</f>
        <v>#DIV/0!</v>
      </c>
      <c r="L35" s="184"/>
      <c r="M35" s="606"/>
    </row>
    <row r="36" spans="1:14">
      <c r="A36" s="344" t="s">
        <v>72</v>
      </c>
      <c r="B36" s="360"/>
      <c r="D36" s="14" t="e">
        <f>NOI/B36</f>
        <v>#DIV/0!</v>
      </c>
      <c r="E36" s="345"/>
      <c r="F36" s="137"/>
      <c r="G36" s="133" t="s">
        <v>48</v>
      </c>
      <c r="H36" s="229" t="e">
        <f>PMT(H31/12, H32*12, -FIRST, 0)*12</f>
        <v>#DIV/0!</v>
      </c>
      <c r="I36" s="229">
        <f>SECOND*I28</f>
        <v>0</v>
      </c>
      <c r="J36" s="229">
        <f>+J30*J28</f>
        <v>0</v>
      </c>
      <c r="K36" s="229">
        <f>+K30*K28</f>
        <v>0</v>
      </c>
      <c r="L36" s="229" t="e">
        <f>SUM(H36:J36)</f>
        <v>#DIV/0!</v>
      </c>
      <c r="M36" s="607"/>
    </row>
    <row r="37" spans="1:14">
      <c r="A37" s="327" t="s">
        <v>84</v>
      </c>
      <c r="D37" s="314" t="e">
        <f>D22/(D28+D36)</f>
        <v>#DIV/0!</v>
      </c>
      <c r="E37" s="18"/>
      <c r="F37" s="346"/>
      <c r="G37" s="347" t="s">
        <v>176</v>
      </c>
      <c r="H37" s="348" t="e">
        <f>NOI/H36</f>
        <v>#DIV/0!</v>
      </c>
      <c r="I37" s="348" t="e">
        <f>NOI/(I36+H36)</f>
        <v>#DIV/0!</v>
      </c>
      <c r="J37" s="348" t="e">
        <f>NOI/(J36+I36+H36)</f>
        <v>#DIV/0!</v>
      </c>
      <c r="K37" s="348" t="e">
        <f>NOI/(K36+J36+I36)</f>
        <v>#DIV/0!</v>
      </c>
      <c r="L37" s="605" t="e">
        <f>NOI/L36</f>
        <v>#DIV/0!</v>
      </c>
      <c r="M37" s="414"/>
    </row>
    <row r="38" spans="1:14">
      <c r="A38" s="620" t="s">
        <v>400</v>
      </c>
      <c r="B38" s="250"/>
      <c r="D38" s="313"/>
      <c r="E38" s="18"/>
      <c r="L38" s="2"/>
    </row>
    <row r="39" spans="1:14">
      <c r="A39" s="344" t="s">
        <v>72</v>
      </c>
      <c r="B39" s="361"/>
      <c r="D39" s="14" t="e">
        <f>D31/B39</f>
        <v>#DIV/0!</v>
      </c>
      <c r="E39" s="18"/>
      <c r="J39" s="34"/>
      <c r="L39" s="5"/>
      <c r="M39" s="2"/>
      <c r="N39" s="2"/>
    </row>
    <row r="40" spans="1:14" ht="15.75">
      <c r="A40" s="328" t="s">
        <v>84</v>
      </c>
      <c r="B40" s="18"/>
      <c r="C40" s="18"/>
      <c r="D40" s="314" t="e">
        <f>D22/(D28+D39)</f>
        <v>#DIV/0!</v>
      </c>
      <c r="E40" s="18"/>
      <c r="G40" s="355" t="s">
        <v>206</v>
      </c>
      <c r="H40" s="30"/>
      <c r="I40" s="135"/>
      <c r="J40" s="135"/>
      <c r="K40" s="31"/>
      <c r="L40" s="2"/>
      <c r="M40" s="2"/>
      <c r="N40" s="5"/>
    </row>
    <row r="41" spans="1:14">
      <c r="A41" s="329"/>
      <c r="B41" s="2"/>
      <c r="C41" s="2"/>
      <c r="D41" s="315"/>
      <c r="E41" s="2"/>
      <c r="F41" s="392" t="s">
        <v>40</v>
      </c>
      <c r="G41" s="30" t="s">
        <v>337</v>
      </c>
      <c r="H41" s="357"/>
      <c r="I41" s="138" t="s">
        <v>49</v>
      </c>
      <c r="J41" s="135"/>
      <c r="K41" s="31"/>
      <c r="L41" s="2"/>
      <c r="M41" s="2"/>
      <c r="N41" s="5"/>
    </row>
    <row r="42" spans="1:14">
      <c r="A42" s="330"/>
      <c r="B42" s="331"/>
      <c r="C42" s="331"/>
      <c r="D42" s="332"/>
      <c r="E42" s="2"/>
      <c r="F42" s="393" t="s">
        <v>246</v>
      </c>
      <c r="G42" s="2" t="s">
        <v>337</v>
      </c>
      <c r="H42" s="356"/>
      <c r="I42" s="138" t="s">
        <v>49</v>
      </c>
      <c r="J42" s="5"/>
      <c r="K42" s="2"/>
      <c r="L42" s="2"/>
      <c r="M42" s="2"/>
      <c r="N42" s="5"/>
    </row>
    <row r="43" spans="1:14">
      <c r="A43" s="23"/>
      <c r="B43" s="2"/>
      <c r="C43" s="13"/>
      <c r="D43" s="2"/>
      <c r="E43" s="2"/>
      <c r="F43" s="397" t="s">
        <v>247</v>
      </c>
      <c r="G43" s="2" t="s">
        <v>337</v>
      </c>
      <c r="H43" s="356"/>
      <c r="I43" s="10"/>
      <c r="J43" s="608"/>
      <c r="K43" s="608"/>
      <c r="L43" s="608"/>
      <c r="M43" s="608"/>
      <c r="N43" s="608"/>
    </row>
    <row r="44" spans="1:14">
      <c r="E44" s="23"/>
      <c r="H44" s="227"/>
      <c r="I44" s="610"/>
      <c r="J44" s="611"/>
      <c r="K44" s="611"/>
      <c r="L44" s="611"/>
      <c r="M44" s="611"/>
      <c r="N44" s="611"/>
    </row>
    <row r="45" spans="1:14">
      <c r="K45" s="34"/>
      <c r="L45" s="34"/>
      <c r="M45" s="34"/>
      <c r="N45" s="34"/>
    </row>
    <row r="46" spans="1:14">
      <c r="J46" s="609"/>
      <c r="K46" s="609"/>
      <c r="L46" s="609"/>
      <c r="M46" s="609"/>
      <c r="N46" s="609"/>
    </row>
  </sheetData>
  <customSheetViews>
    <customSheetView guid="{25C4E7E7-1006-4A2D-BC83-AEE4ADF8A914}" scale="75" colorId="22" showPageBreaks="1" fitToPage="1" printArea="1" showRuler="0" topLeftCell="B22">
      <selection activeCell="H30" sqref="H30"/>
      <pageMargins left="0.75" right="0.5" top="0.75" bottom="0.5" header="0.5" footer="0.5"/>
      <pageSetup scale="64" orientation="landscape" r:id="rId1"/>
      <headerFooter alignWithMargins="0"/>
    </customSheetView>
    <customSheetView guid="{28F81D13-D146-4D67-8981-BA5D7A496326}" scale="75" colorId="22" showPageBreaks="1" fitToPage="1" printArea="1" showRuler="0" topLeftCell="F20">
      <selection activeCell="A11" sqref="A11"/>
      <pageMargins left="0.5" right="0.5" top="0.5" bottom="0" header="0.5" footer="0.5"/>
      <pageSetup scale="62" orientation="landscape" r:id="rId2"/>
      <headerFooter alignWithMargins="0"/>
    </customSheetView>
    <customSheetView guid="{AEA5979F-5357-4ED6-A6CA-1BB80F5C7A74}" scale="75" colorId="22" showPageBreaks="1" fitToPage="1" printArea="1" showRuler="0" topLeftCell="C7">
      <selection activeCell="J36" sqref="J36"/>
      <pageMargins left="0.5" right="0.5" top="0.5" bottom="0" header="0.5" footer="0.5"/>
      <pageSetup scale="62" orientation="landscape" r:id="rId3"/>
      <headerFooter alignWithMargins="0"/>
    </customSheetView>
    <customSheetView guid="{EB776EFC-3589-4DB5-BEAF-1E83D9703F9E}" scale="75" colorId="22" fitToPage="1" showRuler="0" topLeftCell="F20">
      <selection activeCell="H39" sqref="H39"/>
      <pageMargins left="0.5" right="0.5" top="0.5" bottom="0" header="0.5" footer="0.5"/>
      <pageSetup scale="63" orientation="landscape" r:id="rId4"/>
      <headerFooter alignWithMargins="0"/>
    </customSheetView>
    <customSheetView guid="{FBB4BF8E-8A9F-4E98-A6F9-5F9BF4C55C67}" scale="75" colorId="22" showPageBreaks="1" fitToPage="1" printArea="1" showRuler="0" topLeftCell="F20">
      <selection activeCell="H28" sqref="H28"/>
      <pageMargins left="0.5" right="0.5" top="0.5" bottom="0" header="0.5" footer="0.5"/>
      <pageSetup scale="63" orientation="landscape" r:id="rId5"/>
      <headerFooter alignWithMargins="0"/>
    </customSheetView>
    <customSheetView guid="{6EF643BE-69F3-424E-8A44-3890161370D4}" scale="75" colorId="22" showPageBreaks="1" fitToPage="1" printArea="1" showRuler="0" topLeftCell="D19">
      <selection activeCell="H30" sqref="H30"/>
      <pageMargins left="0.5" right="0.5" top="0.5" bottom="0" header="0.5" footer="0.5"/>
      <pageSetup scale="62" orientation="landscape" r:id="rId6"/>
      <headerFooter alignWithMargins="0"/>
    </customSheetView>
    <customSheetView guid="{1ECE83C7-A3CE-4F97-BFD3-498FF783C0D9}" scale="75" colorId="22" showPageBreaks="1" fitToPage="1" printArea="1" showRuler="0" topLeftCell="A13">
      <selection activeCell="H29" sqref="H29"/>
      <pageMargins left="0.75" right="0.5" top="0.75" bottom="0.5" header="0.5" footer="0.5"/>
      <pageSetup scale="64" orientation="landscape" r:id="rId7"/>
      <headerFooter alignWithMargins="0"/>
    </customSheetView>
    <customSheetView guid="{560D4AFA-61E5-46C3-B0CD-D0EB3053A033}" scale="75" colorId="22" showPageBreaks="1" fitToPage="1" printArea="1" showRuler="0" topLeftCell="B10">
      <selection activeCell="H36" sqref="H36"/>
      <pageMargins left="0.75" right="0.5" top="0.75" bottom="0.5" header="0.5" footer="0.5"/>
      <pageSetup scale="64" orientation="landscape" r:id="rId8"/>
      <headerFooter alignWithMargins="0"/>
    </customSheetView>
  </customSheetViews>
  <phoneticPr fontId="0" type="noConversion"/>
  <pageMargins left="0.75" right="0.5" top="0.75" bottom="0.5" header="0.5" footer="0.5"/>
  <pageSetup scale="57" firstPageNumber="211" orientation="landscape" useFirstPageNumber="1" r:id="rId9"/>
  <headerFooter alignWithMargins="0"/>
  <legacy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34"/>
  <sheetViews>
    <sheetView view="pageBreakPreview" zoomScale="60" zoomScaleNormal="60" workbookViewId="0">
      <selection activeCell="A2" sqref="A2"/>
    </sheetView>
  </sheetViews>
  <sheetFormatPr defaultRowHeight="15"/>
  <cols>
    <col min="1" max="1" width="36" customWidth="1"/>
    <col min="2" max="2" width="9.33203125" customWidth="1"/>
    <col min="3" max="14" width="12.77734375" style="141" customWidth="1"/>
    <col min="15" max="32" width="12.77734375" customWidth="1"/>
  </cols>
  <sheetData>
    <row r="1" spans="1:37" ht="15.75">
      <c r="A1" s="1" t="str">
        <f>'Sources and Use'!A1</f>
        <v>Seniors First RFP: Kingsborough and Morris Houses</v>
      </c>
      <c r="M1" s="436"/>
      <c r="N1" s="436"/>
    </row>
    <row r="2" spans="1:37" ht="15.75">
      <c r="A2" s="1" t="str">
        <f>'Sources and Use'!A2</f>
        <v>Site:</v>
      </c>
      <c r="M2" s="436" t="str">
        <f>'Sources and Use'!C2</f>
        <v>Units:</v>
      </c>
      <c r="N2" s="436">
        <f>'Units &amp; Income'!B22</f>
        <v>0</v>
      </c>
    </row>
    <row r="3" spans="1:37" ht="15.75">
      <c r="A3" s="1"/>
    </row>
    <row r="4" spans="1:37" ht="15.75">
      <c r="A4" s="1"/>
    </row>
    <row r="5" spans="1:37" ht="15.75">
      <c r="A5" s="1"/>
    </row>
    <row r="6" spans="1:37" s="132" customFormat="1">
      <c r="B6" s="132" t="s">
        <v>178</v>
      </c>
      <c r="C6" s="146" t="s">
        <v>89</v>
      </c>
      <c r="D6" s="146" t="s">
        <v>90</v>
      </c>
      <c r="E6" s="146" t="s">
        <v>91</v>
      </c>
      <c r="F6" s="146" t="s">
        <v>92</v>
      </c>
      <c r="G6" s="146" t="s">
        <v>93</v>
      </c>
      <c r="H6" s="146" t="s">
        <v>94</v>
      </c>
      <c r="I6" s="146" t="s">
        <v>95</v>
      </c>
      <c r="J6" s="146" t="s">
        <v>96</v>
      </c>
      <c r="K6" s="146" t="s">
        <v>97</v>
      </c>
      <c r="L6" s="146" t="s">
        <v>98</v>
      </c>
      <c r="M6" s="146" t="s">
        <v>123</v>
      </c>
      <c r="N6" s="146" t="s">
        <v>124</v>
      </c>
      <c r="O6" s="146" t="s">
        <v>474</v>
      </c>
      <c r="P6" s="146" t="s">
        <v>475</v>
      </c>
      <c r="Q6" s="146" t="s">
        <v>476</v>
      </c>
      <c r="R6" s="146" t="s">
        <v>490</v>
      </c>
      <c r="S6" s="146" t="s">
        <v>491</v>
      </c>
      <c r="T6" s="146" t="s">
        <v>492</v>
      </c>
      <c r="U6" s="146" t="s">
        <v>493</v>
      </c>
      <c r="V6" s="146" t="s">
        <v>494</v>
      </c>
      <c r="W6" s="146" t="s">
        <v>495</v>
      </c>
      <c r="X6" s="146" t="s">
        <v>496</v>
      </c>
      <c r="Y6" s="146" t="s">
        <v>497</v>
      </c>
      <c r="Z6" s="146" t="s">
        <v>498</v>
      </c>
      <c r="AA6" s="146" t="s">
        <v>499</v>
      </c>
      <c r="AB6" s="146" t="s">
        <v>500</v>
      </c>
      <c r="AC6" s="146" t="s">
        <v>501</v>
      </c>
      <c r="AD6" s="146" t="s">
        <v>502</v>
      </c>
      <c r="AE6" s="146" t="s">
        <v>503</v>
      </c>
      <c r="AF6" s="146" t="s">
        <v>504</v>
      </c>
    </row>
    <row r="7" spans="1:37" s="132" customFormat="1">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row>
    <row r="8" spans="1:37" s="132" customFormat="1" ht="15.75">
      <c r="A8" s="145" t="s">
        <v>179</v>
      </c>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row>
    <row r="9" spans="1:37">
      <c r="A9" s="132" t="s">
        <v>132</v>
      </c>
      <c r="B9" s="144"/>
      <c r="C9" s="141">
        <f>Mort!D11</f>
        <v>0</v>
      </c>
      <c r="D9" s="141">
        <f>C9*(1+$B9)</f>
        <v>0</v>
      </c>
      <c r="E9" s="141">
        <f t="shared" ref="E9:Q9" si="0">D9*(1+$B9)</f>
        <v>0</v>
      </c>
      <c r="F9" s="141">
        <f t="shared" si="0"/>
        <v>0</v>
      </c>
      <c r="G9" s="141">
        <f t="shared" si="0"/>
        <v>0</v>
      </c>
      <c r="H9" s="141">
        <f t="shared" si="0"/>
        <v>0</v>
      </c>
      <c r="I9" s="141">
        <f t="shared" si="0"/>
        <v>0</v>
      </c>
      <c r="J9" s="141">
        <f t="shared" si="0"/>
        <v>0</v>
      </c>
      <c r="K9" s="141">
        <f t="shared" si="0"/>
        <v>0</v>
      </c>
      <c r="L9" s="141">
        <f t="shared" si="0"/>
        <v>0</v>
      </c>
      <c r="M9" s="141">
        <f t="shared" si="0"/>
        <v>0</v>
      </c>
      <c r="N9" s="141">
        <f t="shared" si="0"/>
        <v>0</v>
      </c>
      <c r="O9" s="141">
        <f t="shared" si="0"/>
        <v>0</v>
      </c>
      <c r="P9" s="141">
        <f t="shared" si="0"/>
        <v>0</v>
      </c>
      <c r="Q9" s="141">
        <f t="shared" si="0"/>
        <v>0</v>
      </c>
      <c r="R9" s="141">
        <f t="shared" ref="R9:AF9" si="1">Q9*(1+$B9)</f>
        <v>0</v>
      </c>
      <c r="S9" s="141">
        <f t="shared" si="1"/>
        <v>0</v>
      </c>
      <c r="T9" s="141">
        <f t="shared" si="1"/>
        <v>0</v>
      </c>
      <c r="U9" s="141">
        <f t="shared" si="1"/>
        <v>0</v>
      </c>
      <c r="V9" s="141">
        <f t="shared" si="1"/>
        <v>0</v>
      </c>
      <c r="W9" s="141">
        <f t="shared" si="1"/>
        <v>0</v>
      </c>
      <c r="X9" s="141">
        <f t="shared" si="1"/>
        <v>0</v>
      </c>
      <c r="Y9" s="141">
        <f t="shared" si="1"/>
        <v>0</v>
      </c>
      <c r="Z9" s="141">
        <f t="shared" si="1"/>
        <v>0</v>
      </c>
      <c r="AA9" s="141">
        <f t="shared" si="1"/>
        <v>0</v>
      </c>
      <c r="AB9" s="141">
        <f t="shared" si="1"/>
        <v>0</v>
      </c>
      <c r="AC9" s="141">
        <f t="shared" si="1"/>
        <v>0</v>
      </c>
      <c r="AD9" s="141">
        <f t="shared" si="1"/>
        <v>0</v>
      </c>
      <c r="AE9" s="141">
        <f t="shared" si="1"/>
        <v>0</v>
      </c>
      <c r="AF9" s="141">
        <f t="shared" si="1"/>
        <v>0</v>
      </c>
      <c r="AG9" s="36"/>
      <c r="AH9" s="36"/>
      <c r="AI9" s="36"/>
      <c r="AJ9" s="36"/>
      <c r="AK9" s="36"/>
    </row>
    <row r="10" spans="1:37">
      <c r="A10" s="132" t="s">
        <v>113</v>
      </c>
      <c r="B10" s="144"/>
      <c r="C10" s="141">
        <f>Mort!D13+Mort!D17</f>
        <v>0</v>
      </c>
      <c r="D10" s="141">
        <f>C10*(1+$B10)</f>
        <v>0</v>
      </c>
      <c r="E10" s="141">
        <f t="shared" ref="E10:Q10" si="2">D10*(1+$B10)</f>
        <v>0</v>
      </c>
      <c r="F10" s="141">
        <f t="shared" si="2"/>
        <v>0</v>
      </c>
      <c r="G10" s="141">
        <f t="shared" si="2"/>
        <v>0</v>
      </c>
      <c r="H10" s="141">
        <f t="shared" si="2"/>
        <v>0</v>
      </c>
      <c r="I10" s="141">
        <f t="shared" si="2"/>
        <v>0</v>
      </c>
      <c r="J10" s="141">
        <f t="shared" si="2"/>
        <v>0</v>
      </c>
      <c r="K10" s="141">
        <f t="shared" si="2"/>
        <v>0</v>
      </c>
      <c r="L10" s="141">
        <f t="shared" si="2"/>
        <v>0</v>
      </c>
      <c r="M10" s="141">
        <f t="shared" si="2"/>
        <v>0</v>
      </c>
      <c r="N10" s="141">
        <f t="shared" si="2"/>
        <v>0</v>
      </c>
      <c r="O10" s="141">
        <f t="shared" si="2"/>
        <v>0</v>
      </c>
      <c r="P10" s="141">
        <f t="shared" si="2"/>
        <v>0</v>
      </c>
      <c r="Q10" s="141">
        <f t="shared" si="2"/>
        <v>0</v>
      </c>
      <c r="R10" s="141">
        <f t="shared" ref="R10:AF10" si="3">Q10*(1+$B10)</f>
        <v>0</v>
      </c>
      <c r="S10" s="141">
        <f t="shared" si="3"/>
        <v>0</v>
      </c>
      <c r="T10" s="141">
        <f t="shared" si="3"/>
        <v>0</v>
      </c>
      <c r="U10" s="141">
        <f t="shared" si="3"/>
        <v>0</v>
      </c>
      <c r="V10" s="141">
        <f t="shared" si="3"/>
        <v>0</v>
      </c>
      <c r="W10" s="141">
        <f t="shared" si="3"/>
        <v>0</v>
      </c>
      <c r="X10" s="141">
        <f t="shared" si="3"/>
        <v>0</v>
      </c>
      <c r="Y10" s="141">
        <f t="shared" si="3"/>
        <v>0</v>
      </c>
      <c r="Z10" s="141">
        <f t="shared" si="3"/>
        <v>0</v>
      </c>
      <c r="AA10" s="141">
        <f t="shared" si="3"/>
        <v>0</v>
      </c>
      <c r="AB10" s="141">
        <f t="shared" si="3"/>
        <v>0</v>
      </c>
      <c r="AC10" s="141">
        <f t="shared" si="3"/>
        <v>0</v>
      </c>
      <c r="AD10" s="141">
        <f t="shared" si="3"/>
        <v>0</v>
      </c>
      <c r="AE10" s="141">
        <f t="shared" si="3"/>
        <v>0</v>
      </c>
      <c r="AF10" s="141">
        <f t="shared" si="3"/>
        <v>0</v>
      </c>
    </row>
    <row r="11" spans="1:37">
      <c r="A11" s="132" t="s">
        <v>130</v>
      </c>
      <c r="B11" s="144"/>
      <c r="C11" s="141">
        <f>Mort!D14+Mort!D18</f>
        <v>0</v>
      </c>
      <c r="D11" s="141">
        <f t="shared" ref="D11:Q13" si="4">C11*(1+$B11)</f>
        <v>0</v>
      </c>
      <c r="E11" s="141">
        <f t="shared" si="4"/>
        <v>0</v>
      </c>
      <c r="F11" s="141">
        <f t="shared" si="4"/>
        <v>0</v>
      </c>
      <c r="G11" s="141">
        <f t="shared" si="4"/>
        <v>0</v>
      </c>
      <c r="H11" s="141">
        <f t="shared" si="4"/>
        <v>0</v>
      </c>
      <c r="I11" s="141">
        <f t="shared" si="4"/>
        <v>0</v>
      </c>
      <c r="J11" s="141">
        <f t="shared" si="4"/>
        <v>0</v>
      </c>
      <c r="K11" s="141">
        <f t="shared" si="4"/>
        <v>0</v>
      </c>
      <c r="L11" s="141">
        <f t="shared" si="4"/>
        <v>0</v>
      </c>
      <c r="M11" s="141">
        <f t="shared" si="4"/>
        <v>0</v>
      </c>
      <c r="N11" s="141">
        <f t="shared" si="4"/>
        <v>0</v>
      </c>
      <c r="O11" s="141">
        <f t="shared" si="4"/>
        <v>0</v>
      </c>
      <c r="P11" s="141">
        <f t="shared" si="4"/>
        <v>0</v>
      </c>
      <c r="Q11" s="141">
        <f t="shared" si="4"/>
        <v>0</v>
      </c>
      <c r="R11" s="141">
        <f t="shared" ref="R11:AF11" si="5">Q11*(1+$B11)</f>
        <v>0</v>
      </c>
      <c r="S11" s="141">
        <f t="shared" si="5"/>
        <v>0</v>
      </c>
      <c r="T11" s="141">
        <f t="shared" si="5"/>
        <v>0</v>
      </c>
      <c r="U11" s="141">
        <f t="shared" si="5"/>
        <v>0</v>
      </c>
      <c r="V11" s="141">
        <f t="shared" si="5"/>
        <v>0</v>
      </c>
      <c r="W11" s="141">
        <f t="shared" si="5"/>
        <v>0</v>
      </c>
      <c r="X11" s="141">
        <f t="shared" si="5"/>
        <v>0</v>
      </c>
      <c r="Y11" s="141">
        <f t="shared" si="5"/>
        <v>0</v>
      </c>
      <c r="Z11" s="141">
        <f t="shared" si="5"/>
        <v>0</v>
      </c>
      <c r="AA11" s="141">
        <f t="shared" si="5"/>
        <v>0</v>
      </c>
      <c r="AB11" s="141">
        <f t="shared" si="5"/>
        <v>0</v>
      </c>
      <c r="AC11" s="141">
        <f t="shared" si="5"/>
        <v>0</v>
      </c>
      <c r="AD11" s="141">
        <f t="shared" si="5"/>
        <v>0</v>
      </c>
      <c r="AE11" s="141">
        <f t="shared" si="5"/>
        <v>0</v>
      </c>
      <c r="AF11" s="141">
        <f t="shared" si="5"/>
        <v>0</v>
      </c>
      <c r="AG11" s="36"/>
      <c r="AH11" s="36"/>
      <c r="AI11" s="36"/>
      <c r="AJ11" s="36"/>
      <c r="AK11" s="36"/>
    </row>
    <row r="12" spans="1:37">
      <c r="A12" s="132" t="s">
        <v>164</v>
      </c>
      <c r="B12" s="144"/>
      <c r="C12" s="141">
        <f>Mort!D15+Mort!D19</f>
        <v>0</v>
      </c>
      <c r="D12" s="141">
        <f t="shared" si="4"/>
        <v>0</v>
      </c>
      <c r="E12" s="141">
        <f t="shared" si="4"/>
        <v>0</v>
      </c>
      <c r="F12" s="141">
        <f t="shared" si="4"/>
        <v>0</v>
      </c>
      <c r="G12" s="141">
        <f t="shared" si="4"/>
        <v>0</v>
      </c>
      <c r="H12" s="141">
        <f t="shared" si="4"/>
        <v>0</v>
      </c>
      <c r="I12" s="141">
        <f t="shared" si="4"/>
        <v>0</v>
      </c>
      <c r="J12" s="141">
        <f t="shared" si="4"/>
        <v>0</v>
      </c>
      <c r="K12" s="141">
        <f t="shared" si="4"/>
        <v>0</v>
      </c>
      <c r="L12" s="141">
        <f t="shared" si="4"/>
        <v>0</v>
      </c>
      <c r="M12" s="141">
        <f t="shared" si="4"/>
        <v>0</v>
      </c>
      <c r="N12" s="141">
        <f t="shared" si="4"/>
        <v>0</v>
      </c>
      <c r="O12" s="141">
        <f t="shared" si="4"/>
        <v>0</v>
      </c>
      <c r="P12" s="141">
        <f t="shared" si="4"/>
        <v>0</v>
      </c>
      <c r="Q12" s="141">
        <f t="shared" si="4"/>
        <v>0</v>
      </c>
      <c r="R12" s="141">
        <f t="shared" ref="R12:AF12" si="6">Q12*(1+$B12)</f>
        <v>0</v>
      </c>
      <c r="S12" s="141">
        <f t="shared" si="6"/>
        <v>0</v>
      </c>
      <c r="T12" s="141">
        <f t="shared" si="6"/>
        <v>0</v>
      </c>
      <c r="U12" s="141">
        <f t="shared" si="6"/>
        <v>0</v>
      </c>
      <c r="V12" s="141">
        <f t="shared" si="6"/>
        <v>0</v>
      </c>
      <c r="W12" s="141">
        <f t="shared" si="6"/>
        <v>0</v>
      </c>
      <c r="X12" s="141">
        <f t="shared" si="6"/>
        <v>0</v>
      </c>
      <c r="Y12" s="141">
        <f t="shared" si="6"/>
        <v>0</v>
      </c>
      <c r="Z12" s="141">
        <f t="shared" si="6"/>
        <v>0</v>
      </c>
      <c r="AA12" s="141">
        <f t="shared" si="6"/>
        <v>0</v>
      </c>
      <c r="AB12" s="141">
        <f t="shared" si="6"/>
        <v>0</v>
      </c>
      <c r="AC12" s="141">
        <f t="shared" si="6"/>
        <v>0</v>
      </c>
      <c r="AD12" s="141">
        <f t="shared" si="6"/>
        <v>0</v>
      </c>
      <c r="AE12" s="141">
        <f t="shared" si="6"/>
        <v>0</v>
      </c>
      <c r="AF12" s="141">
        <f t="shared" si="6"/>
        <v>0</v>
      </c>
      <c r="AG12" s="36"/>
      <c r="AH12" s="36"/>
      <c r="AI12" s="36"/>
      <c r="AJ12" s="36"/>
      <c r="AK12" s="36"/>
    </row>
    <row r="13" spans="1:37">
      <c r="A13" s="132" t="s">
        <v>119</v>
      </c>
      <c r="B13" s="144"/>
      <c r="C13" s="141">
        <f>Mort!D16+Mort!D20</f>
        <v>0</v>
      </c>
      <c r="D13" s="141">
        <f t="shared" si="4"/>
        <v>0</v>
      </c>
      <c r="E13" s="141">
        <f t="shared" si="4"/>
        <v>0</v>
      </c>
      <c r="F13" s="141">
        <f t="shared" si="4"/>
        <v>0</v>
      </c>
      <c r="G13" s="141">
        <f t="shared" si="4"/>
        <v>0</v>
      </c>
      <c r="H13" s="141">
        <f t="shared" si="4"/>
        <v>0</v>
      </c>
      <c r="I13" s="141">
        <f t="shared" si="4"/>
        <v>0</v>
      </c>
      <c r="J13" s="141">
        <f t="shared" si="4"/>
        <v>0</v>
      </c>
      <c r="K13" s="141">
        <f t="shared" si="4"/>
        <v>0</v>
      </c>
      <c r="L13" s="141">
        <f t="shared" si="4"/>
        <v>0</v>
      </c>
      <c r="M13" s="141">
        <f t="shared" si="4"/>
        <v>0</v>
      </c>
      <c r="N13" s="141">
        <f t="shared" si="4"/>
        <v>0</v>
      </c>
      <c r="O13" s="141">
        <f t="shared" si="4"/>
        <v>0</v>
      </c>
      <c r="P13" s="141">
        <f t="shared" si="4"/>
        <v>0</v>
      </c>
      <c r="Q13" s="141">
        <f t="shared" si="4"/>
        <v>0</v>
      </c>
      <c r="R13" s="141">
        <f t="shared" ref="R13:AF13" si="7">Q13*(1+$B13)</f>
        <v>0</v>
      </c>
      <c r="S13" s="141">
        <f t="shared" si="7"/>
        <v>0</v>
      </c>
      <c r="T13" s="141">
        <f t="shared" si="7"/>
        <v>0</v>
      </c>
      <c r="U13" s="141">
        <f t="shared" si="7"/>
        <v>0</v>
      </c>
      <c r="V13" s="141">
        <f t="shared" si="7"/>
        <v>0</v>
      </c>
      <c r="W13" s="141">
        <f t="shared" si="7"/>
        <v>0</v>
      </c>
      <c r="X13" s="141">
        <f t="shared" si="7"/>
        <v>0</v>
      </c>
      <c r="Y13" s="141">
        <f t="shared" si="7"/>
        <v>0</v>
      </c>
      <c r="Z13" s="141">
        <f t="shared" si="7"/>
        <v>0</v>
      </c>
      <c r="AA13" s="141">
        <f t="shared" si="7"/>
        <v>0</v>
      </c>
      <c r="AB13" s="141">
        <f t="shared" si="7"/>
        <v>0</v>
      </c>
      <c r="AC13" s="141">
        <f t="shared" si="7"/>
        <v>0</v>
      </c>
      <c r="AD13" s="141">
        <f t="shared" si="7"/>
        <v>0</v>
      </c>
      <c r="AE13" s="141">
        <f t="shared" si="7"/>
        <v>0</v>
      </c>
      <c r="AF13" s="141">
        <f t="shared" si="7"/>
        <v>0</v>
      </c>
      <c r="AG13" s="36"/>
      <c r="AH13" s="36"/>
      <c r="AI13" s="36"/>
      <c r="AJ13" s="36"/>
      <c r="AK13" s="36"/>
    </row>
    <row r="14" spans="1:37" s="32" customFormat="1" ht="15.75">
      <c r="A14" s="115" t="s">
        <v>99</v>
      </c>
      <c r="C14" s="98">
        <f t="shared" ref="C14:N14" si="8">SUM(C9:C13)</f>
        <v>0</v>
      </c>
      <c r="D14" s="98">
        <f t="shared" si="8"/>
        <v>0</v>
      </c>
      <c r="E14" s="98">
        <f t="shared" si="8"/>
        <v>0</v>
      </c>
      <c r="F14" s="98">
        <f t="shared" si="8"/>
        <v>0</v>
      </c>
      <c r="G14" s="98">
        <f t="shared" si="8"/>
        <v>0</v>
      </c>
      <c r="H14" s="98">
        <f t="shared" si="8"/>
        <v>0</v>
      </c>
      <c r="I14" s="98">
        <f t="shared" si="8"/>
        <v>0</v>
      </c>
      <c r="J14" s="98">
        <f t="shared" si="8"/>
        <v>0</v>
      </c>
      <c r="K14" s="98">
        <f t="shared" si="8"/>
        <v>0</v>
      </c>
      <c r="L14" s="98">
        <f t="shared" si="8"/>
        <v>0</v>
      </c>
      <c r="M14" s="98">
        <f t="shared" si="8"/>
        <v>0</v>
      </c>
      <c r="N14" s="98">
        <f t="shared" si="8"/>
        <v>0</v>
      </c>
      <c r="O14" s="98">
        <f>SUM(O9:O13)</f>
        <v>0</v>
      </c>
      <c r="P14" s="98">
        <f>SUM(P9:P13)</f>
        <v>0</v>
      </c>
      <c r="Q14" s="98">
        <f>SUM(Q9:Q13)</f>
        <v>0</v>
      </c>
      <c r="R14" s="98">
        <f t="shared" ref="R14:AF14" si="9">SUM(R9:R13)</f>
        <v>0</v>
      </c>
      <c r="S14" s="98">
        <f t="shared" si="9"/>
        <v>0</v>
      </c>
      <c r="T14" s="98">
        <f t="shared" si="9"/>
        <v>0</v>
      </c>
      <c r="U14" s="98">
        <f t="shared" si="9"/>
        <v>0</v>
      </c>
      <c r="V14" s="98">
        <f t="shared" si="9"/>
        <v>0</v>
      </c>
      <c r="W14" s="98">
        <f t="shared" si="9"/>
        <v>0</v>
      </c>
      <c r="X14" s="98">
        <f t="shared" si="9"/>
        <v>0</v>
      </c>
      <c r="Y14" s="98">
        <f t="shared" si="9"/>
        <v>0</v>
      </c>
      <c r="Z14" s="98">
        <f t="shared" si="9"/>
        <v>0</v>
      </c>
      <c r="AA14" s="98">
        <f t="shared" si="9"/>
        <v>0</v>
      </c>
      <c r="AB14" s="98">
        <f t="shared" si="9"/>
        <v>0</v>
      </c>
      <c r="AC14" s="98">
        <f t="shared" si="9"/>
        <v>0</v>
      </c>
      <c r="AD14" s="98">
        <f t="shared" si="9"/>
        <v>0</v>
      </c>
      <c r="AE14" s="98">
        <f t="shared" si="9"/>
        <v>0</v>
      </c>
      <c r="AF14" s="98">
        <f t="shared" si="9"/>
        <v>0</v>
      </c>
    </row>
    <row r="15" spans="1:37">
      <c r="A15" s="132"/>
      <c r="O15" s="141"/>
      <c r="P15" s="141"/>
      <c r="Q15" s="141"/>
      <c r="R15" s="141"/>
      <c r="S15" s="141"/>
      <c r="T15" s="141"/>
      <c r="U15" s="141"/>
      <c r="V15" s="141"/>
      <c r="W15" s="141"/>
      <c r="X15" s="141"/>
      <c r="Y15" s="141"/>
      <c r="Z15" s="141"/>
      <c r="AA15" s="141"/>
      <c r="AB15" s="141"/>
      <c r="AC15" s="141"/>
      <c r="AD15" s="141"/>
      <c r="AE15" s="141"/>
      <c r="AF15" s="141"/>
    </row>
    <row r="16" spans="1:37" ht="15.75">
      <c r="A16" s="145" t="s">
        <v>180</v>
      </c>
      <c r="O16" s="141"/>
      <c r="P16" s="141"/>
      <c r="Q16" s="141"/>
      <c r="R16" s="141"/>
      <c r="S16" s="141"/>
      <c r="T16" s="141"/>
      <c r="U16" s="141"/>
      <c r="V16" s="141"/>
      <c r="W16" s="141"/>
      <c r="X16" s="141"/>
      <c r="Y16" s="141"/>
      <c r="Z16" s="141"/>
      <c r="AA16" s="141"/>
      <c r="AB16" s="141"/>
      <c r="AC16" s="141"/>
      <c r="AD16" s="141"/>
      <c r="AE16" s="141"/>
      <c r="AF16" s="141"/>
    </row>
    <row r="17" spans="1:32">
      <c r="A17" s="132" t="s">
        <v>100</v>
      </c>
      <c r="B17" s="144"/>
      <c r="C17" s="141">
        <f>Mort!D25+Mort!D26</f>
        <v>0</v>
      </c>
      <c r="D17" s="141">
        <f t="shared" ref="D17:Q18" si="10">C17*(1+$B17)</f>
        <v>0</v>
      </c>
      <c r="E17" s="141">
        <f t="shared" si="10"/>
        <v>0</v>
      </c>
      <c r="F17" s="141">
        <f t="shared" si="10"/>
        <v>0</v>
      </c>
      <c r="G17" s="141">
        <f t="shared" si="10"/>
        <v>0</v>
      </c>
      <c r="H17" s="141">
        <f t="shared" si="10"/>
        <v>0</v>
      </c>
      <c r="I17" s="141">
        <f t="shared" si="10"/>
        <v>0</v>
      </c>
      <c r="J17" s="141">
        <f t="shared" si="10"/>
        <v>0</v>
      </c>
      <c r="K17" s="141">
        <f t="shared" si="10"/>
        <v>0</v>
      </c>
      <c r="L17" s="141">
        <f t="shared" si="10"/>
        <v>0</v>
      </c>
      <c r="M17" s="141">
        <f t="shared" si="10"/>
        <v>0</v>
      </c>
      <c r="N17" s="141">
        <f t="shared" si="10"/>
        <v>0</v>
      </c>
      <c r="O17" s="141">
        <f t="shared" si="10"/>
        <v>0</v>
      </c>
      <c r="P17" s="141">
        <f t="shared" si="10"/>
        <v>0</v>
      </c>
      <c r="Q17" s="141">
        <f t="shared" si="10"/>
        <v>0</v>
      </c>
      <c r="R17" s="141">
        <f t="shared" ref="R17:AF17" si="11">Q17*(1+$B17)</f>
        <v>0</v>
      </c>
      <c r="S17" s="141">
        <f t="shared" si="11"/>
        <v>0</v>
      </c>
      <c r="T17" s="141">
        <f t="shared" si="11"/>
        <v>0</v>
      </c>
      <c r="U17" s="141">
        <f t="shared" si="11"/>
        <v>0</v>
      </c>
      <c r="V17" s="141">
        <f t="shared" si="11"/>
        <v>0</v>
      </c>
      <c r="W17" s="141">
        <f t="shared" si="11"/>
        <v>0</v>
      </c>
      <c r="X17" s="141">
        <f t="shared" si="11"/>
        <v>0</v>
      </c>
      <c r="Y17" s="141">
        <f t="shared" si="11"/>
        <v>0</v>
      </c>
      <c r="Z17" s="141">
        <f t="shared" si="11"/>
        <v>0</v>
      </c>
      <c r="AA17" s="141">
        <f t="shared" si="11"/>
        <v>0</v>
      </c>
      <c r="AB17" s="141">
        <f t="shared" si="11"/>
        <v>0</v>
      </c>
      <c r="AC17" s="141">
        <f t="shared" si="11"/>
        <v>0</v>
      </c>
      <c r="AD17" s="141">
        <f t="shared" si="11"/>
        <v>0</v>
      </c>
      <c r="AE17" s="141">
        <f t="shared" si="11"/>
        <v>0</v>
      </c>
      <c r="AF17" s="141">
        <f t="shared" si="11"/>
        <v>0</v>
      </c>
    </row>
    <row r="18" spans="1:32">
      <c r="A18" s="132" t="s">
        <v>101</v>
      </c>
      <c r="B18" s="144"/>
      <c r="C18" s="141">
        <f>Mort!D27</f>
        <v>0</v>
      </c>
      <c r="D18" s="141">
        <f t="shared" si="10"/>
        <v>0</v>
      </c>
      <c r="E18" s="141">
        <f t="shared" si="10"/>
        <v>0</v>
      </c>
      <c r="F18" s="141">
        <f t="shared" si="10"/>
        <v>0</v>
      </c>
      <c r="G18" s="141">
        <f t="shared" si="10"/>
        <v>0</v>
      </c>
      <c r="H18" s="141">
        <f t="shared" si="10"/>
        <v>0</v>
      </c>
      <c r="I18" s="141">
        <f t="shared" si="10"/>
        <v>0</v>
      </c>
      <c r="J18" s="141">
        <f t="shared" si="10"/>
        <v>0</v>
      </c>
      <c r="K18" s="141">
        <f t="shared" si="10"/>
        <v>0</v>
      </c>
      <c r="L18" s="141">
        <f t="shared" si="10"/>
        <v>0</v>
      </c>
      <c r="M18" s="141">
        <f t="shared" si="10"/>
        <v>0</v>
      </c>
      <c r="N18" s="141">
        <f t="shared" si="10"/>
        <v>0</v>
      </c>
      <c r="O18" s="141">
        <f t="shared" si="10"/>
        <v>0</v>
      </c>
      <c r="P18" s="141">
        <f t="shared" si="10"/>
        <v>0</v>
      </c>
      <c r="Q18" s="141">
        <f t="shared" si="10"/>
        <v>0</v>
      </c>
      <c r="R18" s="141">
        <f t="shared" ref="R18:AF18" si="12">Q18*(1+$B18)</f>
        <v>0</v>
      </c>
      <c r="S18" s="141">
        <f t="shared" si="12"/>
        <v>0</v>
      </c>
      <c r="T18" s="141">
        <f t="shared" si="12"/>
        <v>0</v>
      </c>
      <c r="U18" s="141">
        <f t="shared" si="12"/>
        <v>0</v>
      </c>
      <c r="V18" s="141">
        <f t="shared" si="12"/>
        <v>0</v>
      </c>
      <c r="W18" s="141">
        <f t="shared" si="12"/>
        <v>0</v>
      </c>
      <c r="X18" s="141">
        <f t="shared" si="12"/>
        <v>0</v>
      </c>
      <c r="Y18" s="141">
        <f t="shared" si="12"/>
        <v>0</v>
      </c>
      <c r="Z18" s="141">
        <f t="shared" si="12"/>
        <v>0</v>
      </c>
      <c r="AA18" s="141">
        <f t="shared" si="12"/>
        <v>0</v>
      </c>
      <c r="AB18" s="141">
        <f t="shared" si="12"/>
        <v>0</v>
      </c>
      <c r="AC18" s="141">
        <f t="shared" si="12"/>
        <v>0</v>
      </c>
      <c r="AD18" s="141">
        <f t="shared" si="12"/>
        <v>0</v>
      </c>
      <c r="AE18" s="141">
        <f t="shared" si="12"/>
        <v>0</v>
      </c>
      <c r="AF18" s="141">
        <f t="shared" si="12"/>
        <v>0</v>
      </c>
    </row>
    <row r="19" spans="1:32" s="32" customFormat="1" ht="15.75">
      <c r="A19" s="115" t="s">
        <v>31</v>
      </c>
      <c r="C19" s="98">
        <f t="shared" ref="C19:N19" si="13">SUM(C17:C18)</f>
        <v>0</v>
      </c>
      <c r="D19" s="98">
        <f t="shared" si="13"/>
        <v>0</v>
      </c>
      <c r="E19" s="98">
        <f t="shared" si="13"/>
        <v>0</v>
      </c>
      <c r="F19" s="98">
        <f t="shared" si="13"/>
        <v>0</v>
      </c>
      <c r="G19" s="98">
        <f t="shared" si="13"/>
        <v>0</v>
      </c>
      <c r="H19" s="98">
        <f t="shared" si="13"/>
        <v>0</v>
      </c>
      <c r="I19" s="98">
        <f t="shared" si="13"/>
        <v>0</v>
      </c>
      <c r="J19" s="98">
        <f t="shared" si="13"/>
        <v>0</v>
      </c>
      <c r="K19" s="98">
        <f t="shared" si="13"/>
        <v>0</v>
      </c>
      <c r="L19" s="98">
        <f t="shared" si="13"/>
        <v>0</v>
      </c>
      <c r="M19" s="98">
        <f t="shared" si="13"/>
        <v>0</v>
      </c>
      <c r="N19" s="98">
        <f t="shared" si="13"/>
        <v>0</v>
      </c>
      <c r="O19" s="98">
        <f>SUM(O17:O18)</f>
        <v>0</v>
      </c>
      <c r="P19" s="98">
        <f>SUM(P17:P18)</f>
        <v>0</v>
      </c>
      <c r="Q19" s="98">
        <f>SUM(Q17:Q18)</f>
        <v>0</v>
      </c>
      <c r="R19" s="98">
        <f t="shared" ref="R19:AF19" si="14">SUM(R17:R18)</f>
        <v>0</v>
      </c>
      <c r="S19" s="98">
        <f t="shared" si="14"/>
        <v>0</v>
      </c>
      <c r="T19" s="98">
        <f t="shared" si="14"/>
        <v>0</v>
      </c>
      <c r="U19" s="98">
        <f t="shared" si="14"/>
        <v>0</v>
      </c>
      <c r="V19" s="98">
        <f t="shared" si="14"/>
        <v>0</v>
      </c>
      <c r="W19" s="98">
        <f t="shared" si="14"/>
        <v>0</v>
      </c>
      <c r="X19" s="98">
        <f t="shared" si="14"/>
        <v>0</v>
      </c>
      <c r="Y19" s="98">
        <f t="shared" si="14"/>
        <v>0</v>
      </c>
      <c r="Z19" s="98">
        <f t="shared" si="14"/>
        <v>0</v>
      </c>
      <c r="AA19" s="98">
        <f t="shared" si="14"/>
        <v>0</v>
      </c>
      <c r="AB19" s="98">
        <f t="shared" si="14"/>
        <v>0</v>
      </c>
      <c r="AC19" s="98">
        <f t="shared" si="14"/>
        <v>0</v>
      </c>
      <c r="AD19" s="98">
        <f t="shared" si="14"/>
        <v>0</v>
      </c>
      <c r="AE19" s="98">
        <f t="shared" si="14"/>
        <v>0</v>
      </c>
      <c r="AF19" s="98">
        <f t="shared" si="14"/>
        <v>0</v>
      </c>
    </row>
    <row r="20" spans="1:32">
      <c r="A20" s="132"/>
      <c r="O20" s="141"/>
      <c r="P20" s="141"/>
      <c r="Q20" s="141"/>
      <c r="R20" s="141"/>
      <c r="S20" s="141"/>
      <c r="T20" s="141"/>
      <c r="U20" s="141"/>
      <c r="V20" s="141"/>
      <c r="W20" s="141"/>
      <c r="X20" s="141"/>
      <c r="Y20" s="141"/>
      <c r="Z20" s="141"/>
      <c r="AA20" s="141"/>
      <c r="AB20" s="141"/>
      <c r="AC20" s="141"/>
      <c r="AD20" s="141"/>
      <c r="AE20" s="141"/>
      <c r="AF20" s="141"/>
    </row>
    <row r="21" spans="1:32" s="32" customFormat="1" ht="15.75">
      <c r="A21" s="145" t="s">
        <v>102</v>
      </c>
      <c r="C21" s="98">
        <f t="shared" ref="C21:N21" si="15">C14-C19</f>
        <v>0</v>
      </c>
      <c r="D21" s="98">
        <f t="shared" si="15"/>
        <v>0</v>
      </c>
      <c r="E21" s="98">
        <f t="shared" si="15"/>
        <v>0</v>
      </c>
      <c r="F21" s="98">
        <f t="shared" si="15"/>
        <v>0</v>
      </c>
      <c r="G21" s="98">
        <f t="shared" si="15"/>
        <v>0</v>
      </c>
      <c r="H21" s="98">
        <f t="shared" si="15"/>
        <v>0</v>
      </c>
      <c r="I21" s="98">
        <f t="shared" si="15"/>
        <v>0</v>
      </c>
      <c r="J21" s="98">
        <f t="shared" si="15"/>
        <v>0</v>
      </c>
      <c r="K21" s="98">
        <f t="shared" si="15"/>
        <v>0</v>
      </c>
      <c r="L21" s="98">
        <f t="shared" si="15"/>
        <v>0</v>
      </c>
      <c r="M21" s="98">
        <f t="shared" si="15"/>
        <v>0</v>
      </c>
      <c r="N21" s="98">
        <f t="shared" si="15"/>
        <v>0</v>
      </c>
      <c r="O21" s="98">
        <f>O14-O19</f>
        <v>0</v>
      </c>
      <c r="P21" s="98">
        <f>P14-P19</f>
        <v>0</v>
      </c>
      <c r="Q21" s="98">
        <f>Q14-Q19</f>
        <v>0</v>
      </c>
      <c r="R21" s="98">
        <f t="shared" ref="R21:AF21" si="16">R14-R19</f>
        <v>0</v>
      </c>
      <c r="S21" s="98">
        <f t="shared" si="16"/>
        <v>0</v>
      </c>
      <c r="T21" s="98">
        <f t="shared" si="16"/>
        <v>0</v>
      </c>
      <c r="U21" s="98">
        <f t="shared" si="16"/>
        <v>0</v>
      </c>
      <c r="V21" s="98">
        <f t="shared" si="16"/>
        <v>0</v>
      </c>
      <c r="W21" s="98">
        <f t="shared" si="16"/>
        <v>0</v>
      </c>
      <c r="X21" s="98">
        <f t="shared" si="16"/>
        <v>0</v>
      </c>
      <c r="Y21" s="98">
        <f t="shared" si="16"/>
        <v>0</v>
      </c>
      <c r="Z21" s="98">
        <f t="shared" si="16"/>
        <v>0</v>
      </c>
      <c r="AA21" s="98">
        <f t="shared" si="16"/>
        <v>0</v>
      </c>
      <c r="AB21" s="98">
        <f t="shared" si="16"/>
        <v>0</v>
      </c>
      <c r="AC21" s="98">
        <f t="shared" si="16"/>
        <v>0</v>
      </c>
      <c r="AD21" s="98">
        <f t="shared" si="16"/>
        <v>0</v>
      </c>
      <c r="AE21" s="98">
        <f t="shared" si="16"/>
        <v>0</v>
      </c>
      <c r="AF21" s="98">
        <f t="shared" si="16"/>
        <v>0</v>
      </c>
    </row>
    <row r="22" spans="1:32" s="32" customFormat="1" ht="15.75">
      <c r="A22" s="145"/>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98"/>
    </row>
    <row r="23" spans="1:32" s="46" customFormat="1">
      <c r="A23" s="115" t="s">
        <v>48</v>
      </c>
      <c r="C23" s="142" t="e">
        <f>Mort!L36</f>
        <v>#DIV/0!</v>
      </c>
      <c r="D23" s="142" t="e">
        <f t="shared" ref="D23:N23" si="17">C23</f>
        <v>#DIV/0!</v>
      </c>
      <c r="E23" s="142" t="e">
        <f t="shared" si="17"/>
        <v>#DIV/0!</v>
      </c>
      <c r="F23" s="142" t="e">
        <f t="shared" si="17"/>
        <v>#DIV/0!</v>
      </c>
      <c r="G23" s="142" t="e">
        <f t="shared" si="17"/>
        <v>#DIV/0!</v>
      </c>
      <c r="H23" s="142" t="e">
        <f t="shared" si="17"/>
        <v>#DIV/0!</v>
      </c>
      <c r="I23" s="142" t="e">
        <f t="shared" si="17"/>
        <v>#DIV/0!</v>
      </c>
      <c r="J23" s="142" t="e">
        <f t="shared" si="17"/>
        <v>#DIV/0!</v>
      </c>
      <c r="K23" s="142" t="e">
        <f t="shared" si="17"/>
        <v>#DIV/0!</v>
      </c>
      <c r="L23" s="142" t="e">
        <f t="shared" si="17"/>
        <v>#DIV/0!</v>
      </c>
      <c r="M23" s="142" t="e">
        <f t="shared" si="17"/>
        <v>#DIV/0!</v>
      </c>
      <c r="N23" s="142" t="e">
        <f t="shared" si="17"/>
        <v>#DIV/0!</v>
      </c>
      <c r="O23" s="142" t="e">
        <f>N23</f>
        <v>#DIV/0!</v>
      </c>
      <c r="P23" s="142" t="e">
        <f>O23</f>
        <v>#DIV/0!</v>
      </c>
      <c r="Q23" s="142" t="e">
        <f>P23</f>
        <v>#DIV/0!</v>
      </c>
      <c r="R23" s="142" t="e">
        <f t="shared" ref="R23:AF23" si="18">Q23</f>
        <v>#DIV/0!</v>
      </c>
      <c r="S23" s="142" t="e">
        <f t="shared" si="18"/>
        <v>#DIV/0!</v>
      </c>
      <c r="T23" s="142" t="e">
        <f t="shared" si="18"/>
        <v>#DIV/0!</v>
      </c>
      <c r="U23" s="142" t="e">
        <f t="shared" si="18"/>
        <v>#DIV/0!</v>
      </c>
      <c r="V23" s="142" t="e">
        <f t="shared" si="18"/>
        <v>#DIV/0!</v>
      </c>
      <c r="W23" s="142" t="e">
        <f t="shared" si="18"/>
        <v>#DIV/0!</v>
      </c>
      <c r="X23" s="142" t="e">
        <f t="shared" si="18"/>
        <v>#DIV/0!</v>
      </c>
      <c r="Y23" s="142" t="e">
        <f t="shared" si="18"/>
        <v>#DIV/0!</v>
      </c>
      <c r="Z23" s="142" t="e">
        <f t="shared" si="18"/>
        <v>#DIV/0!</v>
      </c>
      <c r="AA23" s="142" t="e">
        <f t="shared" si="18"/>
        <v>#DIV/0!</v>
      </c>
      <c r="AB23" s="142" t="e">
        <f t="shared" si="18"/>
        <v>#DIV/0!</v>
      </c>
      <c r="AC23" s="142" t="e">
        <f t="shared" si="18"/>
        <v>#DIV/0!</v>
      </c>
      <c r="AD23" s="142" t="e">
        <f t="shared" si="18"/>
        <v>#DIV/0!</v>
      </c>
      <c r="AE23" s="142" t="e">
        <f t="shared" si="18"/>
        <v>#DIV/0!</v>
      </c>
      <c r="AF23" s="142" t="e">
        <f t="shared" si="18"/>
        <v>#DIV/0!</v>
      </c>
    </row>
    <row r="24" spans="1:32" s="32" customFormat="1" ht="15.75">
      <c r="A24" s="145"/>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8"/>
    </row>
    <row r="25" spans="1:32" s="32" customFormat="1" ht="15.75">
      <c r="A25" s="145" t="s">
        <v>103</v>
      </c>
      <c r="C25" s="98" t="e">
        <f t="shared" ref="C25:N25" si="19">C21-C23</f>
        <v>#DIV/0!</v>
      </c>
      <c r="D25" s="98" t="e">
        <f t="shared" si="19"/>
        <v>#DIV/0!</v>
      </c>
      <c r="E25" s="98" t="e">
        <f t="shared" si="19"/>
        <v>#DIV/0!</v>
      </c>
      <c r="F25" s="98" t="e">
        <f t="shared" si="19"/>
        <v>#DIV/0!</v>
      </c>
      <c r="G25" s="98" t="e">
        <f t="shared" si="19"/>
        <v>#DIV/0!</v>
      </c>
      <c r="H25" s="98" t="e">
        <f t="shared" si="19"/>
        <v>#DIV/0!</v>
      </c>
      <c r="I25" s="98" t="e">
        <f t="shared" si="19"/>
        <v>#DIV/0!</v>
      </c>
      <c r="J25" s="98" t="e">
        <f t="shared" si="19"/>
        <v>#DIV/0!</v>
      </c>
      <c r="K25" s="98" t="e">
        <f t="shared" si="19"/>
        <v>#DIV/0!</v>
      </c>
      <c r="L25" s="98" t="e">
        <f t="shared" si="19"/>
        <v>#DIV/0!</v>
      </c>
      <c r="M25" s="98" t="e">
        <f t="shared" si="19"/>
        <v>#DIV/0!</v>
      </c>
      <c r="N25" s="98" t="e">
        <f t="shared" si="19"/>
        <v>#DIV/0!</v>
      </c>
      <c r="O25" s="98" t="e">
        <f>O21-O23</f>
        <v>#DIV/0!</v>
      </c>
      <c r="P25" s="98" t="e">
        <f>P21-P23</f>
        <v>#DIV/0!</v>
      </c>
      <c r="Q25" s="98" t="e">
        <f>Q21-Q23</f>
        <v>#DIV/0!</v>
      </c>
      <c r="R25" s="98" t="e">
        <f t="shared" ref="R25:AF25" si="20">R21-R23</f>
        <v>#DIV/0!</v>
      </c>
      <c r="S25" s="98" t="e">
        <f t="shared" si="20"/>
        <v>#DIV/0!</v>
      </c>
      <c r="T25" s="98" t="e">
        <f t="shared" si="20"/>
        <v>#DIV/0!</v>
      </c>
      <c r="U25" s="98" t="e">
        <f t="shared" si="20"/>
        <v>#DIV/0!</v>
      </c>
      <c r="V25" s="98" t="e">
        <f t="shared" si="20"/>
        <v>#DIV/0!</v>
      </c>
      <c r="W25" s="98" t="e">
        <f t="shared" si="20"/>
        <v>#DIV/0!</v>
      </c>
      <c r="X25" s="98" t="e">
        <f t="shared" si="20"/>
        <v>#DIV/0!</v>
      </c>
      <c r="Y25" s="98" t="e">
        <f t="shared" si="20"/>
        <v>#DIV/0!</v>
      </c>
      <c r="Z25" s="98" t="e">
        <f t="shared" si="20"/>
        <v>#DIV/0!</v>
      </c>
      <c r="AA25" s="98" t="e">
        <f t="shared" si="20"/>
        <v>#DIV/0!</v>
      </c>
      <c r="AB25" s="98" t="e">
        <f t="shared" si="20"/>
        <v>#DIV/0!</v>
      </c>
      <c r="AC25" s="98" t="e">
        <f t="shared" si="20"/>
        <v>#DIV/0!</v>
      </c>
      <c r="AD25" s="98" t="e">
        <f t="shared" si="20"/>
        <v>#DIV/0!</v>
      </c>
      <c r="AE25" s="98" t="e">
        <f t="shared" si="20"/>
        <v>#DIV/0!</v>
      </c>
      <c r="AF25" s="98" t="e">
        <f t="shared" si="20"/>
        <v>#DIV/0!</v>
      </c>
    </row>
    <row r="26" spans="1:32" s="32" customFormat="1" ht="15.75">
      <c r="A26" s="145"/>
      <c r="C26" s="98"/>
      <c r="D26" s="98"/>
      <c r="E26" s="98"/>
      <c r="F26" s="98"/>
      <c r="G26" s="98"/>
      <c r="H26" s="98"/>
      <c r="I26" s="98"/>
      <c r="J26" s="98"/>
      <c r="K26" s="98"/>
      <c r="L26" s="98"/>
      <c r="M26" s="98"/>
      <c r="N26" s="98"/>
    </row>
    <row r="27" spans="1:32" s="32" customFormat="1" ht="15.75">
      <c r="A27" s="145" t="s">
        <v>477</v>
      </c>
      <c r="C27" s="98" t="e">
        <f>SUM(C25:Q25)</f>
        <v>#DIV/0!</v>
      </c>
      <c r="D27" s="98"/>
      <c r="E27" s="98"/>
      <c r="F27" s="98"/>
      <c r="G27" s="98"/>
      <c r="H27" s="98"/>
      <c r="I27" s="98"/>
      <c r="J27" s="98"/>
      <c r="K27" s="98"/>
      <c r="L27" s="98"/>
      <c r="M27" s="98"/>
      <c r="N27" s="98"/>
    </row>
    <row r="28" spans="1:32" s="32" customFormat="1" ht="15.75">
      <c r="C28" s="98"/>
      <c r="D28" s="98"/>
      <c r="E28" s="98"/>
      <c r="F28" s="98"/>
      <c r="G28" s="98"/>
      <c r="H28" s="98"/>
      <c r="I28" s="98"/>
      <c r="J28" s="98"/>
      <c r="K28" s="98"/>
      <c r="L28" s="98"/>
      <c r="M28" s="98"/>
      <c r="N28" s="98"/>
    </row>
    <row r="30" spans="1:32">
      <c r="A30" s="11"/>
      <c r="B30" s="140"/>
      <c r="C30" s="13"/>
      <c r="D30" s="140"/>
    </row>
    <row r="32" spans="1:32">
      <c r="A32" s="45"/>
    </row>
    <row r="33" spans="1:1">
      <c r="A33" s="48"/>
    </row>
    <row r="34" spans="1:1">
      <c r="A34" s="48"/>
    </row>
  </sheetData>
  <customSheetViews>
    <customSheetView guid="{25C4E7E7-1006-4A2D-BC83-AEE4ADF8A914}" scale="75" showPageBreaks="1" fitToPage="1" showRuler="0" topLeftCell="A10">
      <selection activeCell="H29" sqref="H29"/>
      <pageMargins left="0.75" right="0.5" top="0.75" bottom="0.5" header="0.5" footer="0.5"/>
      <pageSetup scale="51" orientation="landscape" r:id="rId1"/>
      <headerFooter alignWithMargins="0"/>
    </customSheetView>
    <customSheetView guid="{28F81D13-D146-4D67-8981-BA5D7A496326}" showPageBreaks="1" fitToPage="1" showRuler="0" topLeftCell="K6">
      <selection activeCell="O6" sqref="O6"/>
      <pageMargins left="0.75" right="0.75" top="1" bottom="1" header="0.5" footer="0.5"/>
      <pageSetup scale="50" orientation="landscape" horizontalDpi="1200" verticalDpi="1200" r:id="rId2"/>
      <headerFooter alignWithMargins="0"/>
    </customSheetView>
    <customSheetView guid="{AEA5979F-5357-4ED6-A6CA-1BB80F5C7A74}" showPageBreaks="1" fitToPage="1" showRuler="0">
      <selection activeCell="A5" sqref="A5"/>
      <pageMargins left="0.75" right="0.75" top="1" bottom="1" header="0.5" footer="0.5"/>
      <pageSetup scale="61" orientation="landscape" horizontalDpi="1200" verticalDpi="1200" r:id="rId3"/>
      <headerFooter alignWithMargins="0"/>
    </customSheetView>
    <customSheetView guid="{EB776EFC-3589-4DB5-BEAF-1E83D9703F9E}" fitToPage="1" showRuler="0" topLeftCell="A14">
      <selection activeCell="B28" sqref="B28"/>
      <pageMargins left="0.75" right="0.75" top="1" bottom="1" header="0.5" footer="0.5"/>
      <pageSetup scale="64" orientation="landscape" horizontalDpi="1200" verticalDpi="1200" r:id="rId4"/>
      <headerFooter alignWithMargins="0"/>
    </customSheetView>
    <customSheetView guid="{FBB4BF8E-8A9F-4E98-A6F9-5F9BF4C55C67}" showPageBreaks="1" fitToPage="1" showRuler="0" topLeftCell="A11">
      <pageMargins left="0.75" right="0.75" top="1" bottom="1" header="0.5" footer="0.5"/>
      <pageSetup scale="61" orientation="landscape" horizontalDpi="1200" verticalDpi="1200" r:id="rId5"/>
      <headerFooter alignWithMargins="0"/>
    </customSheetView>
    <customSheetView guid="{6EF643BE-69F3-424E-8A44-3890161370D4}" fitToPage="1" showRuler="0" topLeftCell="J1">
      <selection activeCell="N4" sqref="N4"/>
      <pageMargins left="0.75" right="0.75" top="1" bottom="1" header="0.5" footer="0.5"/>
      <pageSetup scale="61" orientation="landscape" horizontalDpi="1200" verticalDpi="1200" r:id="rId6"/>
      <headerFooter alignWithMargins="0"/>
    </customSheetView>
    <customSheetView guid="{1ECE83C7-A3CE-4F97-BFD3-498FF783C0D9}" scale="75" showPageBreaks="1" fitToPage="1" showRuler="0">
      <selection activeCell="H29" sqref="H29"/>
      <pageMargins left="0.75" right="0.5" top="0.75" bottom="0.5" header="0.5" footer="0.5"/>
      <pageSetup scale="51" orientation="landscape" r:id="rId7"/>
      <headerFooter alignWithMargins="0"/>
    </customSheetView>
    <customSheetView guid="{560D4AFA-61E5-46C3-B0CD-D0EB3053A033}" scale="75" showPageBreaks="1" fitToPage="1" showRuler="0">
      <selection activeCell="C9" sqref="C9"/>
      <pageMargins left="0.75" right="0.5" top="0.75" bottom="0.5" header="0.5" footer="0.5"/>
      <pageSetup scale="51" orientation="landscape" r:id="rId8"/>
      <headerFooter alignWithMargins="0"/>
    </customSheetView>
  </customSheetViews>
  <phoneticPr fontId="0" type="noConversion"/>
  <pageMargins left="0.75" right="0.5" top="0.75" bottom="0.5" header="0.5" footer="0.5"/>
  <pageSetup scale="39" firstPageNumber="212" fitToWidth="2" orientation="landscape" useFirstPageNumber="1" r:id="rId9"/>
  <headerFooter alignWithMargins="0"/>
  <colBreaks count="1" manualBreakCount="1">
    <brk id="17" max="1048575" man="1"/>
  </colBreaks>
  <ignoredErrors>
    <ignoredError sqref="C23:Q23 C25:Q25 C27" evalError="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76"/>
  <sheetViews>
    <sheetView zoomScale="60" zoomScaleNormal="75" workbookViewId="0">
      <selection activeCell="A2" sqref="A2"/>
    </sheetView>
  </sheetViews>
  <sheetFormatPr defaultRowHeight="15"/>
  <cols>
    <col min="1" max="1" width="38.44140625" customWidth="1"/>
    <col min="2" max="2" width="19.5546875" style="405" bestFit="1" customWidth="1"/>
    <col min="3" max="3" width="15.109375" style="228" bestFit="1" customWidth="1"/>
    <col min="4" max="4" width="13.5546875" customWidth="1"/>
    <col min="5" max="5" width="6.21875" customWidth="1"/>
    <col min="6" max="6" width="23.6640625" customWidth="1"/>
    <col min="7" max="7" width="11.44140625" customWidth="1"/>
    <col min="8" max="8" width="13.6640625" customWidth="1"/>
  </cols>
  <sheetData>
    <row r="1" spans="1:8" ht="15.75">
      <c r="A1" s="32" t="str">
        <f>'Sources and Use'!A1</f>
        <v>Seniors First RFP: Kingsborough and Morris Houses</v>
      </c>
      <c r="B1" s="404"/>
      <c r="G1" s="438"/>
      <c r="H1" s="438"/>
    </row>
    <row r="2" spans="1:8" ht="15.75">
      <c r="A2" s="32" t="str">
        <f>'Sources and Use'!A2</f>
        <v>Site:</v>
      </c>
      <c r="B2" s="404"/>
      <c r="G2" s="438" t="str">
        <f>'Sources and Use'!C2</f>
        <v>Units:</v>
      </c>
      <c r="H2" s="437">
        <f>'Units &amp; Income'!B22</f>
        <v>0</v>
      </c>
    </row>
    <row r="4" spans="1:8" ht="15.75">
      <c r="A4" s="32" t="s">
        <v>239</v>
      </c>
    </row>
    <row r="5" spans="1:8" ht="15.75" thickBot="1">
      <c r="A5" s="439" t="s">
        <v>240</v>
      </c>
      <c r="B5" s="406"/>
      <c r="C5"/>
    </row>
    <row r="6" spans="1:8" ht="17.25" thickTop="1" thickBot="1">
      <c r="B6" s="404"/>
      <c r="F6" s="622" t="s">
        <v>403</v>
      </c>
      <c r="G6" s="623"/>
      <c r="H6" s="662"/>
    </row>
    <row r="7" spans="1:8" ht="16.5" thickTop="1">
      <c r="A7" s="408"/>
      <c r="B7" s="409" t="s">
        <v>226</v>
      </c>
      <c r="C7" s="410" t="s">
        <v>225</v>
      </c>
      <c r="D7" s="411" t="s">
        <v>227</v>
      </c>
      <c r="F7" s="414" t="s">
        <v>230</v>
      </c>
      <c r="G7" s="184"/>
      <c r="H7" s="657" t="e">
        <f>H6/H2</f>
        <v>#DIV/0!</v>
      </c>
    </row>
    <row r="8" spans="1:8">
      <c r="A8" s="412" t="str">
        <f>'Devel. Bud'!A6</f>
        <v>Acquisition Cost</v>
      </c>
      <c r="B8" s="397" t="s">
        <v>228</v>
      </c>
      <c r="C8" s="365">
        <f>'Devel. Bud'!D6</f>
        <v>0</v>
      </c>
      <c r="D8" s="626"/>
      <c r="F8" s="414" t="s">
        <v>231</v>
      </c>
      <c r="G8" s="184"/>
      <c r="H8" s="424" t="e">
        <f>('Devel. Bud'!D11)/'Devel. Bud'!D15</f>
        <v>#DIV/0!</v>
      </c>
    </row>
    <row r="9" spans="1:8">
      <c r="A9" s="414"/>
      <c r="B9" s="397"/>
      <c r="C9" s="365"/>
      <c r="D9" s="413"/>
      <c r="F9" s="414" t="s">
        <v>232</v>
      </c>
      <c r="G9" s="184"/>
      <c r="H9" s="425" t="e">
        <f>H7-H8</f>
        <v>#DIV/0!</v>
      </c>
    </row>
    <row r="10" spans="1:8">
      <c r="A10" s="412" t="str">
        <f>'Devel. Bud'!A8</f>
        <v>Construction Cost</v>
      </c>
      <c r="B10" s="397"/>
      <c r="C10" s="365"/>
      <c r="D10" s="413"/>
      <c r="F10" s="426" t="s">
        <v>233</v>
      </c>
      <c r="G10" s="427"/>
      <c r="H10" s="428" t="e">
        <f ca="1">('Sources and Use'!B7-'Sources and Use'!B20)/'Sources and Use'!B7</f>
        <v>#DIV/0!</v>
      </c>
    </row>
    <row r="11" spans="1:8">
      <c r="A11" s="412" t="str">
        <f>'Devel. Bud'!A9</f>
        <v xml:space="preserve">Contractor Price </v>
      </c>
      <c r="B11" s="397"/>
      <c r="C11" s="365"/>
      <c r="D11" s="413"/>
    </row>
    <row r="12" spans="1:8" ht="15.75" thickBot="1">
      <c r="A12" s="414" t="str">
        <f>'Devel. Bud'!A10</f>
        <v>Residential</v>
      </c>
      <c r="B12" s="397" t="s">
        <v>229</v>
      </c>
      <c r="C12" s="365">
        <f>'Devel. Bud'!D10</f>
        <v>0</v>
      </c>
      <c r="D12" s="624"/>
    </row>
    <row r="13" spans="1:8" ht="15.75" thickTop="1">
      <c r="A13" s="414" t="str">
        <f>'Devel. Bud'!A11</f>
        <v>Commercial Space</v>
      </c>
      <c r="B13" s="655" t="s">
        <v>228</v>
      </c>
      <c r="C13" s="365">
        <f>'Devel. Bud'!D11</f>
        <v>0</v>
      </c>
      <c r="D13" s="625"/>
      <c r="F13" s="408" t="s">
        <v>480</v>
      </c>
      <c r="G13" s="658"/>
      <c r="H13" s="659">
        <f>D76</f>
        <v>0</v>
      </c>
    </row>
    <row r="14" spans="1:8">
      <c r="A14" s="414" t="str">
        <f>'Devel. Bud'!A12</f>
        <v>Community Space</v>
      </c>
      <c r="B14" s="655" t="s">
        <v>229</v>
      </c>
      <c r="C14" s="365">
        <f>'Devel. Bud'!D12</f>
        <v>0</v>
      </c>
      <c r="D14" s="624"/>
      <c r="F14" s="447" t="s">
        <v>479</v>
      </c>
      <c r="G14" s="184"/>
      <c r="H14" s="660" t="e">
        <f>H13/H6</f>
        <v>#DIV/0!</v>
      </c>
    </row>
    <row r="15" spans="1:8">
      <c r="A15" s="414" t="str">
        <f>'Devel. Bud'!A13</f>
        <v>Parking</v>
      </c>
      <c r="B15" s="655" t="s">
        <v>228</v>
      </c>
      <c r="C15" s="365">
        <f>'Devel. Bud'!D13</f>
        <v>0</v>
      </c>
      <c r="D15" s="625"/>
      <c r="F15" s="414" t="s">
        <v>237</v>
      </c>
      <c r="G15" s="661"/>
      <c r="H15" s="415">
        <f>H13*G15</f>
        <v>0</v>
      </c>
    </row>
    <row r="16" spans="1:8">
      <c r="A16" s="414" t="str">
        <f>'Devel. Bud'!A14</f>
        <v>Contingency</v>
      </c>
      <c r="B16" s="655" t="s">
        <v>229</v>
      </c>
      <c r="C16" s="365">
        <f>'Devel. Bud'!D14</f>
        <v>0</v>
      </c>
      <c r="D16" s="624"/>
      <c r="F16" s="414" t="s">
        <v>234</v>
      </c>
      <c r="G16" s="559"/>
      <c r="H16" s="429">
        <f>H15*G16</f>
        <v>0</v>
      </c>
    </row>
    <row r="17" spans="1:8">
      <c r="A17" s="414"/>
      <c r="B17" s="397"/>
      <c r="C17" s="365"/>
      <c r="D17" s="415"/>
      <c r="F17" s="414" t="s">
        <v>235</v>
      </c>
      <c r="G17" s="407"/>
      <c r="H17" s="429">
        <f>H16*G17</f>
        <v>0</v>
      </c>
    </row>
    <row r="18" spans="1:8">
      <c r="A18" s="414"/>
      <c r="B18" s="397"/>
      <c r="C18" s="365"/>
      <c r="D18" s="415"/>
      <c r="F18" s="426" t="s">
        <v>236</v>
      </c>
      <c r="G18" s="427"/>
      <c r="H18" s="423">
        <f>H17*10</f>
        <v>0</v>
      </c>
    </row>
    <row r="19" spans="1:8">
      <c r="A19" s="412" t="str">
        <f>'Devel. Bud'!A15</f>
        <v>Total Hard Cost</v>
      </c>
      <c r="B19" s="397"/>
      <c r="C19" s="416">
        <f>'Devel. Bud'!D15</f>
        <v>0</v>
      </c>
      <c r="D19" s="417">
        <f>SUM(D12:D18)</f>
        <v>0</v>
      </c>
    </row>
    <row r="20" spans="1:8">
      <c r="A20" s="414"/>
      <c r="B20" s="397"/>
      <c r="C20" s="365"/>
      <c r="D20" s="413"/>
    </row>
    <row r="21" spans="1:8">
      <c r="A21" s="414"/>
      <c r="B21" s="397"/>
      <c r="C21" s="365"/>
      <c r="D21" s="413"/>
    </row>
    <row r="22" spans="1:8">
      <c r="A22" s="412" t="str">
        <f>'Devel. Bud'!A18</f>
        <v>Soft Cost</v>
      </c>
      <c r="B22" s="397"/>
      <c r="C22" s="365"/>
      <c r="D22" s="413"/>
    </row>
    <row r="23" spans="1:8">
      <c r="A23" s="414"/>
      <c r="B23" s="397"/>
      <c r="C23" s="365"/>
      <c r="D23" s="413"/>
    </row>
    <row r="24" spans="1:8">
      <c r="A24" s="414" t="str">
        <f>'Devel. Bud'!A20</f>
        <v>Borrower's Legal</v>
      </c>
      <c r="B24" s="397" t="s">
        <v>229</v>
      </c>
      <c r="C24" s="365">
        <f>'Devel. Bud'!D20</f>
        <v>0</v>
      </c>
      <c r="D24" s="624"/>
    </row>
    <row r="25" spans="1:8">
      <c r="A25" s="414" t="str">
        <f>'Devel. Bud'!A21</f>
        <v>Borrower's Engineer/Architect Fees</v>
      </c>
      <c r="B25" s="397" t="s">
        <v>229</v>
      </c>
      <c r="C25" s="365">
        <f>'Devel. Bud'!D21</f>
        <v>0</v>
      </c>
      <c r="D25" s="624"/>
    </row>
    <row r="26" spans="1:8">
      <c r="A26" s="414" t="str">
        <f>'Devel. Bud'!A22</f>
        <v>Accounting &amp; Cost Certification</v>
      </c>
      <c r="B26" s="397" t="s">
        <v>229</v>
      </c>
      <c r="C26" s="365">
        <f>'Devel. Bud'!D22</f>
        <v>0</v>
      </c>
      <c r="D26" s="624"/>
    </row>
    <row r="27" spans="1:8">
      <c r="A27" s="414" t="str">
        <f>'Devel. Bud'!A23</f>
        <v>Housing/Development Consultant</v>
      </c>
      <c r="B27" s="397" t="s">
        <v>229</v>
      </c>
      <c r="C27" s="365">
        <f>'Devel. Bud'!D23</f>
        <v>0</v>
      </c>
      <c r="D27" s="624"/>
    </row>
    <row r="28" spans="1:8">
      <c r="A28" s="414" t="str">
        <f>'Devel. Bud'!A24</f>
        <v>Bank's Engineer</v>
      </c>
      <c r="B28" s="397" t="s">
        <v>229</v>
      </c>
      <c r="C28" s="365">
        <f>'Devel. Bud'!D24</f>
        <v>0</v>
      </c>
      <c r="D28" s="624"/>
    </row>
    <row r="29" spans="1:8">
      <c r="A29" s="414" t="str">
        <f>'Devel. Bud'!A25</f>
        <v>Bank Legal</v>
      </c>
      <c r="B29" s="397" t="s">
        <v>229</v>
      </c>
      <c r="C29" s="365">
        <f>'Devel. Bud'!D25</f>
        <v>0</v>
      </c>
      <c r="D29" s="624"/>
    </row>
    <row r="30" spans="1:8">
      <c r="A30" s="414" t="str">
        <f>'Devel. Bud'!A26</f>
        <v>Permits and expediting</v>
      </c>
      <c r="B30" s="397" t="s">
        <v>229</v>
      </c>
      <c r="C30" s="365">
        <f>'Devel. Bud'!D26</f>
        <v>0</v>
      </c>
      <c r="D30" s="624"/>
    </row>
    <row r="31" spans="1:8">
      <c r="A31" s="414" t="str">
        <f>'Devel. Bud'!A27</f>
        <v>Environmental Phase I &amp; II</v>
      </c>
      <c r="B31" s="397" t="s">
        <v>229</v>
      </c>
      <c r="C31" s="365">
        <f>'Devel. Bud'!D27</f>
        <v>0</v>
      </c>
      <c r="D31" s="624"/>
    </row>
    <row r="32" spans="1:8">
      <c r="A32" s="414" t="str">
        <f>'Devel. Bud'!A28</f>
        <v>CEQR</v>
      </c>
      <c r="B32" s="397" t="s">
        <v>229</v>
      </c>
      <c r="C32" s="365">
        <f>'Devel. Bud'!D28</f>
        <v>0</v>
      </c>
      <c r="D32" s="624"/>
    </row>
    <row r="33" spans="1:6">
      <c r="A33" s="414" t="str">
        <f>'Devel. Bud'!A29</f>
        <v>Borings</v>
      </c>
      <c r="B33" s="397" t="s">
        <v>229</v>
      </c>
      <c r="C33" s="365">
        <f>'Devel. Bud'!D29</f>
        <v>0</v>
      </c>
      <c r="D33" s="624"/>
    </row>
    <row r="34" spans="1:6">
      <c r="A34" s="414" t="str">
        <f>'Devel. Bud'!A30</f>
        <v>Survey</v>
      </c>
      <c r="B34" s="397" t="s">
        <v>229</v>
      </c>
      <c r="C34" s="365">
        <f>'Devel. Bud'!D30</f>
        <v>0</v>
      </c>
      <c r="D34" s="624"/>
    </row>
    <row r="35" spans="1:6">
      <c r="A35" s="414" t="str">
        <f>'Devel. Bud'!A31</f>
        <v>Geotechnical</v>
      </c>
      <c r="B35" s="397" t="s">
        <v>229</v>
      </c>
      <c r="C35" s="365">
        <f>'Devel. Bud'!D31</f>
        <v>0</v>
      </c>
      <c r="D35" s="624"/>
    </row>
    <row r="36" spans="1:6">
      <c r="A36" s="414" t="str">
        <f>'Devel. Bud'!A32</f>
        <v>Title Insurance</v>
      </c>
      <c r="B36" s="397" t="s">
        <v>229</v>
      </c>
      <c r="C36" s="365">
        <f>'Devel. Bud'!D32</f>
        <v>0</v>
      </c>
      <c r="D36" s="624"/>
    </row>
    <row r="37" spans="1:6">
      <c r="A37" s="414" t="str">
        <f>'Devel. Bud'!A33</f>
        <v xml:space="preserve">Appraisal </v>
      </c>
      <c r="B37" s="397" t="s">
        <v>228</v>
      </c>
      <c r="C37" s="365">
        <f>'Devel. Bud'!D34</f>
        <v>0</v>
      </c>
      <c r="D37" s="625"/>
    </row>
    <row r="38" spans="1:6">
      <c r="A38" s="412" t="str">
        <f>'Devel. Bud'!A35</f>
        <v>Subtotal</v>
      </c>
      <c r="B38" s="397"/>
      <c r="C38" s="416">
        <f>'Devel. Bud'!D35</f>
        <v>0</v>
      </c>
      <c r="D38" s="417">
        <f>SUM(D24:D37)</f>
        <v>0</v>
      </c>
      <c r="F38" s="524"/>
    </row>
    <row r="39" spans="1:6">
      <c r="A39" s="414"/>
      <c r="B39" s="397"/>
      <c r="C39" s="365"/>
      <c r="D39" s="413"/>
    </row>
    <row r="40" spans="1:6" ht="15.75">
      <c r="A40" s="418" t="str">
        <f>'Devel. Bud'!A37</f>
        <v>Financing Fees (Please maintain links to original calculations and note any changes)</v>
      </c>
      <c r="B40" s="397"/>
      <c r="C40" s="365"/>
      <c r="D40" s="413"/>
    </row>
    <row r="41" spans="1:6">
      <c r="A41" s="414" t="str">
        <f>'Devel. Bud'!A38</f>
        <v>Upfront L/C Fee</v>
      </c>
      <c r="B41" s="397" t="s">
        <v>229</v>
      </c>
      <c r="C41" s="365" t="e">
        <f ca="1">'Devel. Bud'!D38</f>
        <v>#DIV/0!</v>
      </c>
      <c r="D41" s="624"/>
    </row>
    <row r="42" spans="1:6">
      <c r="A42" s="414" t="str">
        <f>'Devel. Bud'!A39</f>
        <v>Annual L/C Fee</v>
      </c>
      <c r="B42" s="397" t="s">
        <v>229</v>
      </c>
      <c r="C42" s="365" t="e">
        <f ca="1">'Devel. Bud'!D39</f>
        <v>#DIV/0!</v>
      </c>
      <c r="D42" s="624"/>
    </row>
    <row r="43" spans="1:6">
      <c r="A43" s="414" t="str">
        <f>'Devel. Bud'!A40</f>
        <v>HDC Fee (if applicable)</v>
      </c>
      <c r="B43" s="397" t="s">
        <v>228</v>
      </c>
      <c r="C43" s="365" t="e">
        <f ca="1">'Devel. Bud'!D40</f>
        <v>#DIV/0!</v>
      </c>
      <c r="D43" s="625"/>
    </row>
    <row r="44" spans="1:6">
      <c r="A44" s="414" t="str">
        <f>'Devel. Bud'!A42</f>
        <v>Costs of Issuance</v>
      </c>
      <c r="B44" s="397" t="s">
        <v>228</v>
      </c>
      <c r="C44" s="365" t="e">
        <f ca="1">'Devel. Bud'!D42</f>
        <v>#DIV/0!</v>
      </c>
      <c r="D44" s="624"/>
    </row>
    <row r="45" spans="1:6">
      <c r="A45" s="414" t="str">
        <f>'Devel. Bud'!A43</f>
        <v>HPD Fee (if applicable)</v>
      </c>
      <c r="B45" s="397" t="s">
        <v>228</v>
      </c>
      <c r="C45" s="365">
        <f>'Devel. Bud'!D43</f>
        <v>0</v>
      </c>
      <c r="D45" s="625"/>
    </row>
    <row r="46" spans="1:6">
      <c r="A46" s="414" t="str">
        <f>'Devel. Bud'!A44</f>
        <v>Interest Rate Cap (estimate)</v>
      </c>
      <c r="B46" s="397" t="s">
        <v>228</v>
      </c>
      <c r="C46" s="365">
        <f>'Devel. Bud'!D44</f>
        <v>0</v>
      </c>
      <c r="D46" s="625"/>
    </row>
    <row r="47" spans="1:6">
      <c r="A47" s="447" t="str">
        <f>'Devel. Bud'!A45</f>
        <v>Tax Exemption/Abatement Fees &amp; Consultant</v>
      </c>
      <c r="B47" s="397" t="s">
        <v>229</v>
      </c>
      <c r="C47" s="365">
        <f>'Devel. Bud'!D45</f>
        <v>0</v>
      </c>
      <c r="D47" s="625"/>
    </row>
    <row r="48" spans="1:6">
      <c r="A48" s="414" t="str">
        <f>'Devel. Bud'!A46</f>
        <v>LIHTC Application Fee</v>
      </c>
      <c r="B48" s="397" t="s">
        <v>228</v>
      </c>
      <c r="C48" s="365">
        <f>'Devel. Bud'!D46</f>
        <v>0</v>
      </c>
      <c r="D48" s="625"/>
    </row>
    <row r="49" spans="1:4">
      <c r="A49" s="414" t="str">
        <f>'Devel. Bud'!A47</f>
        <v>Non Profit Sponsor</v>
      </c>
      <c r="B49" s="397" t="s">
        <v>229</v>
      </c>
      <c r="C49" s="365">
        <f>'Devel. Bud'!D47</f>
        <v>0</v>
      </c>
      <c r="D49" s="625"/>
    </row>
    <row r="50" spans="1:4">
      <c r="A50" s="419" t="str">
        <f>'Devel. Bud'!A49</f>
        <v>Subtotal</v>
      </c>
      <c r="B50" s="420"/>
      <c r="C50" s="416" t="e">
        <f ca="1">'Devel. Bud'!D49</f>
        <v>#DIV/0!</v>
      </c>
      <c r="D50" s="458">
        <f>SUM(D41:D49)</f>
        <v>0</v>
      </c>
    </row>
    <row r="51" spans="1:4">
      <c r="A51" s="414"/>
      <c r="B51" s="397"/>
      <c r="C51" s="365"/>
      <c r="D51" s="413"/>
    </row>
    <row r="52" spans="1:4" ht="15.75">
      <c r="A52" s="418" t="str">
        <f>'Devel. Bud'!A51</f>
        <v xml:space="preserve">Carrying Costs </v>
      </c>
      <c r="B52" s="397"/>
      <c r="C52" s="365"/>
      <c r="D52" s="413"/>
    </row>
    <row r="53" spans="1:4">
      <c r="A53" s="414" t="str">
        <f>'Devel. Bud'!A52</f>
        <v>Construction Interest</v>
      </c>
      <c r="B53" s="397" t="s">
        <v>229</v>
      </c>
      <c r="C53" s="365" t="e">
        <f ca="1">'Devel. Bud'!D52</f>
        <v>#DIV/0!</v>
      </c>
      <c r="D53" s="624"/>
    </row>
    <row r="54" spans="1:4">
      <c r="A54" s="414" t="str">
        <f>'Devel. Bud'!A53</f>
        <v>Negative Arbitrage</v>
      </c>
      <c r="B54" s="397" t="s">
        <v>228</v>
      </c>
      <c r="C54" s="365" t="e">
        <f ca="1">'Devel. Bud'!D53</f>
        <v>#DIV/0!</v>
      </c>
      <c r="D54" s="624"/>
    </row>
    <row r="55" spans="1:4">
      <c r="A55" s="414" t="str">
        <f>'Devel. Bud'!A54</f>
        <v>Mortgage Recorting Tax</v>
      </c>
      <c r="B55" s="397" t="s">
        <v>228</v>
      </c>
      <c r="C55" s="365">
        <f>'Devel. Bud'!D54</f>
        <v>0</v>
      </c>
      <c r="D55" s="625"/>
    </row>
    <row r="56" spans="1:4">
      <c r="A56" s="414" t="str">
        <f>'Devel. Bud'!A55</f>
        <v>Water/Sewer &amp; Real Estate Taxes</v>
      </c>
      <c r="B56" s="397" t="s">
        <v>229</v>
      </c>
      <c r="C56" s="365">
        <f>'Devel. Bud'!D55</f>
        <v>0</v>
      </c>
      <c r="D56" s="624"/>
    </row>
    <row r="57" spans="1:4">
      <c r="A57" s="414" t="str">
        <f>'Devel. Bud'!A56</f>
        <v>Utilities</v>
      </c>
      <c r="B57" s="397" t="s">
        <v>229</v>
      </c>
      <c r="C57" s="365">
        <f>'Devel. Bud'!D56</f>
        <v>0</v>
      </c>
      <c r="D57" s="624"/>
    </row>
    <row r="58" spans="1:4">
      <c r="A58" s="414" t="str">
        <f>'Devel. Bud'!A57</f>
        <v>Insurance</v>
      </c>
      <c r="B58" s="397" t="s">
        <v>229</v>
      </c>
      <c r="C58" s="365">
        <f>'Devel. Bud'!D57</f>
        <v>0</v>
      </c>
      <c r="D58" s="624"/>
    </row>
    <row r="59" spans="1:4">
      <c r="A59" s="414" t="str">
        <f>'Devel. Bud'!A58</f>
        <v>Construction Monitor</v>
      </c>
      <c r="B59" s="397" t="s">
        <v>229</v>
      </c>
      <c r="C59" s="365">
        <f>'Devel. Bud'!D58</f>
        <v>0</v>
      </c>
      <c r="D59" s="624"/>
    </row>
    <row r="60" spans="1:4">
      <c r="A60" s="414" t="str">
        <f>'Devel. Bud'!A59</f>
        <v>Marketing</v>
      </c>
      <c r="B60" s="397" t="s">
        <v>228</v>
      </c>
      <c r="C60" s="365">
        <f>'Devel. Bud'!D59</f>
        <v>0</v>
      </c>
      <c r="D60" s="625"/>
    </row>
    <row r="61" spans="1:4">
      <c r="A61" s="414" t="str">
        <f>'Devel. Bud'!A60</f>
        <v>Security</v>
      </c>
      <c r="B61" s="397" t="s">
        <v>229</v>
      </c>
      <c r="C61" s="365">
        <f>'Devel. Bud'!D60</f>
        <v>0</v>
      </c>
      <c r="D61" s="624"/>
    </row>
    <row r="62" spans="1:4">
      <c r="A62" s="419" t="str">
        <f>'Devel. Bud'!A62</f>
        <v>Subtotal</v>
      </c>
      <c r="B62" s="420"/>
      <c r="C62" s="416" t="e">
        <f ca="1">'Devel. Bud'!D62</f>
        <v>#DIV/0!</v>
      </c>
      <c r="D62" s="417">
        <f>SUM(D53:D61)</f>
        <v>0</v>
      </c>
    </row>
    <row r="63" spans="1:4">
      <c r="A63" s="414"/>
      <c r="B63" s="397"/>
      <c r="C63" s="365"/>
      <c r="D63" s="413"/>
    </row>
    <row r="64" spans="1:4" ht="15.75">
      <c r="A64" s="418" t="str">
        <f>'Devel. Bud'!A64</f>
        <v>Reserves and Contingency</v>
      </c>
      <c r="B64" s="397"/>
      <c r="C64" s="365"/>
      <c r="D64" s="413"/>
    </row>
    <row r="65" spans="1:4">
      <c r="A65" s="414" t="str">
        <f>'Devel. Bud'!A65</f>
        <v>Social Service Reserve</v>
      </c>
      <c r="B65" s="397" t="s">
        <v>228</v>
      </c>
      <c r="C65" s="365">
        <f>'Devel. Bud'!D65</f>
        <v>0</v>
      </c>
      <c r="D65" s="625"/>
    </row>
    <row r="66" spans="1:4">
      <c r="A66" s="414" t="str">
        <f>'Devel. Bud'!A66</f>
        <v>Capitalized Operating Reserve</v>
      </c>
      <c r="B66" s="397" t="s">
        <v>228</v>
      </c>
      <c r="C66" s="365">
        <f>'Devel. Bud'!D66</f>
        <v>0</v>
      </c>
      <c r="D66" s="625"/>
    </row>
    <row r="67" spans="1:4">
      <c r="A67" s="414" t="str">
        <f>'Devel. Bud'!A67</f>
        <v>Additional Operating Reserve (if applicable)</v>
      </c>
      <c r="B67" s="397" t="s">
        <v>228</v>
      </c>
      <c r="C67" s="365">
        <f>'Devel. Bud'!D67</f>
        <v>0</v>
      </c>
      <c r="D67" s="625"/>
    </row>
    <row r="68" spans="1:4">
      <c r="A68" s="414" t="str">
        <f>'Devel. Bud'!A68</f>
        <v>Soft Cost Contingency</v>
      </c>
      <c r="B68" s="397" t="s">
        <v>229</v>
      </c>
      <c r="C68" s="365">
        <f>'Devel. Bud'!D68</f>
        <v>0</v>
      </c>
      <c r="D68" s="624"/>
    </row>
    <row r="69" spans="1:4">
      <c r="A69" s="414"/>
      <c r="B69" s="397"/>
      <c r="C69" s="365"/>
      <c r="D69" s="413"/>
    </row>
    <row r="70" spans="1:4">
      <c r="A70" s="419" t="str">
        <f>'Devel. Bud'!A69</f>
        <v>Subtotal</v>
      </c>
      <c r="B70" s="397"/>
      <c r="C70" s="416">
        <f>'Devel. Bud'!D69</f>
        <v>0</v>
      </c>
      <c r="D70" s="417">
        <f>SUM(D64:D69)</f>
        <v>0</v>
      </c>
    </row>
    <row r="71" spans="1:4">
      <c r="A71" s="414"/>
      <c r="B71" s="397"/>
      <c r="C71" s="365"/>
      <c r="D71" s="413"/>
    </row>
    <row r="72" spans="1:4">
      <c r="A72" s="412" t="str">
        <f>'Devel. Bud'!A71</f>
        <v>Total Soft Costs</v>
      </c>
      <c r="B72" s="397"/>
      <c r="C72" s="416" t="e">
        <f ca="1">'Devel. Bud'!D71</f>
        <v>#DIV/0!</v>
      </c>
      <c r="D72" s="417">
        <f>D38+D50+D62+D70</f>
        <v>0</v>
      </c>
    </row>
    <row r="73" spans="1:4">
      <c r="A73" s="414"/>
      <c r="B73" s="397"/>
      <c r="C73" s="365"/>
      <c r="D73" s="413"/>
    </row>
    <row r="74" spans="1:4" ht="15.75">
      <c r="A74" s="418" t="str">
        <f>'Devel. Bud'!A73</f>
        <v>Developer's Fee</v>
      </c>
      <c r="B74" s="397" t="s">
        <v>229</v>
      </c>
      <c r="C74" s="365">
        <f>'Devel. Bud'!D73</f>
        <v>0</v>
      </c>
      <c r="D74" s="624"/>
    </row>
    <row r="75" spans="1:4">
      <c r="A75" s="414"/>
      <c r="B75" s="397"/>
      <c r="C75" s="365"/>
      <c r="D75" s="413"/>
    </row>
    <row r="76" spans="1:4" ht="15.75">
      <c r="A76" s="421" t="str">
        <f>'Devel. Bud'!A76</f>
        <v>Total Development Cost:</v>
      </c>
      <c r="B76" s="422"/>
      <c r="C76" s="430" t="e">
        <f ca="1">'Devel. Bud'!D76</f>
        <v>#DIV/0!</v>
      </c>
      <c r="D76" s="431">
        <f>D19+D72+D74</f>
        <v>0</v>
      </c>
    </row>
  </sheetData>
  <phoneticPr fontId="31" type="noConversion"/>
  <pageMargins left="0.75" right="0.75" top="1" bottom="1" header="0.5" footer="0.5"/>
  <pageSetup scale="52" firstPageNumber="213" orientation="portrait" useFirstPageNumber="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20</vt:i4>
      </vt:variant>
    </vt:vector>
  </HeadingPairs>
  <TitlesOfParts>
    <vt:vector size="33" baseType="lpstr">
      <vt:lpstr>Instructions</vt:lpstr>
      <vt:lpstr>Sources and Use</vt:lpstr>
      <vt:lpstr>Devel. Bud</vt:lpstr>
      <vt:lpstr>Cons Int &amp; Neg Arb</vt:lpstr>
      <vt:lpstr>Units &amp; Income</vt:lpstr>
      <vt:lpstr>M and O</vt:lpstr>
      <vt:lpstr>Mort</vt:lpstr>
      <vt:lpstr>Cash Flow</vt:lpstr>
      <vt:lpstr>Tax Credit </vt:lpstr>
      <vt:lpstr>Trade Pmt</vt:lpstr>
      <vt:lpstr>Pro Forma Summary</vt:lpstr>
      <vt:lpstr>Fl Area Summary</vt:lpstr>
      <vt:lpstr>Project Summary</vt:lpstr>
      <vt:lpstr>DEVFEE</vt:lpstr>
      <vt:lpstr>EQUITY</vt:lpstr>
      <vt:lpstr>Expenses</vt:lpstr>
      <vt:lpstr>FIRST</vt:lpstr>
      <vt:lpstr>LAUNDRY</vt:lpstr>
      <vt:lpstr>NOI</vt:lpstr>
      <vt:lpstr>'Cons Int &amp; Neg Arb'!Print_Area</vt:lpstr>
      <vt:lpstr>'Devel. Bud'!Print_Area</vt:lpstr>
      <vt:lpstr>'M and O'!Print_Area</vt:lpstr>
      <vt:lpstr>Mort!Print_Area</vt:lpstr>
      <vt:lpstr>'Project Summary'!Print_Area</vt:lpstr>
      <vt:lpstr>'Sources and Use'!Print_Area</vt:lpstr>
      <vt:lpstr>'Tax Credit '!Print_Area</vt:lpstr>
      <vt:lpstr>'Units &amp; Income'!Print_Area</vt:lpstr>
      <vt:lpstr>'Cash Flow'!Print_Titles</vt:lpstr>
      <vt:lpstr>ROOMS</vt:lpstr>
      <vt:lpstr>SECOND</vt:lpstr>
      <vt:lpstr>Second_Mortgage</vt:lpstr>
      <vt:lpstr>TOTALLOAN</vt:lpstr>
      <vt:lpstr>UNITS</vt:lpstr>
    </vt:vector>
  </TitlesOfParts>
  <Company>NYC Housing Development Corp.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mschatz</dc:creator>
  <cp:lastModifiedBy>Taveras, Katherine</cp:lastModifiedBy>
  <cp:lastPrinted>2017-05-31T17:46:06Z</cp:lastPrinted>
  <dcterms:created xsi:type="dcterms:W3CDTF">1998-09-24T19:31:31Z</dcterms:created>
  <dcterms:modified xsi:type="dcterms:W3CDTF">2020-03-02T16:17:12Z</dcterms:modified>
</cp:coreProperties>
</file>