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nyco365.sharepoint.com/sites/HPD-OPS-SUS/Shared Documents/General/AA-Website Updates/2025/June/"/>
    </mc:Choice>
  </mc:AlternateContent>
  <xr:revisionPtr revIDLastSave="4487" documentId="8_{F5D78655-CBC3-44FA-A82E-A61E727B7DFA}" xr6:coauthVersionLast="47" xr6:coauthVersionMax="47" xr10:uidLastSave="{9D81F3CA-6877-4457-875B-7D252D1F7880}"/>
  <bookViews>
    <workbookView xWindow="-28380" yWindow="0" windowWidth="27780" windowHeight="15540" tabRatio="825" activeTab="1" xr2:uid="{00000000-000D-0000-FFFF-FFFF00000000}"/>
  </bookViews>
  <sheets>
    <sheet name="Scope 3 Analysis" sheetId="79" r:id="rId1"/>
    <sheet name="Assembly R-Val Calculator" sheetId="99" r:id="rId2"/>
    <sheet name="Derate Calculator - Hide" sheetId="103" state="hidden" r:id="rId3"/>
    <sheet name="Wall &amp; Roof Type Calculator Old" sheetId="102" state="hidden" r:id="rId4"/>
    <sheet name="R-Value Lookup_UPDATED" sheetId="104" r:id="rId5"/>
    <sheet name="R-Value Lookup" sheetId="98" state="hidden" r:id="rId6"/>
    <sheet name="R-Value Lookup EERE" sheetId="100" state="hidden" r:id="rId7"/>
    <sheet name="2020 NYCECC Tables" sheetId="97" state="hidden" r:id="rId8"/>
  </sheets>
  <definedNames>
    <definedName name="_Basic_Response">OFFSET(#REF!, MATCH("Basic Response",#REF!, 0), 0, COUNTIF(#REF!, "Basic Response"), 1)</definedName>
    <definedName name="_Binary_Response">OFFSET(#REF!, MATCH("Binary Response",#REF!, 0), 0, COUNTIF(#REF!, "Binary Response"), 1)</definedName>
    <definedName name="_DHW_Efficiency_Measures">OFFSET(#REF!, MATCH("DHW Efficiency Measures",#REF!, 0), 0, COUNTIF(#REF!, "DHW Efficiency Measures"), 1)</definedName>
    <definedName name="_DHW_Efficiency_Plant_Efficiency">OFFSET(#REF!, MATCH("DHW Efficiency; Plant Efficiency",#REF!, 0), 0, COUNTIF(#REF!, "DHW Efficiency; Plant Efficiency"), 1)</definedName>
    <definedName name="_DHW_Systems_Proposed">OFFSET(#REF!, MATCH("DHW Systems Proposed",#REF!, 0), 0, COUNTIF(#REF!, "DHW Systems Proposed"), 1)</definedName>
    <definedName name="_Electrical_Upgrades">OFFSET(#REF!, MATCH("Electrical Upgrades",#REF!, 0), 0, COUNTIF(#REF!, "Electrical Upgrades"), 1)</definedName>
    <definedName name="_Envelope_Roof">OFFSET(#REF!, MATCH("Envelope Roof",#REF!, 0), 0, COUNTIF(#REF!, "Envelope Roof"), 1)</definedName>
    <definedName name="_Envelope_Ventilation">OFFSET(#REF!, MATCH("Envelope Ventilation",#REF!, 0), 0, COUNTIF(#REF!, "Envelope Ventilation"), 1)</definedName>
    <definedName name="_Existing_DHW_System">OFFSET(#REF!, MATCH("Existing DHW System",#REF!, 0), 0, COUNTIF(#REF!, "Existing DHW System"), 1)</definedName>
    <definedName name="_Existing_Heating_System">OFFSET(#REF!, MATCH("Existing Heating System",#REF!, 0), 0, COUNTIF(#REF!, "Existing Heating System"), 1)</definedName>
    <definedName name="_Fuel_Type">OFFSET(#REF!, MATCH("Fuel Type",#REF!, 0), 0, COUNTIF(#REF!, "Fuel Type"), 1)</definedName>
    <definedName name="_Heating_System_Residential">OFFSET(#REF!, MATCH("Heating System Residential",#REF!, 0), 0, COUNTIF(#REF!, "Heating System Residential"), 1)</definedName>
    <definedName name="_Proposed_Scope">OFFSET(#REF!, MATCH("Proposed Scope",#REF!, 0), 0, COUNTIF(#REF!, "Proposed Scope"), 1)</definedName>
  </definedNames>
  <calcPr calcId="191028"/>
  <customWorkbookViews>
    <customWorkbookView name="Summary View" guid="{D1DCBC79-82EE-40A7-8D94-F5CB71521B47}" windowWidth="3000" windowHeight="1962" tabRatio="899" activeSheetId="7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79" l="1"/>
  <c r="I16" i="79"/>
  <c r="I17" i="79"/>
  <c r="I18" i="79"/>
  <c r="I19" i="79"/>
  <c r="I20" i="79"/>
  <c r="I21" i="79"/>
  <c r="I22" i="79"/>
  <c r="I23" i="79"/>
  <c r="I24" i="79"/>
  <c r="I25" i="79"/>
  <c r="I26" i="79"/>
  <c r="I15" i="79"/>
  <c r="K30" i="79"/>
  <c r="K31" i="79"/>
  <c r="K32" i="79"/>
  <c r="K33" i="79"/>
  <c r="K34" i="79"/>
  <c r="K35" i="79"/>
  <c r="K36" i="79"/>
  <c r="K37" i="79"/>
  <c r="K38" i="79"/>
  <c r="K39" i="79"/>
  <c r="K40" i="79"/>
  <c r="K41" i="79"/>
  <c r="K28" i="79"/>
  <c r="S16" i="79"/>
  <c r="S17" i="79"/>
  <c r="S18" i="79"/>
  <c r="S19" i="79"/>
  <c r="S20" i="79"/>
  <c r="S21" i="79"/>
  <c r="S22" i="79"/>
  <c r="S23" i="79"/>
  <c r="S24" i="79"/>
  <c r="S25" i="79"/>
  <c r="S26" i="79"/>
  <c r="S15" i="79"/>
  <c r="L16" i="79"/>
  <c r="L17" i="79"/>
  <c r="L18" i="79"/>
  <c r="L19" i="79"/>
  <c r="L21" i="79"/>
  <c r="L22" i="79"/>
  <c r="L23" i="79"/>
  <c r="L24" i="79"/>
  <c r="L26" i="79"/>
  <c r="R16" i="79"/>
  <c r="R17" i="79"/>
  <c r="R18" i="79"/>
  <c r="R19" i="79"/>
  <c r="J16" i="79"/>
  <c r="F62" i="99" l="1"/>
  <c r="F61" i="99"/>
  <c r="H61" i="99" s="1"/>
  <c r="F60" i="99"/>
  <c r="H60" i="99" s="1"/>
  <c r="F59" i="99"/>
  <c r="H59" i="99" s="1"/>
  <c r="F58" i="99"/>
  <c r="F53" i="99"/>
  <c r="F52" i="99"/>
  <c r="H52" i="99" s="1"/>
  <c r="F51" i="99"/>
  <c r="H51" i="99" s="1"/>
  <c r="F50" i="99"/>
  <c r="H50" i="99" s="1"/>
  <c r="F49" i="99"/>
  <c r="H49" i="99" s="1"/>
  <c r="F44" i="99"/>
  <c r="F43" i="99"/>
  <c r="H43" i="99" s="1"/>
  <c r="F42" i="99"/>
  <c r="H42" i="99" s="1"/>
  <c r="F41" i="99"/>
  <c r="H41" i="99" s="1"/>
  <c r="F40" i="99"/>
  <c r="H40" i="99" s="1"/>
  <c r="F35" i="99"/>
  <c r="H35" i="99" s="1"/>
  <c r="F34" i="99"/>
  <c r="H34" i="99" s="1"/>
  <c r="F33" i="99"/>
  <c r="F32" i="99"/>
  <c r="H32" i="99" s="1"/>
  <c r="F31" i="99"/>
  <c r="F26" i="99"/>
  <c r="H26" i="99" s="1"/>
  <c r="H33" i="99"/>
  <c r="D25" i="99"/>
  <c r="H58" i="99"/>
  <c r="F25" i="99"/>
  <c r="H25" i="99" s="1"/>
  <c r="F24" i="99"/>
  <c r="F23" i="99"/>
  <c r="H23" i="99" s="1"/>
  <c r="H31" i="99"/>
  <c r="H62" i="99"/>
  <c r="H53" i="99"/>
  <c r="H44" i="99"/>
  <c r="R15" i="79"/>
  <c r="J15" i="79"/>
  <c r="L15" i="79" s="1"/>
  <c r="R20" i="79"/>
  <c r="J20" i="79"/>
  <c r="L20" i="79" s="1"/>
  <c r="J17" i="79"/>
  <c r="F10" i="104"/>
  <c r="F11" i="104"/>
  <c r="F12" i="104"/>
  <c r="F13" i="104"/>
  <c r="F14" i="104"/>
  <c r="F15" i="104"/>
  <c r="F16" i="104"/>
  <c r="F19" i="104"/>
  <c r="D9" i="104"/>
  <c r="F9" i="104"/>
  <c r="D8" i="104"/>
  <c r="F8" i="104" s="1"/>
  <c r="D7" i="104"/>
  <c r="F7" i="104" s="1"/>
  <c r="F102" i="104"/>
  <c r="F101" i="104"/>
  <c r="F93" i="104"/>
  <c r="F94" i="104"/>
  <c r="F95" i="104"/>
  <c r="F92" i="104"/>
  <c r="F97" i="104"/>
  <c r="F96" i="104"/>
  <c r="F88" i="104"/>
  <c r="F87" i="104"/>
  <c r="D19" i="104"/>
  <c r="D18" i="104"/>
  <c r="F18" i="104" s="1"/>
  <c r="D17" i="104"/>
  <c r="F17" i="104" s="1"/>
  <c r="D16" i="104"/>
  <c r="D25" i="104"/>
  <c r="F25" i="104" s="1"/>
  <c r="D24" i="104"/>
  <c r="F24" i="104" s="1"/>
  <c r="D23" i="104"/>
  <c r="F23" i="104"/>
  <c r="D22" i="104"/>
  <c r="F22" i="104" s="1"/>
  <c r="T41" i="79"/>
  <c r="T40" i="79"/>
  <c r="T39" i="79"/>
  <c r="T38" i="79"/>
  <c r="T37" i="79"/>
  <c r="T36" i="79"/>
  <c r="T35" i="79"/>
  <c r="T34" i="79"/>
  <c r="T33" i="79"/>
  <c r="T32" i="79"/>
  <c r="T31" i="79"/>
  <c r="T30" i="79"/>
  <c r="T29" i="79"/>
  <c r="D64" i="104"/>
  <c r="F64" i="104" s="1"/>
  <c r="D62" i="104"/>
  <c r="F62" i="104" s="1"/>
  <c r="D41" i="104"/>
  <c r="F41" i="104" s="1"/>
  <c r="D67" i="104"/>
  <c r="F55" i="104"/>
  <c r="F56" i="104"/>
  <c r="F57" i="104"/>
  <c r="F58" i="104"/>
  <c r="F54" i="104"/>
  <c r="F27" i="104"/>
  <c r="F28" i="104"/>
  <c r="D20" i="104"/>
  <c r="D39" i="104"/>
  <c r="D38" i="104"/>
  <c r="D36" i="104"/>
  <c r="D26" i="104"/>
  <c r="D30" i="104"/>
  <c r="D29" i="104"/>
  <c r="D21" i="104"/>
  <c r="D6" i="104"/>
  <c r="F84" i="104"/>
  <c r="F83" i="104"/>
  <c r="F80" i="104"/>
  <c r="D77" i="104"/>
  <c r="F75" i="104"/>
  <c r="F74" i="104"/>
  <c r="F72" i="104"/>
  <c r="D71" i="104"/>
  <c r="F69" i="104"/>
  <c r="F67" i="104"/>
  <c r="D66" i="104"/>
  <c r="F65" i="104"/>
  <c r="D63" i="104"/>
  <c r="F63" i="104" s="1"/>
  <c r="F61" i="104"/>
  <c r="D47" i="104"/>
  <c r="F49" i="104" s="1"/>
  <c r="F44" i="104"/>
  <c r="D43" i="104"/>
  <c r="F43" i="104" s="1"/>
  <c r="D42" i="104"/>
  <c r="F42" i="104" s="1"/>
  <c r="D37" i="104"/>
  <c r="D35" i="104"/>
  <c r="D34" i="104"/>
  <c r="D33" i="104"/>
  <c r="D32" i="104"/>
  <c r="D31" i="104"/>
  <c r="X9" i="98"/>
  <c r="X6" i="98"/>
  <c r="X71" i="98"/>
  <c r="X36" i="98"/>
  <c r="H18" i="99"/>
  <c r="H17" i="99"/>
  <c r="H16" i="99"/>
  <c r="H15" i="99"/>
  <c r="H14" i="99"/>
  <c r="H13" i="99"/>
  <c r="H12" i="99"/>
  <c r="H10" i="99"/>
  <c r="H9" i="99"/>
  <c r="H8" i="99"/>
  <c r="H7" i="99"/>
  <c r="H6" i="99"/>
  <c r="X92" i="98"/>
  <c r="X90" i="98"/>
  <c r="X86" i="98"/>
  <c r="X84" i="98"/>
  <c r="X83" i="98"/>
  <c r="X79" i="98"/>
  <c r="X75" i="98"/>
  <c r="X74" i="98"/>
  <c r="V68" i="98"/>
  <c r="X66" i="98"/>
  <c r="X65" i="98"/>
  <c r="V62" i="98"/>
  <c r="X63" i="98"/>
  <c r="X60" i="98"/>
  <c r="X59" i="98"/>
  <c r="X57" i="98"/>
  <c r="V58" i="98"/>
  <c r="V55" i="98"/>
  <c r="X54" i="98"/>
  <c r="X56" i="98" s="1"/>
  <c r="X46" i="98"/>
  <c r="V39" i="98"/>
  <c r="V34" i="98"/>
  <c r="X34" i="98" s="1"/>
  <c r="V35" i="98"/>
  <c r="X35" i="98" s="1"/>
  <c r="V33" i="98"/>
  <c r="X33" i="98" s="1"/>
  <c r="V24" i="98"/>
  <c r="V25" i="98"/>
  <c r="V26" i="98"/>
  <c r="V23" i="98"/>
  <c r="V20" i="98"/>
  <c r="V18" i="98"/>
  <c r="V19" i="98"/>
  <c r="V27" i="98"/>
  <c r="D27" i="103"/>
  <c r="F27" i="103"/>
  <c r="D25" i="103"/>
  <c r="E12" i="103" s="1"/>
  <c r="F25" i="103"/>
  <c r="E10" i="103"/>
  <c r="E9" i="103"/>
  <c r="E8" i="103"/>
  <c r="E7" i="103"/>
  <c r="E6" i="103"/>
  <c r="F31" i="103"/>
  <c r="E18" i="103" s="1"/>
  <c r="F30" i="103"/>
  <c r="E17" i="103" s="1"/>
  <c r="F29" i="103"/>
  <c r="E16" i="103" s="1"/>
  <c r="F26" i="103"/>
  <c r="D26" i="103"/>
  <c r="F24" i="103"/>
  <c r="E13" i="103" s="1"/>
  <c r="X12" i="98"/>
  <c r="V29" i="98"/>
  <c r="V28" i="98"/>
  <c r="V22" i="98"/>
  <c r="V17" i="98"/>
  <c r="V21" i="98"/>
  <c r="V16" i="98"/>
  <c r="V15" i="98"/>
  <c r="X14" i="98"/>
  <c r="X13" i="98"/>
  <c r="X11" i="98"/>
  <c r="X10" i="98"/>
  <c r="V5" i="98"/>
  <c r="X7" i="98"/>
  <c r="X8" i="98"/>
  <c r="D43" i="102"/>
  <c r="H43" i="102" s="1"/>
  <c r="L43" i="102" s="1"/>
  <c r="L42" i="102"/>
  <c r="L41" i="102"/>
  <c r="H40" i="102"/>
  <c r="D31" i="102"/>
  <c r="H31" i="102" s="1"/>
  <c r="L31" i="102" s="1"/>
  <c r="L30" i="102"/>
  <c r="D29" i="102"/>
  <c r="H29" i="102" s="1"/>
  <c r="L29" i="102" s="1"/>
  <c r="H28" i="102"/>
  <c r="D19" i="102"/>
  <c r="H19" i="102" s="1"/>
  <c r="L19" i="102" s="1"/>
  <c r="H18" i="102"/>
  <c r="L18" i="102" s="1"/>
  <c r="L17" i="102"/>
  <c r="D16" i="102"/>
  <c r="H16" i="102" s="1"/>
  <c r="H24" i="99"/>
  <c r="D22" i="99"/>
  <c r="F22" i="99" s="1"/>
  <c r="H22" i="99" s="1"/>
  <c r="S35" i="79"/>
  <c r="S36" i="79"/>
  <c r="S37" i="79"/>
  <c r="S38" i="79"/>
  <c r="S39" i="79"/>
  <c r="S40" i="79"/>
  <c r="S41" i="79"/>
  <c r="S29" i="79"/>
  <c r="S30" i="79"/>
  <c r="S31" i="79"/>
  <c r="S32" i="79"/>
  <c r="S33" i="79"/>
  <c r="S34" i="79"/>
  <c r="S28" i="79"/>
  <c r="L29" i="79"/>
  <c r="L30" i="79"/>
  <c r="L31" i="79"/>
  <c r="L32" i="79"/>
  <c r="L33" i="79"/>
  <c r="L34" i="79"/>
  <c r="L35" i="79"/>
  <c r="L36" i="79"/>
  <c r="L37" i="79"/>
  <c r="L38" i="79"/>
  <c r="L39" i="79"/>
  <c r="L40" i="79"/>
  <c r="L41" i="79"/>
  <c r="L28" i="79"/>
  <c r="R24" i="79"/>
  <c r="J24" i="79"/>
  <c r="R23" i="79"/>
  <c r="J23" i="79"/>
  <c r="J19" i="79"/>
  <c r="J18" i="79"/>
  <c r="F50" i="104" l="1"/>
  <c r="F48" i="104"/>
  <c r="X42" i="98"/>
  <c r="X41" i="98"/>
  <c r="X40" i="98"/>
  <c r="H63" i="99"/>
  <c r="H54" i="99"/>
  <c r="H45" i="99"/>
  <c r="H36" i="99"/>
  <c r="E15" i="103"/>
  <c r="E14" i="103"/>
  <c r="H21" i="102"/>
  <c r="L16" i="102"/>
  <c r="L21" i="102" s="1"/>
  <c r="H33" i="102"/>
  <c r="L28" i="102"/>
  <c r="L33" i="102" s="1"/>
  <c r="H45" i="102"/>
  <c r="L40" i="102"/>
  <c r="L45" i="102" s="1"/>
  <c r="H27" i="99"/>
  <c r="R21" i="79"/>
  <c r="R22" i="79"/>
  <c r="R25" i="79"/>
  <c r="R26" i="79"/>
  <c r="J21" i="79"/>
  <c r="J22" i="79"/>
  <c r="J25" i="79"/>
  <c r="J26" i="79"/>
  <c r="S42" i="79" l="1"/>
  <c r="L42" i="79"/>
  <c r="S43" i="79" l="1"/>
  <c r="S44" i="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tc={1CD05439-3D6E-4D40-9A5F-BDB0EB8D333B}</author>
    <author>tc={9D66CEFB-60E3-4B7E-9675-775B7C742CBD}</author>
  </authors>
  <commentList>
    <comment ref="I14" authorId="0" shapeId="0" xr:uid="{1CD05439-3D6E-4D40-9A5F-BDB0EB8D333B}">
      <text>
        <t xml:space="preserve">[Threaded comment]
Your version of Excel allows you to read this threaded comment; however, any edits to it will get removed if the file is opened in a newer version of Excel. Learn more: https://go.microsoft.com/fwlink/?linkid=870924
Comment:
    Not working after row 15
</t>
      </text>
    </comment>
    <comment ref="F47" authorId="1" shapeId="0" xr:uid="{9D66CEFB-60E3-4B7E-9675-775B7C742CBD}">
      <text>
        <t>[Threaded comment]
Your version of Excel allows you to read this threaded comment; however, any edits to it will get removed if the file is opened in a newer version of Excel. Learn more: https://go.microsoft.com/fwlink/?linkid=870924
Comment:
    The 'unless insulation was added after construction' is a bit criptic - what do we mean?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tc={78D83CCA-2F05-45C8-8D8E-6B9198FCD510}</author>
  </authors>
  <commentList>
    <comment ref="B1" authorId="0" shapeId="0" xr:uid="{78D83CCA-2F05-45C8-8D8E-6B9198FCD510}">
      <text>
        <t>[Threaded comment]
Your version of Excel allows you to read this threaded comment; however, any edits to it will get removed if the file is opened in a newer version of Excel. Learn more: https://go.microsoft.com/fwlink/?linkid=870924
Comment:
    What's is still not clear to me is if they are supposed to use this calculator for existing assemblies too, or for proposed only.
As said in another comment, if used for proposed only there is a high-chance the existing are going to be highly inaccurate.
Reply:
    I am OK with that. We can't be perfect.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tc={3F4E06E4-C7CB-4638-9E5D-D0B80042C2C7}</author>
    <author>tc={9F69BEAD-3588-4E67-B04C-E5DD649CC153}</author>
    <author>tc={C73B33A1-2146-4F13-BE91-7A72D6ABCEC8}</author>
    <author>tc={DF9B24C6-E8E4-4600-9E91-E2F58E40B929}</author>
    <author>tc={9470DB26-2F5E-4BCB-A5C8-AA80422F2B5D}</author>
    <author>tc={FC9C0525-5BDE-46BB-8810-22DFB5037429}</author>
    <author>tc={2B80B6C7-BAD9-493D-850E-B3E878B307A8}</author>
  </authors>
  <commentList>
    <comment ref="N4" authorId="0" shapeId="0" xr:uid="{3F4E06E4-C7CB-4638-9E5D-D0B80042C2C7}">
      <text>
        <t>[Threaded comment]
Your version of Excel allows you to read this threaded comment; however, any edits to it will get removed if the file is opened in a newer version of Excel. Learn more: https://go.microsoft.com/fwlink/?linkid=870924
Comment:
    I don’t fully understand this table. What’s FF? Also, how are you getting 0.8 from here for the batt insulation between studs @16”oc? I’m missing steps on how to read this.</t>
      </text>
    </comment>
    <comment ref="H15" authorId="1" shapeId="0" xr:uid="{9F69BEAD-3588-4E67-B04C-E5DD649CC153}">
      <text>
        <t>[Threaded comment]
Your version of Excel allows you to read this threaded comment; however, any edits to it will get removed if the file is opened in a newer version of Excel. Learn more: https://go.microsoft.com/fwlink/?linkid=870924
Comment:
    Total Nominal R-Value?</t>
      </text>
    </comment>
    <comment ref="J15" authorId="2" shapeId="0" xr:uid="{C73B33A1-2146-4F13-BE91-7A72D6ABCEC8}">
      <text>
        <t>[Threaded comment]
Your version of Excel allows you to read this threaded comment; however, any edits to it will get removed if the file is opened in a newer version of Excel. Learn more: https://go.microsoft.com/fwlink/?linkid=870924
Comment:
    Typically R-values are derated, not U-values. Or maybe you meant derated assembly FACTOR here?</t>
      </text>
    </comment>
    <comment ref="B17" authorId="3" shapeId="0" xr:uid="{DF9B24C6-E8E4-4600-9E91-E2F58E40B929}">
      <text>
        <t>[Threaded comment]
Your version of Excel allows you to read this threaded comment; however, any edits to it will get removed if the file is opened in a newer version of Excel. Learn more: https://go.microsoft.com/fwlink/?linkid=870924
Comment:
    It is more important to focus on the thickness of the insulation rather than the thickness of the studs. Also, it can be a red flag: if they’re putting batt insulation with a thickness &lt; than studs, then it won’t work (derated factor = 0!).</t>
      </text>
    </comment>
    <comment ref="B40" authorId="4" shapeId="0" xr:uid="{9470DB26-2F5E-4BCB-A5C8-AA80422F2B5D}">
      <text>
        <t>[Threaded comment]
Your version of Excel allows you to read this threaded comment; however, any edits to it will get removed if the file is opened in a newer version of Excel. Learn more: https://go.microsoft.com/fwlink/?linkid=870924
Comment:
    Pitched?</t>
      </text>
    </comment>
    <comment ref="F40" authorId="5" shapeId="0" xr:uid="{FC9C0525-5BDE-46BB-8810-22DFB5037429}">
      <text>
        <t>[Threaded comment]
Your version of Excel allows you to read this threaded comment; however, any edits to it will get removed if the file is opened in a newer version of Excel. Learn more: https://go.microsoft.com/fwlink/?linkid=870924
Comment:
    Clarify this should be the average. NOTE: getting an AVERAGE thickness/R-value for a pitched roof is not as obvious in my experience. Architects are going to tend to include the MAXIMUM thickness here, which might be substantially different from the average.
We could also ask that if they don’t have the average, they should include MINIMUM thickness then, for a conservative approach.</t>
      </text>
    </comment>
    <comment ref="B47" authorId="6" shapeId="0" xr:uid="{2B80B6C7-BAD9-493D-850E-B3E878B307A8}">
      <text>
        <t>[Threaded comment]
Your version of Excel allows you to read this threaded comment; however, any edits to it will get removed if the file is opened in a newer version of Excel. Learn more: https://go.microsoft.com/fwlink/?linkid=870924
Comment:
    The derated assembly factors are for walls or roofs? If for walls, they wouldn’t be good for roofs, and viceversa. Also, what’s the source for it?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tc={69647EDC-0932-4B9D-9623-45E7ACF5B28C}</author>
    <author>tc={A77B8C0C-AF36-4863-83E3-BC22AED344F2}</author>
    <author>tc={57B22580-F130-4006-851B-BEAE46EBFF43}</author>
    <author>tc={4A0DCF5F-24BD-4D20-9BA9-58D6BE9AEAB7}</author>
  </authors>
  <commentList>
    <comment ref="F4" authorId="0" shapeId="0" xr:uid="{69647EDC-0932-4B9D-9623-45E7ACF5B28C}">
      <text>
        <t xml:space="preserve">[Threaded comment]
Your version of Excel allows you to read this threaded comment; however, any edits to it will get removed if the file is opened in a newer version of Excel. Learn more: https://go.microsoft.com/fwlink/?linkid=870924
Comment:
    This looks to be derated, just guessing. </t>
      </text>
    </comment>
    <comment ref="E6" authorId="1" shapeId="0" xr:uid="{A77B8C0C-AF36-4863-83E3-BC22AED344F2}">
      <text>
        <t>[Threaded comment]
Your version of Excel allows you to read this threaded comment; however, any edits to it will get removed if the file is opened in a newer version of Excel. Learn more: https://go.microsoft.com/fwlink/?linkid=870924
Comment:
    This column could be deleted if values are uniform.</t>
      </text>
    </comment>
    <comment ref="D31" authorId="2" shapeId="0" xr:uid="{57B22580-F130-4006-851B-BEAE46EBFF43}">
      <text>
        <t>[Threaded comment]
Your version of Excel allows you to read this threaded comment; however, any edits to it will get removed if the file is opened in a newer version of Excel. Learn more: https://go.microsoft.com/fwlink/?linkid=870924
Comment:
    autoclaved not listed in book, this i aerated concrete, oven dried</t>
      </text>
    </comment>
    <comment ref="D32" authorId="3" shapeId="0" xr:uid="{4A0DCF5F-24BD-4D20-9BA9-58D6BE9AEAB7}">
      <text>
        <t>[Threaded comment]
Your version of Excel allows you to read this threaded comment; however, any edits to it will get removed if the file is opened in a newer version of Excel. Learn more: https://go.microsoft.com/fwlink/?linkid=870924
Comment:
    From 2001 fundamentals, not listed in 2021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tc={9F9A7261-EEAC-458C-AB83-4E345AD79D24}</author>
    <author>tc={8EEC6EA0-E6BB-46A9-9DBE-62C765F18A88}</author>
    <author>tc={A9502CEF-F7EC-45C3-8A97-DE3EC64A87DF}</author>
    <author>tc={B0D1A90C-9BD8-4471-8244-1F9C3FFA803C}</author>
    <author>tc={5C4AF741-2379-4D53-9B19-ED8F59A597F0}</author>
    <author>tc={A42ECD7A-A58F-4D59-A2D5-A9E92F792CC0}</author>
    <author>tc={E421D719-D4C7-4913-8752-30B2B980EADA}</author>
  </authors>
  <commentList>
    <comment ref="T3" authorId="0" shapeId="0" xr:uid="{9F9A7261-EEAC-458C-AB83-4E345AD79D24}">
      <text>
        <t>[Threaded comment]
Your version of Excel allows you to read this threaded comment; however, any edits to it will get removed if the file is opened in a newer version of Excel. Learn more: https://go.microsoft.com/fwlink/?linkid=870924
Comment:
    Are the cells below supposed to be hidden? Unclear.</t>
      </text>
    </comment>
    <comment ref="X4" authorId="1" shapeId="0" xr:uid="{8EEC6EA0-E6BB-46A9-9DBE-62C765F18A88}">
      <text>
        <t xml:space="preserve">[Threaded comment]
Your version of Excel allows you to read this threaded comment; however, any edits to it will get removed if the file is opened in a newer version of Excel. Learn more: https://go.microsoft.com/fwlink/?linkid=870924
Comment:
    This looks to be derated, just guessing. </t>
      </text>
    </comment>
    <comment ref="V23" authorId="2" shapeId="0" xr:uid="{A9502CEF-F7EC-45C3-8A97-DE3EC64A87DF}">
      <text>
        <t>[Threaded comment]
Your version of Excel allows you to read this threaded comment; however, any edits to it will get removed if the file is opened in a newer version of Excel. Learn more: https://go.microsoft.com/fwlink/?linkid=870924
Comment:
    autoclaved not listed in book, this i aerated concrete, oven dried</t>
      </text>
    </comment>
    <comment ref="V24" authorId="3" shapeId="0" xr:uid="{B0D1A90C-9BD8-4471-8244-1F9C3FFA803C}">
      <text>
        <t>[Threaded comment]
Your version of Excel allows you to read this threaded comment; however, any edits to it will get removed if the file is opened in a newer version of Excel. Learn more: https://go.microsoft.com/fwlink/?linkid=870924
Comment:
    From 2001 fundamentals, not listed in 2021</t>
      </text>
    </comment>
    <comment ref="X31" authorId="4" shapeId="0" xr:uid="{5C4AF741-2379-4D53-9B19-ED8F59A597F0}">
      <text>
        <t xml:space="preserve">[Threaded comment]
Your version of Excel allows you to read this threaded comment; however, any edits to it will get removed if the file is opened in a newer version of Excel. Learn more: https://go.microsoft.com/fwlink/?linkid=870924
Comment:
    This looks to be derated, just guessing. </t>
      </text>
    </comment>
    <comment ref="X71" authorId="5" shapeId="0" xr:uid="{A42ECD7A-A58F-4D59-A2D5-A9E92F792CC0}">
      <text>
        <t>[Threaded comment]
Your version of Excel allows you to read this threaded comment; however, any edits to it will get removed if the file is opened in a newer version of Excel. Learn more: https://go.microsoft.com/fwlink/?linkid=870924
Comment:
    1.82 for 3/8 in back</t>
      </text>
    </comment>
    <comment ref="T86" authorId="6" shapeId="0" xr:uid="{E421D719-D4C7-4913-8752-30B2B980EADA}">
      <text>
        <t>[Threaded comment]
Your version of Excel allows you to read this threaded comment; however, any edits to it will get removed if the file is opened in a newer version of Excel. Learn more: https://go.microsoft.com/fwlink/?linkid=870924
Comment:
    All these values for windows are for the glass, not the whole assembly (which is what we need).
we could also simplify and propose they include either a ‘code-compliant’ window U-value (I believe our master specs have a U-value) or high-performance windows (passive house, etc.), OR they include their own U-value in case they already spec’ed them.</t>
      </text>
    </comment>
  </commentList>
</comments>
</file>

<file path=xl/sharedStrings.xml><?xml version="1.0" encoding="utf-8"?>
<sst xmlns="http://schemas.openxmlformats.org/spreadsheetml/2006/main" count="696" uniqueCount="366">
  <si>
    <t>Resilient &amp; Equitable Decarbonization Initiative (REDi) Scope 3 Envelope Calculator</t>
  </si>
  <si>
    <t>Project and Applicant Information</t>
  </si>
  <si>
    <r>
      <rPr>
        <b/>
        <sz val="11"/>
        <color rgb="FFFFFFFF"/>
        <rFont val="Aptos"/>
        <family val="2"/>
      </rPr>
      <t xml:space="preserve">INSTRUCTIONS:
</t>
    </r>
    <r>
      <rPr>
        <sz val="11"/>
        <color rgb="FF000000"/>
        <rFont val="Aptos"/>
        <family val="2"/>
      </rPr>
      <t>· Create one calculator tab for each unique building, and save each as a new tab in this workbook.
· Fill in project data in the relevant light blue cells.
· Add rows as needed, copy formulas and formatting from a row with the same component.
· Each unique assembly (existing or proposed) needs its own line. Applicants can use the Assembly R-Val Calculator Tab to calculate the assembly value.
· Include only above grade surfaces.
· Refer to minimum allowable R-value charts below for existing walls, roofs, and windows.
· For each Proposed Assembly noted, note in Column T where a detail/ drawing showing the construction that results in the Proposed Effective  Assembly R values shown in Column Q can be found. 
· Use the R-Value Lookup tab for R-Values of typical products if applicant does not have values for specific products.</t>
    </r>
  </si>
  <si>
    <t>Reference for Proposed Envelope Surfaces:</t>
  </si>
  <si>
    <t>Submittal Date and Type</t>
  </si>
  <si>
    <t xml:space="preserve">Current NYC code: </t>
  </si>
  <si>
    <t>Applicant Name</t>
  </si>
  <si>
    <t>https://www.nyc.gov/assets/buildings/apps/pdf_viewer/viewer.html?file=2020ECC_CHC4.pdf&amp;section=energy_code_2020</t>
  </si>
  <si>
    <t>Applicant's Role</t>
  </si>
  <si>
    <t>Applicant Email</t>
  </si>
  <si>
    <t>ASHRAE 90.1 - Appendix A</t>
  </si>
  <si>
    <t>HPD 5-digit Project ID</t>
  </si>
  <si>
    <t>https://www.ashrae.org/technical-resources/bookstore/standard-90-1</t>
  </si>
  <si>
    <t>HPD Project Name</t>
  </si>
  <si>
    <t>Building Address</t>
  </si>
  <si>
    <t>Building Vintage</t>
  </si>
  <si>
    <t>Prewar (uninsulated brick facade)</t>
  </si>
  <si>
    <t>Street View Link</t>
  </si>
  <si>
    <t>Envelope Components</t>
  </si>
  <si>
    <t>Existing Envelope</t>
  </si>
  <si>
    <t>Proposed Envelope</t>
  </si>
  <si>
    <t>Roof and Walls</t>
  </si>
  <si>
    <t>Location in Project</t>
  </si>
  <si>
    <r>
      <t xml:space="preserve">Description of Existing Assembly
</t>
    </r>
    <r>
      <rPr>
        <sz val="10"/>
        <color rgb="FF000000"/>
        <rFont val="Aptos"/>
        <family val="2"/>
      </rPr>
      <t>(include depths, dimensions, and material)</t>
    </r>
  </si>
  <si>
    <t>Verification Method</t>
  </si>
  <si>
    <r>
      <rPr>
        <b/>
        <sz val="10"/>
        <color rgb="FF000000"/>
        <rFont val="Aptos"/>
        <family val="2"/>
      </rPr>
      <t xml:space="preserve">Existing Assembly R-Value
</t>
    </r>
    <r>
      <rPr>
        <sz val="9"/>
        <color rgb="FF000000"/>
        <rFont val="Aptos"/>
        <family val="2"/>
      </rPr>
      <t>calculate using ASHRAE 90.1 App. A or use Assembly R-Val Calculator Tab. Must be above values in table below*</t>
    </r>
  </si>
  <si>
    <t>Condition Check</t>
  </si>
  <si>
    <t>Existing 
U-Value</t>
  </si>
  <si>
    <r>
      <rPr>
        <b/>
        <sz val="10"/>
        <color rgb="FF000000"/>
        <rFont val="Aptos"/>
        <family val="2"/>
      </rPr>
      <t>Net Area (sqft)</t>
    </r>
    <r>
      <rPr>
        <sz val="10"/>
        <color rgb="FF000000"/>
        <rFont val="Aptos"/>
        <family val="2"/>
      </rPr>
      <t xml:space="preserve">
Omit window and door areas</t>
    </r>
  </si>
  <si>
    <r>
      <rPr>
        <b/>
        <sz val="10"/>
        <color rgb="FF000000"/>
        <rFont val="Aptos"/>
        <family val="2"/>
      </rPr>
      <t>Existing UA</t>
    </r>
    <r>
      <rPr>
        <sz val="10"/>
        <color rgb="FF000000"/>
        <rFont val="Aptos"/>
        <family val="2"/>
      </rPr>
      <t xml:space="preserve"> (calculated)</t>
    </r>
  </si>
  <si>
    <r>
      <rPr>
        <b/>
        <sz val="10"/>
        <color rgb="FF000000"/>
        <rFont val="Aptos"/>
        <family val="2"/>
      </rPr>
      <t>Description of Proposed Assembly</t>
    </r>
    <r>
      <rPr>
        <sz val="10"/>
        <color rgb="FF000000"/>
        <rFont val="Aptos"/>
        <family val="2"/>
      </rPr>
      <t xml:space="preserve">
(include depths, dimensions, and material - including type and R-value of insulation)</t>
    </r>
  </si>
  <si>
    <r>
      <t xml:space="preserve">Proposed Assembly
R-Value
</t>
    </r>
    <r>
      <rPr>
        <sz val="10"/>
        <color rgb="FF000000"/>
        <rFont val="Aptos"/>
        <family val="2"/>
      </rPr>
      <t>calculate using ASHRAE 90.1 App. A or use Assembly R-Val Calculator Tab</t>
    </r>
  </si>
  <si>
    <r>
      <rPr>
        <b/>
        <sz val="10"/>
        <color rgb="FF000000"/>
        <rFont val="Aptos"/>
        <family val="2"/>
      </rPr>
      <t>Proposed  U-Value</t>
    </r>
    <r>
      <rPr>
        <sz val="10"/>
        <color rgb="FF000000"/>
        <rFont val="Aptos"/>
        <family val="2"/>
      </rPr>
      <t xml:space="preserve"> (calculated)</t>
    </r>
  </si>
  <si>
    <r>
      <rPr>
        <b/>
        <sz val="10"/>
        <color rgb="FF000000"/>
        <rFont val="Aptos"/>
        <family val="2"/>
      </rPr>
      <t>Proposed UA</t>
    </r>
    <r>
      <rPr>
        <sz val="10"/>
        <color rgb="FF000000"/>
        <rFont val="Aptos"/>
        <family val="2"/>
      </rPr>
      <t xml:space="preserve"> (calculated)</t>
    </r>
  </si>
  <si>
    <r>
      <rPr>
        <b/>
        <sz val="10"/>
        <color rgb="FF000000"/>
        <rFont val="Aptos"/>
        <family val="2"/>
      </rPr>
      <t xml:space="preserve">Reference Drawing
</t>
    </r>
    <r>
      <rPr>
        <sz val="10"/>
        <color rgb="FF000000"/>
        <rFont val="Aptos"/>
        <family val="2"/>
      </rPr>
      <t xml:space="preserve"> (where detail can be found)</t>
    </r>
  </si>
  <si>
    <t>Roof Type 1</t>
  </si>
  <si>
    <t>Main Roof</t>
  </si>
  <si>
    <t>Example: Built up modified bitumen roof w/ no insulation</t>
  </si>
  <si>
    <t>Estimated</t>
  </si>
  <si>
    <t>Example: New Roof w/ pitched insulation + new cavity insulation</t>
  </si>
  <si>
    <t>A-407</t>
  </si>
  <si>
    <t>Roof Type 2</t>
  </si>
  <si>
    <t>Roof Type 3</t>
  </si>
  <si>
    <t>Roof Type 4</t>
  </si>
  <si>
    <t> </t>
  </si>
  <si>
    <t>Roof Type 5</t>
  </si>
  <si>
    <t>Wall Type 1</t>
  </si>
  <si>
    <t>Exposed Walls</t>
  </si>
  <si>
    <t>Example: Exposed Exterior Wall:  3-wythe masonry wall + plaster &amp; lathe</t>
  </si>
  <si>
    <t>Exposed Exterior Wall:  3-wythe masonry wall + wood stud w/ R-11 batt insulation + 1" EPS + 5/8" GWB</t>
  </si>
  <si>
    <t>Attached SK-1</t>
  </si>
  <si>
    <t>Wall Type 2</t>
  </si>
  <si>
    <t>Wall Type 3</t>
  </si>
  <si>
    <t>Wall Type 4</t>
  </si>
  <si>
    <t>Wall Type 5</t>
  </si>
  <si>
    <t>Other 1</t>
  </si>
  <si>
    <t>Other 2</t>
  </si>
  <si>
    <t>Windows and Doors</t>
  </si>
  <si>
    <t>Describe Existing Construction</t>
  </si>
  <si>
    <t xml:space="preserve">Existing Operation Type
</t>
  </si>
  <si>
    <t>Existing Framing Material</t>
  </si>
  <si>
    <t># of Panes</t>
  </si>
  <si>
    <t xml:space="preserve">Quantity 
</t>
  </si>
  <si>
    <r>
      <rPr>
        <b/>
        <sz val="10"/>
        <color rgb="FF000000"/>
        <rFont val="Aptos"/>
        <family val="2"/>
      </rPr>
      <t xml:space="preserve">Total Area (sqft)
</t>
    </r>
    <r>
      <rPr>
        <sz val="9"/>
        <color rgb="FF000000"/>
        <rFont val="Aptos"/>
        <family val="2"/>
      </rPr>
      <t>Include both glazing and frames (per manufacturer's frame area) in the total.</t>
    </r>
  </si>
  <si>
    <r>
      <rPr>
        <b/>
        <sz val="10"/>
        <color rgb="FF000000"/>
        <rFont val="Aptos"/>
        <family val="2"/>
      </rPr>
      <t>Existing U-Value</t>
    </r>
    <r>
      <rPr>
        <sz val="10"/>
        <color rgb="FF000000"/>
        <rFont val="Aptos"/>
        <family val="2"/>
      </rPr>
      <t xml:space="preserve"> 
Must be below values in table below*</t>
    </r>
  </si>
  <si>
    <t>Condition Check for Windows</t>
  </si>
  <si>
    <r>
      <rPr>
        <b/>
        <sz val="10"/>
        <color rgb="FF000000"/>
        <rFont val="Aptos"/>
        <family val="2"/>
      </rPr>
      <t>Describe Proposed Construction.</t>
    </r>
    <r>
      <rPr>
        <sz val="10"/>
        <color rgb="FF000000"/>
        <rFont val="Aptos"/>
        <family val="2"/>
      </rPr>
      <t xml:space="preserve">
For high-performance windows, include specification/ link. </t>
    </r>
  </si>
  <si>
    <t>Proposed Operation Type</t>
  </si>
  <si>
    <t>Proposed Framing Material</t>
  </si>
  <si>
    <r>
      <t>Proposed  U-Value</t>
    </r>
    <r>
      <rPr>
        <sz val="10"/>
        <color rgb="FF000000"/>
        <rFont val="Aptos"/>
        <family val="2"/>
      </rPr>
      <t xml:space="preserve"> 
(use whole assembly U-Value)</t>
    </r>
  </si>
  <si>
    <t>Window 1</t>
  </si>
  <si>
    <t xml:space="preserve">All windows </t>
  </si>
  <si>
    <t>Old single pane windows</t>
  </si>
  <si>
    <t>Single Hung</t>
  </si>
  <si>
    <t>Metal framing</t>
  </si>
  <si>
    <t>Double Hung Casement</t>
  </si>
  <si>
    <t>Casement</t>
  </si>
  <si>
    <t>Window Schedule</t>
  </si>
  <si>
    <t>Window 2</t>
  </si>
  <si>
    <t>Window 3</t>
  </si>
  <si>
    <t>Sliding Glass Door 1</t>
  </si>
  <si>
    <t>Sliding Glass Door 2</t>
  </si>
  <si>
    <t>Sliding Glass Door 3</t>
  </si>
  <si>
    <t>Opaque Door 1</t>
  </si>
  <si>
    <t>Opaque Door 2</t>
  </si>
  <si>
    <t>Opaque Door 3</t>
  </si>
  <si>
    <t>Skylight 1</t>
  </si>
  <si>
    <t>Skylight 2</t>
  </si>
  <si>
    <t>Skylight 3</t>
  </si>
  <si>
    <t xml:space="preserve">Other 1 </t>
  </si>
  <si>
    <t>Total Existing UA</t>
  </si>
  <si>
    <t>Total Proposed UA</t>
  </si>
  <si>
    <t>Must improve whole-building UA by  50% or more</t>
  </si>
  <si>
    <t>% better than existing</t>
  </si>
  <si>
    <t>Meets Program Requirements?</t>
  </si>
  <si>
    <r>
      <rPr>
        <b/>
        <sz val="12"/>
        <color theme="1"/>
        <rFont val="Aptos"/>
        <family val="2"/>
      </rPr>
      <t xml:space="preserve">*Allowable R-values and U-values for various envelope surfaces.  </t>
    </r>
    <r>
      <rPr>
        <b/>
        <sz val="11"/>
        <color theme="1"/>
        <rFont val="Aptos"/>
        <family val="2"/>
      </rPr>
      <t xml:space="preserve">
</t>
    </r>
    <r>
      <rPr>
        <sz val="10"/>
        <color theme="1"/>
        <rFont val="Aptos"/>
        <family val="2"/>
      </rPr>
      <t>Any R-value below these values / U-value above these values must have documentation confirming assumptions.</t>
    </r>
  </si>
  <si>
    <t>Use the space below to justify baseline values that do not meet the requirements of the table at left. Be sure to add a note for every yellow-highlighted cell in column H above.</t>
  </si>
  <si>
    <t>Assembly Wall R-value</t>
  </si>
  <si>
    <t xml:space="preserve">Roof R-Value </t>
  </si>
  <si>
    <t>Window U-value</t>
  </si>
  <si>
    <t>Envelope Component</t>
  </si>
  <si>
    <t>Justification for using lower R-value or higher U-value</t>
  </si>
  <si>
    <t>Postwar (1940-1979)</t>
  </si>
  <si>
    <t>Post-1980 through 2006</t>
  </si>
  <si>
    <t>2007-present (attic insulation)</t>
  </si>
  <si>
    <t>2007-present (continuous roof insulation)</t>
  </si>
  <si>
    <t>Reference: New York State TRM, Version 11, 2023 - page 1,132 and NYC ECC 2011</t>
  </si>
  <si>
    <t>If possible, please paste a screenshot of, the streetview of the building's façade here.  
Use google maps or similar.</t>
  </si>
  <si>
    <t>Tech_Note_385_Insulation_R_Values.pdf</t>
  </si>
  <si>
    <t>R-values of Insulation and Other Building Materials - Archtoolbox</t>
  </si>
  <si>
    <t>Resilient &amp; Equitable Decarbonization Initiative (REDi) Scope 3 Wall/ Roof Type Calculator</t>
  </si>
  <si>
    <t xml:space="preserve">INSTRUCTIONS:
· Create one table for each unique Assembly (wall type or roof type) cited in the Scope 3 Analysis tab. Create additional tables if needed.
· The table should match the contruction details of the project's proposed assembly
· If R-Values are not yet known for the products being specified, use values from the R-Value Lookup tab. 
· Use Derated Assembly Factor for all cavity insulation. Use "100%" for all continuous layers, and the values in the chart to the right for cavity insulation.
· For continuous insulation, use the average thickness across the assembly if not consistent (e.g., sloped roof insulation). If not known, use the minimum thickness . 			
					</t>
  </si>
  <si>
    <t xml:space="preserve">· Create one table for each unique Assembly (wall type or roof type) cited in the Scope 3 Analysis tab. Create additional tables if needed.
· The table should match the contruction details of the project's proposed assembly
· If R-Values are not yet known for the products being specified, use values from the R-Value Lookup tab. 
· Use Derated Assembly Factor for all cavity insulation. Use "100%" for all continuous layers, and the values in the chart to the right for cavity insulation.
· For continuous insulation, use the average thickness across the assembly if not consistent (e.g., sloped roof insulation). If not known, use the minimum thickness.
· For R-Value for each product, fill in Nominal R-Value/ inch and Thickness which will calculate Total Nominal R-Value, OR fill in Total Nominal R-Value and leave the other two columns blank.
					</t>
  </si>
  <si>
    <t>Derated Assembly Factor for Cavity Insulation</t>
  </si>
  <si>
    <t>Wood Cavity Type</t>
  </si>
  <si>
    <t>Framing Spacing</t>
  </si>
  <si>
    <t>Framing Percentage</t>
  </si>
  <si>
    <t>Derated Assembly factor</t>
  </si>
  <si>
    <t>Wall: All cavity depths</t>
  </si>
  <si>
    <t>16" o.c.</t>
  </si>
  <si>
    <t>24" o.c.</t>
  </si>
  <si>
    <t>Floor/ Roof: All cavity depths</t>
  </si>
  <si>
    <t>48" o.c.</t>
  </si>
  <si>
    <t>Metal Cavity Type</t>
  </si>
  <si>
    <t>Wall: 3 5/8" cavity</t>
  </si>
  <si>
    <t>n/a</t>
  </si>
  <si>
    <t>Wall: 6" cavity</t>
  </si>
  <si>
    <t>Roof: 3 5/8" cavity</t>
  </si>
  <si>
    <t>Roof: 6" cavity</t>
  </si>
  <si>
    <t>Roof: 12" cavity</t>
  </si>
  <si>
    <t>Assembly 1</t>
  </si>
  <si>
    <t>Name of Assembly (must correspond w/ Roof or Wall Type from Scope 3 Analysis)--&gt;</t>
  </si>
  <si>
    <t>Example: Exposed Exterior Wall</t>
  </si>
  <si>
    <t>Material (exterior to interior)</t>
  </si>
  <si>
    <t>Nominal R-Value per inch*</t>
  </si>
  <si>
    <r>
      <t xml:space="preserve">Thickness (in inches) 
</t>
    </r>
    <r>
      <rPr>
        <i/>
        <sz val="9"/>
        <color rgb="FFFFFFFF"/>
        <rFont val="Aptos"/>
        <family val="2"/>
      </rPr>
      <t>(use 1 if thickness is already factored into Nominal R-Value per inch)</t>
    </r>
  </si>
  <si>
    <r>
      <t xml:space="preserve">Total Nominal R-Value 
</t>
    </r>
    <r>
      <rPr>
        <i/>
        <sz val="9"/>
        <color rgb="FFFFFFFF"/>
        <rFont val="Aptos"/>
        <family val="2"/>
      </rPr>
      <t xml:space="preserve">(autocalculated) </t>
    </r>
  </si>
  <si>
    <r>
      <rPr>
        <b/>
        <sz val="9"/>
        <color rgb="FFFFFFFF"/>
        <rFont val="Aptos"/>
        <family val="2"/>
      </rPr>
      <t xml:space="preserve">Derated Assembly Factor </t>
    </r>
    <r>
      <rPr>
        <i/>
        <sz val="9"/>
        <color rgb="FFFFFFFF"/>
        <rFont val="Aptos"/>
        <family val="2"/>
      </rPr>
      <t>(from chart above. use  100% except cavity construction)**</t>
    </r>
  </si>
  <si>
    <t xml:space="preserve">Adjusted R-Value </t>
  </si>
  <si>
    <t>Example: 3-Wythe Masonry Wall</t>
  </si>
  <si>
    <t>Example: Wood stud @ 16" OC w/ R-11 Batt Insulation</t>
  </si>
  <si>
    <t>Example: 1" EPS</t>
  </si>
  <si>
    <t>Example: 5/8" GWB</t>
  </si>
  <si>
    <t>TOTAL</t>
  </si>
  <si>
    <t>&lt;--Use this value in Scope 3 Analysis</t>
  </si>
  <si>
    <t>Assembly 2</t>
  </si>
  <si>
    <t>Example: Typical Roof</t>
  </si>
  <si>
    <t>Example: Roof Membrane</t>
  </si>
  <si>
    <t>Example: Polyiso insulation, tapered</t>
  </si>
  <si>
    <t>Example: 5/8" Plywood</t>
  </si>
  <si>
    <t>Example: 12" Fiberglass Blown Insulation</t>
  </si>
  <si>
    <t>Assembly 3</t>
  </si>
  <si>
    <t>Assembly 4</t>
  </si>
  <si>
    <t>Assembly 5</t>
  </si>
  <si>
    <t>CALCULATIONS FOR DERATED ASSEMBLY FACTOR:</t>
  </si>
  <si>
    <t>Wood Cavity Type/ Depth:</t>
  </si>
  <si>
    <t>Energy Code Ace - Table 4.1.1 U-Factor Calculations for Wood Framed Assembly</t>
  </si>
  <si>
    <t>Metal Cavity Type/ Depth:</t>
  </si>
  <si>
    <t>See below</t>
  </si>
  <si>
    <t>Metal Assemblies Calculator</t>
  </si>
  <si>
    <t>Walls: Steel Stud</t>
  </si>
  <si>
    <t>Nominal R-Val</t>
  </si>
  <si>
    <t>16" O.C.</t>
  </si>
  <si>
    <t>24" O.C.</t>
  </si>
  <si>
    <t>U-Values and Derating Insulation (1).pdf</t>
  </si>
  <si>
    <t>Wall: 3.5"</t>
  </si>
  <si>
    <t>Wall: 6"</t>
  </si>
  <si>
    <t>Roof: Metal Framing</t>
  </si>
  <si>
    <t>48" O.C.</t>
  </si>
  <si>
    <t>Roof: 3.5"</t>
  </si>
  <si>
    <t>Roof: 6.25"</t>
  </si>
  <si>
    <t>Roof: 12"</t>
  </si>
  <si>
    <r>
      <rPr>
        <b/>
        <sz val="11"/>
        <color rgb="FFFFFFFF"/>
        <rFont val="Aptos"/>
        <family val="2"/>
      </rPr>
      <t xml:space="preserve">INSTRUCTIONS:
</t>
    </r>
    <r>
      <rPr>
        <sz val="11"/>
        <color rgb="FF000000"/>
        <rFont val="Aptos"/>
        <family val="2"/>
      </rPr>
      <t>· Create one table for each unique wall type or roof type cited in the Scope 3 Analysis tab. 
-Must match the attached details for each assembly
-Use R-Value Lookup for R-values for common materials
-Use Derated Assembly U-Factor for common assemblies- the chart on the right can be used to identify typical values
-For roofs, use the average thickness of continuous insulation</t>
    </r>
    <r>
      <rPr>
        <sz val="11"/>
        <color rgb="FFFF0000"/>
        <rFont val="Aptos"/>
        <family val="2"/>
      </rPr>
      <t xml:space="preserve"> ???????</t>
    </r>
  </si>
  <si>
    <t>&lt;--FIX</t>
  </si>
  <si>
    <t>&lt;--Add for typical roofs?</t>
  </si>
  <si>
    <t xml:space="preserve">Calculator for this assembly: </t>
  </si>
  <si>
    <t>Inches/ Thickness</t>
  </si>
  <si>
    <t>Total Nominal Value</t>
  </si>
  <si>
    <r>
      <t xml:space="preserve">Derated Assembly U-Factor </t>
    </r>
    <r>
      <rPr>
        <i/>
        <sz val="9"/>
        <color rgb="FFFFFFFF"/>
        <rFont val="Aptos"/>
        <family val="2"/>
      </rPr>
      <t>(use 1 except cavity construction)**</t>
    </r>
  </si>
  <si>
    <t xml:space="preserve"> Derated Assembly Total</t>
  </si>
  <si>
    <t>3-Wythe Masonry Wall</t>
  </si>
  <si>
    <t>3.5" Stud @ 16" OC w/ Batt Insulation</t>
  </si>
  <si>
    <t>1" EPS</t>
  </si>
  <si>
    <t>5/8" GWB</t>
  </si>
  <si>
    <t>*R-Value Lookup tab for R-Values of common building materials</t>
  </si>
  <si>
    <t>**See Derated Assembly U-Factor Chart for values for typical cavity framing factor</t>
  </si>
  <si>
    <t>2" EPS</t>
  </si>
  <si>
    <t>Rigid Insulation, sloped</t>
  </si>
  <si>
    <t>Plywood sheating, 3/4"</t>
  </si>
  <si>
    <t>12" Joists w/ Batt Insulataion</t>
  </si>
  <si>
    <t>**See Derated ASsembly U-Factor Chart for values for typical cavity framing factor</t>
  </si>
  <si>
    <t>R-Value Table</t>
  </si>
  <si>
    <t>Source: 2021 ASHRAE Fundamentals</t>
  </si>
  <si>
    <t>Material</t>
  </si>
  <si>
    <t>Thickness (inches)</t>
  </si>
  <si>
    <t xml:space="preserve"> Resistance R-Value
(h⋅°F⋅ft2) / BTU</t>
  </si>
  <si>
    <t>Insulation Materials</t>
  </si>
  <si>
    <t>Fiberglass Batts</t>
  </si>
  <si>
    <t>/inch</t>
  </si>
  <si>
    <t>Fiberglass Batts - high density</t>
  </si>
  <si>
    <t>Fiberglass Blown - attic 4"</t>
  </si>
  <si>
    <t>4</t>
  </si>
  <si>
    <t>Fiberglass Blown - attic 12"</t>
  </si>
  <si>
    <t>12</t>
  </si>
  <si>
    <t>Fiberglass Blown - attic</t>
  </si>
  <si>
    <t>22</t>
  </si>
  <si>
    <t>Fiberglass Blown - wall</t>
  </si>
  <si>
    <t>Rock Wool Batt</t>
  </si>
  <si>
    <t>Rock Wool Blown - attic 3.5"</t>
  </si>
  <si>
    <t>3.5</t>
  </si>
  <si>
    <t>Rock Wool Blown - attic 4.5"</t>
  </si>
  <si>
    <t>4.5</t>
  </si>
  <si>
    <t>Rock Wool Blown - attic 5"</t>
  </si>
  <si>
    <t>5</t>
  </si>
  <si>
    <t>Rock Wool Blown - attic 17"</t>
  </si>
  <si>
    <t>17</t>
  </si>
  <si>
    <t>Rock Wool Blown - wall</t>
  </si>
  <si>
    <t>Cellulose Blown - attic</t>
  </si>
  <si>
    <t>&lt;4</t>
  </si>
  <si>
    <t>&gt;4</t>
  </si>
  <si>
    <t>Cellulose Blown - wall</t>
  </si>
  <si>
    <t>Vermiculite</t>
  </si>
  <si>
    <t>Autoclaved Aerated Concrete</t>
  </si>
  <si>
    <t>Urea Terpolymer Foam</t>
  </si>
  <si>
    <t>Rigid Fiberglass</t>
  </si>
  <si>
    <t>Expanded Polystyrene</t>
  </si>
  <si>
    <t>Extruded Polystyrene</t>
  </si>
  <si>
    <t>Polyurethane (low density)</t>
  </si>
  <si>
    <t>Polyurethane (med density)</t>
  </si>
  <si>
    <t>Polyisocyanurate (unfaced)</t>
  </si>
  <si>
    <t>Polyisocyanurate (with foil facers)</t>
  </si>
  <si>
    <t>Construction Materials</t>
  </si>
  <si>
    <t>Concrete Block</t>
  </si>
  <si>
    <t>Brick (110 lbs/ft3)</t>
  </si>
  <si>
    <t>Brick Face</t>
  </si>
  <si>
    <t>Poured Concrete</t>
  </si>
  <si>
    <t>Soft Wood Lumber</t>
  </si>
  <si>
    <t>Logs and Lumber</t>
  </si>
  <si>
    <t>Sheathing Materials</t>
  </si>
  <si>
    <t>Plywood</t>
  </si>
  <si>
    <t>Fiberboard</t>
  </si>
  <si>
    <t>Fiberglass</t>
  </si>
  <si>
    <t>Polyisocyanurate</t>
  </si>
  <si>
    <t>Siding Materials</t>
  </si>
  <si>
    <t>Hardboard</t>
  </si>
  <si>
    <t>Wood Bevel Lapped</t>
  </si>
  <si>
    <t>Aluminum, Steel, Vinyl (hollow backed)</t>
  </si>
  <si>
    <t>w/ 1/2" insulating board</t>
  </si>
  <si>
    <t>Brick</t>
  </si>
  <si>
    <t>Interior Finish Materials</t>
  </si>
  <si>
    <t>Gypsum Board</t>
  </si>
  <si>
    <t>Paneling</t>
  </si>
  <si>
    <t>Windows</t>
  </si>
  <si>
    <t>U-Factors for Fenestration Products from ASHRAE (Btu/(h⋅°F⋅ft2)</t>
  </si>
  <si>
    <t>Single Glazing - 1/8" piece of glass, aluminum frame, operable</t>
  </si>
  <si>
    <t>Single Glazing - 1/8" piece of glass, aluminum frame, fixed</t>
  </si>
  <si>
    <t>Single Glazing w/ storm</t>
  </si>
  <si>
    <t xml:space="preserve">Double Glazing </t>
  </si>
  <si>
    <t>Double Insulating Glass</t>
  </si>
  <si>
    <t>Double Glazing  - 1/4" air space, aluminum frame, operable</t>
  </si>
  <si>
    <t>Double Glazing  - 1/4" air space, aluminum frame, fixed</t>
  </si>
  <si>
    <t>Double Glazing  - 1/2" air space, aluminum frame, operable</t>
  </si>
  <si>
    <t>Double Glazing  - 1/2" air space, aluminum frame, fixed</t>
  </si>
  <si>
    <t>Double Glazing - 1/2" air space w/ Low-E 0.20, aluminum frame operable</t>
  </si>
  <si>
    <t>Double Glazing - 1/2" air space w/ Low-E 0.20, aluminum frame, fixed</t>
  </si>
  <si>
    <t>Double Insulating Glass w/ suspended film</t>
  </si>
  <si>
    <t>Double Insulating Glass w/ 2 suspended films</t>
  </si>
  <si>
    <t>Double Insulating Glass w/ suspended film and Low-E</t>
  </si>
  <si>
    <t>Triple Glazing - 1/2" air space w/ Low-E 0.20, aluminum frame, operable</t>
  </si>
  <si>
    <t>Triple Glazing - 1/2" air space w/ Low-E 0.20, aluminum frame, fixed</t>
  </si>
  <si>
    <t>Triple Insulating Glass</t>
  </si>
  <si>
    <t>Addition for tight fitting drapes or shades, or closed blinds</t>
  </si>
  <si>
    <t>Doors</t>
  </si>
  <si>
    <t>Wood Hollow Core Flush</t>
  </si>
  <si>
    <t>Solid Core Flush</t>
  </si>
  <si>
    <t>Panel Door w/ 7/16" Panels</t>
  </si>
  <si>
    <t>Storm Door (wood 50% glass)</t>
  </si>
  <si>
    <t>Storm Door (metal)</t>
  </si>
  <si>
    <t>Metal Insulating (2" w/ urethane)</t>
  </si>
  <si>
    <t>Air Films</t>
  </si>
  <si>
    <t>Summer Interior Wall</t>
  </si>
  <si>
    <t>Summer Exterior Wall</t>
  </si>
  <si>
    <t>Summer Interior Ceiling Horizontal</t>
  </si>
  <si>
    <t>Summer Interior Ceiling 45 degree</t>
  </si>
  <si>
    <t>Summer Exterior Ceiling</t>
  </si>
  <si>
    <t>Winter Interior Wall</t>
  </si>
  <si>
    <t>Winter Exterior Wall</t>
  </si>
  <si>
    <t>Winter Interior Ceiling Horizontal</t>
  </si>
  <si>
    <t>Winter Interior Ceiling 45 degree</t>
  </si>
  <si>
    <t>Winter Exterior Ceiling</t>
  </si>
  <si>
    <t>Air Spaces</t>
  </si>
  <si>
    <t>Air spaces</t>
  </si>
  <si>
    <t>0.5-4</t>
  </si>
  <si>
    <t>Source:</t>
  </si>
  <si>
    <t>2021 ASHRAE Fundamentals</t>
  </si>
  <si>
    <t>2021 Ashrae Fundamentals</t>
  </si>
  <si>
    <t>R/Inch
hrxft2xF/Btu</t>
  </si>
  <si>
    <t>R/Thickness
hrxft2xF/Btu</t>
  </si>
  <si>
    <t>3.5 hi</t>
  </si>
  <si>
    <t>5.25 hi</t>
  </si>
  <si>
    <t>8 hi</t>
  </si>
  <si>
    <t>9.5 hi</t>
  </si>
  <si>
    <t>Rock Wool Blown - attic</t>
  </si>
  <si>
    <t>cellulose blown - attic</t>
  </si>
  <si>
    <t>cellulose blown - wall</t>
  </si>
  <si>
    <t>vermiculite</t>
  </si>
  <si>
    <t>autoclaved aerated concrete</t>
  </si>
  <si>
    <t>Urea Terpolymer foam</t>
  </si>
  <si>
    <t>Rigid fiberglass</t>
  </si>
  <si>
    <t>Expanded polystyrene</t>
  </si>
  <si>
    <t>extruded polystyrene</t>
  </si>
  <si>
    <t>polyurethane med density</t>
  </si>
  <si>
    <t>polyisocyanurate</t>
  </si>
  <si>
    <t>Concrete block</t>
  </si>
  <si>
    <t>8 inch</t>
  </si>
  <si>
    <t>12 inch</t>
  </si>
  <si>
    <t>Brick face</t>
  </si>
  <si>
    <t>concrete</t>
  </si>
  <si>
    <t>soft wood</t>
  </si>
  <si>
    <t>1 1/2 in</t>
  </si>
  <si>
    <t>3 1/2 in</t>
  </si>
  <si>
    <t>5 1/2 in</t>
  </si>
  <si>
    <t>log</t>
  </si>
  <si>
    <t>plywood</t>
  </si>
  <si>
    <t>3/4 in fiberglass</t>
  </si>
  <si>
    <t>Fiberglass board</t>
  </si>
  <si>
    <t>1.5 in fiberglass</t>
  </si>
  <si>
    <t>Polyisocyanurate 3/4 in</t>
  </si>
  <si>
    <t>1.5 inches</t>
  </si>
  <si>
    <t>Hardboard (1/2")</t>
  </si>
  <si>
    <t>plywood (5/8")</t>
  </si>
  <si>
    <t>3/4 in</t>
  </si>
  <si>
    <t>wood bevel lapped</t>
  </si>
  <si>
    <t>aluminum/steel/vinyl (hollow backed)</t>
  </si>
  <si>
    <t>gypsum board (1/2)"</t>
  </si>
  <si>
    <t>5/8"</t>
  </si>
  <si>
    <t>R/ Thickness</t>
  </si>
  <si>
    <t>U values from ASHRAE</t>
  </si>
  <si>
    <t>single 1/8 in</t>
  </si>
  <si>
    <t>1/4 in air</t>
  </si>
  <si>
    <t>0.52 center, 0.62 edge</t>
  </si>
  <si>
    <t>1/2 in air</t>
  </si>
  <si>
    <t>0.48 center, 0.59 edge</t>
  </si>
  <si>
    <t>1/2 in low e (0.2)</t>
  </si>
  <si>
    <t>0.35 center, 0.5 edge</t>
  </si>
  <si>
    <t>triple insulating</t>
  </si>
  <si>
    <t>triple, 1/2 in</t>
  </si>
  <si>
    <t>0.25 center, 0.42 edge</t>
  </si>
  <si>
    <t xml:space="preserve">Source: </t>
  </si>
  <si>
    <t>ColoradoENERGY.org - R-Value Table</t>
  </si>
  <si>
    <t>https://www1.eere.energy.gov/buildings/publications/pdfs/building_america/building_materials_property_table.pdf</t>
  </si>
  <si>
    <t>DROPDOWNS</t>
  </si>
  <si>
    <t>Frame type</t>
  </si>
  <si>
    <t>Operation</t>
  </si>
  <si>
    <t>Conditions</t>
  </si>
  <si>
    <t>Nonmetal framing</t>
  </si>
  <si>
    <t>Fixed</t>
  </si>
  <si>
    <t>Sliding</t>
  </si>
  <si>
    <t>Reported by Site Staff</t>
  </si>
  <si>
    <t>Double Hung</t>
  </si>
  <si>
    <t>From Drawings</t>
  </si>
  <si>
    <t>Curtainwall</t>
  </si>
  <si>
    <t>Visual Confirmation</t>
  </si>
  <si>
    <t>Entrance doors</t>
  </si>
  <si>
    <t>Other (Please describe in Additional Notes)</t>
  </si>
  <si>
    <t>Other, Operable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</si>
</sst>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
    <numFmt numFmtId="166" formatCode="0.000"/>
  </numFmts>
  <fonts count="56" x14ac:knownFonts="1">
    <font>
      <sz val="11"/>
      <color theme="1"/>
      <name val="Calibri"/>
      <family val="2"/>
      <scheme val="minor"/>
    </font>
    <font>
      <sz val="10"/>
      <name val="Arial"/>
      <family val="2"/>
    </font>
    <font>
      <sz val="11"/>
      <color theme="1"/>
      <name val="Calibri"/>
      <family val="2"/>
      <scheme val="minor"/>
    </font>
    <font>
      <sz val="10"/>
      <color rgb="FF000000"/>
      <name val="Arial"/>
      <family val="2"/>
    </font>
    <font>
      <u/>
      <sz val="11"/>
      <color theme="10"/>
      <name val="Calibri"/>
      <family val="2"/>
      <scheme val="minor"/>
    </font>
    <font>
      <sz val="11"/>
      <color rgb="FF9C6500"/>
      <name val="Calibri"/>
      <family val="2"/>
      <scheme val="minor"/>
    </font>
    <font>
      <sz val="10"/>
      <color rgb="FF000000"/>
      <name val="Arial"/>
      <family val="2"/>
    </font>
    <font>
      <u/>
      <sz val="10"/>
      <color theme="10"/>
      <name val="Arial"/>
      <family val="2"/>
    </font>
    <font>
      <sz val="11"/>
      <color theme="1"/>
      <name val="Arial"/>
      <family val="2"/>
    </font>
    <font>
      <b/>
      <sz val="11"/>
      <color theme="1"/>
      <name val="Calibri"/>
      <family val="2"/>
      <scheme val="minor"/>
    </font>
    <font>
      <b/>
      <sz val="10"/>
      <color rgb="FF0099CC"/>
      <name val="Aptos"/>
      <family val="2"/>
    </font>
    <font>
      <sz val="10"/>
      <color theme="1"/>
      <name val="Aptos"/>
      <family val="2"/>
    </font>
    <font>
      <b/>
      <sz val="10"/>
      <color theme="0"/>
      <name val="Aptos"/>
      <family val="2"/>
    </font>
    <font>
      <b/>
      <sz val="10"/>
      <color theme="1"/>
      <name val="Aptos"/>
      <family val="2"/>
    </font>
    <font>
      <b/>
      <sz val="11"/>
      <color theme="0"/>
      <name val="Aptos"/>
      <family val="2"/>
    </font>
    <font>
      <sz val="11"/>
      <color theme="1"/>
      <name val="Aptos"/>
      <family val="2"/>
    </font>
    <font>
      <sz val="10"/>
      <color rgb="FF000000"/>
      <name val="Aptos"/>
      <family val="2"/>
    </font>
    <font>
      <sz val="10"/>
      <name val="Aptos"/>
      <family val="2"/>
    </font>
    <font>
      <i/>
      <sz val="10"/>
      <name val="Aptos"/>
      <family val="2"/>
    </font>
    <font>
      <b/>
      <sz val="10"/>
      <name val="Aptos"/>
      <family val="2"/>
    </font>
    <font>
      <b/>
      <sz val="11"/>
      <name val="Aptos"/>
      <family val="2"/>
    </font>
    <font>
      <i/>
      <sz val="10"/>
      <color rgb="FF000000"/>
      <name val="Aptos"/>
      <family val="2"/>
    </font>
    <font>
      <b/>
      <sz val="10"/>
      <color rgb="FFFFFFFF"/>
      <name val="Aptos"/>
      <family val="2"/>
    </font>
    <font>
      <i/>
      <sz val="10"/>
      <color theme="1"/>
      <name val="Aptos"/>
      <family val="2"/>
    </font>
    <font>
      <b/>
      <sz val="10"/>
      <color rgb="FF000000"/>
      <name val="Aptos"/>
      <family val="2"/>
    </font>
    <font>
      <i/>
      <sz val="9"/>
      <color rgb="FFFFFFFF"/>
      <name val="Aptos"/>
      <family val="2"/>
    </font>
    <font>
      <sz val="10"/>
      <color rgb="FFFF0000"/>
      <name val="Aptos"/>
      <family val="2"/>
    </font>
    <font>
      <u/>
      <sz val="10"/>
      <color theme="10"/>
      <name val="Aptos"/>
      <family val="2"/>
    </font>
    <font>
      <b/>
      <sz val="11"/>
      <color rgb="FF0099CC"/>
      <name val="Aptos"/>
      <family val="2"/>
    </font>
    <font>
      <b/>
      <sz val="20"/>
      <color theme="0"/>
      <name val="Aptos"/>
      <family val="2"/>
    </font>
    <font>
      <b/>
      <sz val="10.5"/>
      <color theme="0"/>
      <name val="Aptos"/>
      <family val="2"/>
    </font>
    <font>
      <b/>
      <sz val="9"/>
      <color rgb="FFFFFFFF"/>
      <name val="Aptos"/>
      <family val="2"/>
    </font>
    <font>
      <b/>
      <sz val="11"/>
      <color rgb="FFFFFFFF"/>
      <name val="Aptos"/>
      <family val="2"/>
    </font>
    <font>
      <sz val="11"/>
      <color rgb="FF000000"/>
      <name val="Aptos"/>
      <family val="2"/>
    </font>
    <font>
      <sz val="11"/>
      <color rgb="FFFF0000"/>
      <name val="Aptos"/>
      <family val="2"/>
    </font>
    <font>
      <b/>
      <sz val="10"/>
      <color theme="1"/>
      <name val="Calibri"/>
      <family val="2"/>
      <scheme val="minor"/>
    </font>
    <font>
      <sz val="10"/>
      <color theme="1"/>
      <name val="Calibri"/>
      <family val="2"/>
      <scheme val="minor"/>
    </font>
    <font>
      <b/>
      <sz val="14"/>
      <color theme="1"/>
      <name val="Calibri"/>
      <family val="2"/>
      <scheme val="minor"/>
    </font>
    <font>
      <b/>
      <i/>
      <sz val="11"/>
      <color theme="1"/>
      <name val="Calibri"/>
      <family val="2"/>
      <scheme val="minor"/>
    </font>
    <font>
      <i/>
      <u/>
      <sz val="11"/>
      <color theme="10"/>
      <name val="Calibri"/>
      <family val="2"/>
      <scheme val="minor"/>
    </font>
    <font>
      <i/>
      <sz val="11"/>
      <color theme="1"/>
      <name val="Calibri"/>
      <family val="2"/>
      <scheme val="minor"/>
    </font>
    <font>
      <b/>
      <sz val="11"/>
      <color theme="1"/>
      <name val="Aptos Narrow"/>
      <family val="2"/>
    </font>
    <font>
      <sz val="11"/>
      <color theme="1"/>
      <name val="Aptos Narrow"/>
      <family val="2"/>
    </font>
    <font>
      <b/>
      <sz val="12"/>
      <color theme="1"/>
      <name val="Aptos Narrow"/>
      <family val="2"/>
    </font>
    <font>
      <sz val="9"/>
      <color rgb="FF000000"/>
      <name val="Aptos"/>
      <family val="2"/>
    </font>
    <font>
      <u/>
      <sz val="9"/>
      <color theme="10"/>
      <name val="Aptos"/>
      <family val="2"/>
    </font>
    <font>
      <sz val="11"/>
      <color rgb="FF242424"/>
      <name val="Calibri"/>
      <family val="2"/>
      <charset val="1"/>
    </font>
    <font>
      <b/>
      <sz val="11"/>
      <color theme="0"/>
      <name val="Calibri"/>
      <family val="2"/>
      <scheme val="minor"/>
    </font>
    <font>
      <b/>
      <sz val="16"/>
      <color theme="1"/>
      <name val="Calibri"/>
      <family val="2"/>
      <scheme val="minor"/>
    </font>
    <font>
      <sz val="11"/>
      <color theme="9"/>
      <name val="Calibri"/>
      <family val="2"/>
      <scheme val="minor"/>
    </font>
    <font>
      <sz val="16"/>
      <color theme="9"/>
      <name val="Aptos"/>
      <family val="2"/>
    </font>
    <font>
      <sz val="20"/>
      <color theme="9"/>
      <name val="Aptos"/>
      <family val="2"/>
    </font>
    <font>
      <sz val="11"/>
      <color rgb="FF242424"/>
      <name val="Aptos Narrow"/>
      <family val="2"/>
    </font>
    <font>
      <b/>
      <sz val="11"/>
      <color theme="1"/>
      <name val="Aptos"/>
      <family val="2"/>
    </font>
    <font>
      <b/>
      <sz val="12"/>
      <color theme="1"/>
      <name val="Aptos"/>
      <family val="2"/>
    </font>
    <font>
      <i/>
      <sz val="14"/>
      <color theme="0"/>
      <name val="Aptos"/>
      <family val="2"/>
    </font>
  </fonts>
  <fills count="19">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5" tint="0.39997558519241921"/>
        <bgColor indexed="64"/>
      </patternFill>
    </fill>
    <fill>
      <patternFill patternType="solid">
        <fgColor theme="0"/>
        <bgColor indexed="64"/>
      </patternFill>
    </fill>
    <fill>
      <patternFill patternType="solid">
        <fgColor rgb="FFCFE5E9"/>
        <bgColor indexed="64"/>
      </patternFill>
    </fill>
    <fill>
      <patternFill patternType="solid">
        <fgColor rgb="FFF15923"/>
        <bgColor indexed="64"/>
      </patternFill>
    </fill>
    <fill>
      <patternFill patternType="solid">
        <fgColor theme="7" tint="0.59999389629810485"/>
        <bgColor indexed="64"/>
      </patternFill>
    </fill>
    <fill>
      <patternFill patternType="solid">
        <fgColor theme="4"/>
        <bgColor indexed="64"/>
      </patternFill>
    </fill>
    <fill>
      <patternFill patternType="solid">
        <fgColor theme="8" tint="0.79998168889431442"/>
        <bgColor indexed="64"/>
      </patternFill>
    </fill>
    <fill>
      <patternFill patternType="solid">
        <fgColor rgb="FFF4B084"/>
        <bgColor indexed="64"/>
      </patternFill>
    </fill>
    <fill>
      <patternFill patternType="solid">
        <fgColor theme="0" tint="-0.249977111117893"/>
        <bgColor indexed="64"/>
      </patternFill>
    </fill>
    <fill>
      <patternFill patternType="solid">
        <fgColor theme="7"/>
        <bgColor indexed="64"/>
      </patternFill>
    </fill>
    <fill>
      <patternFill patternType="solid">
        <fgColor rgb="FF0099F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24997711111789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s>
  <cellStyleXfs count="18">
    <xf numFmtId="0" fontId="0" fillId="0" borderId="0"/>
    <xf numFmtId="0" fontId="1" fillId="0" borderId="0"/>
    <xf numFmtId="0" fontId="3" fillId="0" borderId="0"/>
    <xf numFmtId="0" fontId="4" fillId="0" borderId="0" applyNumberFormat="0" applyFill="0" applyBorder="0" applyAlignment="0" applyProtection="0"/>
    <xf numFmtId="0" fontId="1" fillId="0" borderId="0"/>
    <xf numFmtId="0" fontId="1" fillId="0" borderId="0"/>
    <xf numFmtId="0" fontId="1" fillId="0" borderId="0"/>
    <xf numFmtId="0" fontId="5" fillId="2" borderId="0" applyNumberFormat="0" applyBorder="0" applyAlignment="0" applyProtection="0"/>
    <xf numFmtId="0" fontId="2"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xf numFmtId="0" fontId="7"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8" fillId="0" borderId="0"/>
    <xf numFmtId="9" fontId="2" fillId="0" borderId="0" applyFont="0" applyFill="0" applyBorder="0" applyAlignment="0" applyProtection="0"/>
  </cellStyleXfs>
  <cellXfs count="339">
    <xf numFmtId="0" fontId="0" fillId="0" borderId="0" xfId="0"/>
    <xf numFmtId="0" fontId="9" fillId="0" borderId="0" xfId="0" applyFont="1"/>
    <xf numFmtId="0" fontId="9" fillId="0" borderId="1" xfId="0" applyFont="1" applyBorder="1"/>
    <xf numFmtId="0" fontId="10" fillId="12" borderId="0" xfId="0" applyFont="1" applyFill="1" applyAlignment="1">
      <alignment vertical="center"/>
    </xf>
    <xf numFmtId="0" fontId="11" fillId="12" borderId="0" xfId="0" applyFont="1" applyFill="1" applyAlignment="1">
      <alignment vertical="center"/>
    </xf>
    <xf numFmtId="0" fontId="28" fillId="12" borderId="0" xfId="0" applyFont="1" applyFill="1" applyAlignment="1">
      <alignment vertical="top" wrapText="1"/>
    </xf>
    <xf numFmtId="0" fontId="10" fillId="12" borderId="0" xfId="0" applyFont="1" applyFill="1" applyAlignment="1">
      <alignment horizontal="center" vertical="center"/>
    </xf>
    <xf numFmtId="0" fontId="13" fillId="12" borderId="0" xfId="0" applyFont="1" applyFill="1" applyAlignment="1">
      <alignment wrapText="1"/>
    </xf>
    <xf numFmtId="0" fontId="27" fillId="12" borderId="0" xfId="3" applyFont="1" applyFill="1" applyAlignment="1" applyProtection="1"/>
    <xf numFmtId="0" fontId="11" fillId="12" borderId="0" xfId="0" applyFont="1" applyFill="1"/>
    <xf numFmtId="0" fontId="11" fillId="12" borderId="0" xfId="0" applyFont="1" applyFill="1" applyAlignment="1">
      <alignment horizontal="center"/>
    </xf>
    <xf numFmtId="0" fontId="15" fillId="12" borderId="0" xfId="0" applyFont="1" applyFill="1" applyAlignment="1">
      <alignment horizontal="left" vertical="top"/>
    </xf>
    <xf numFmtId="0" fontId="15" fillId="12" borderId="0" xfId="0" applyFont="1" applyFill="1"/>
    <xf numFmtId="0" fontId="15" fillId="12" borderId="0" xfId="0" applyFont="1" applyFill="1" applyAlignment="1">
      <alignment vertical="top"/>
    </xf>
    <xf numFmtId="0" fontId="26" fillId="12" borderId="0" xfId="0" applyFont="1" applyFill="1"/>
    <xf numFmtId="0" fontId="11" fillId="12" borderId="0" xfId="0" applyFont="1" applyFill="1" applyAlignment="1">
      <alignment vertical="center" wrapText="1"/>
    </xf>
    <xf numFmtId="0" fontId="12" fillId="9"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11" fillId="0" borderId="0" xfId="0" applyFont="1" applyAlignment="1">
      <alignment vertical="center" wrapText="1"/>
    </xf>
    <xf numFmtId="0" fontId="11" fillId="12" borderId="0" xfId="0" applyFont="1" applyFill="1" applyAlignment="1">
      <alignment vertical="top" wrapText="1"/>
    </xf>
    <xf numFmtId="1" fontId="11" fillId="0" borderId="1" xfId="0" applyNumberFormat="1" applyFont="1" applyBorder="1" applyAlignment="1">
      <alignment horizontal="center" vertical="center" wrapText="1"/>
    </xf>
    <xf numFmtId="0" fontId="11" fillId="0" borderId="0" xfId="0" applyFont="1" applyAlignment="1">
      <alignment vertical="top" wrapText="1"/>
    </xf>
    <xf numFmtId="0" fontId="16" fillId="0" borderId="1" xfId="0" applyFont="1" applyBorder="1" applyAlignment="1">
      <alignment horizontal="center" vertical="center" wrapText="1"/>
    </xf>
    <xf numFmtId="0" fontId="11" fillId="12" borderId="0" xfId="0" applyFont="1" applyFill="1" applyAlignment="1">
      <alignment wrapText="1"/>
    </xf>
    <xf numFmtId="0" fontId="18" fillId="12" borderId="0" xfId="0" applyFont="1" applyFill="1" applyAlignment="1">
      <alignment vertical="center" wrapText="1"/>
    </xf>
    <xf numFmtId="0" fontId="23" fillId="12" borderId="0" xfId="0" applyFont="1" applyFill="1" applyAlignment="1">
      <alignment horizontal="left" vertical="center" wrapText="1"/>
    </xf>
    <xf numFmtId="0" fontId="17" fillId="10" borderId="1" xfId="0" applyFont="1" applyFill="1" applyBorder="1" applyAlignment="1" applyProtection="1">
      <alignment horizontal="center" wrapText="1"/>
      <protection locked="0"/>
    </xf>
    <xf numFmtId="0" fontId="21" fillId="5" borderId="1" xfId="0" applyFont="1" applyFill="1" applyBorder="1" applyAlignment="1">
      <alignment horizontal="center" vertical="center" wrapText="1"/>
    </xf>
    <xf numFmtId="0" fontId="4" fillId="0" borderId="0" xfId="3"/>
    <xf numFmtId="0" fontId="21" fillId="12" borderId="0" xfId="0" applyFont="1" applyFill="1"/>
    <xf numFmtId="0" fontId="0" fillId="12" borderId="0" xfId="0" applyFill="1"/>
    <xf numFmtId="0" fontId="23" fillId="12" borderId="0" xfId="0" applyFont="1" applyFill="1"/>
    <xf numFmtId="0" fontId="35" fillId="13" borderId="0" xfId="0" applyFont="1" applyFill="1" applyAlignment="1">
      <alignment horizontal="center"/>
    </xf>
    <xf numFmtId="0" fontId="35" fillId="13" borderId="8" xfId="0" applyFont="1" applyFill="1" applyBorder="1"/>
    <xf numFmtId="0" fontId="36" fillId="0" borderId="8" xfId="0" applyFont="1" applyBorder="1" applyAlignment="1">
      <alignment horizontal="center"/>
    </xf>
    <xf numFmtId="9" fontId="36" fillId="0" borderId="8" xfId="0" applyNumberFormat="1" applyFont="1" applyBorder="1" applyAlignment="1">
      <alignment horizontal="center"/>
    </xf>
    <xf numFmtId="0" fontId="35" fillId="13" borderId="16" xfId="0" applyFont="1" applyFill="1" applyBorder="1"/>
    <xf numFmtId="165" fontId="36" fillId="0" borderId="8" xfId="0" applyNumberFormat="1" applyFont="1" applyBorder="1" applyAlignment="1">
      <alignment horizontal="center"/>
    </xf>
    <xf numFmtId="2" fontId="0" fillId="0" borderId="0" xfId="0" applyNumberFormat="1"/>
    <xf numFmtId="0" fontId="36" fillId="0" borderId="16" xfId="0" applyFont="1" applyBorder="1" applyAlignment="1">
      <alignment horizontal="center"/>
    </xf>
    <xf numFmtId="0" fontId="35" fillId="13" borderId="0" xfId="0" applyFont="1" applyFill="1"/>
    <xf numFmtId="0" fontId="0" fillId="0" borderId="1" xfId="0" applyBorder="1"/>
    <xf numFmtId="0" fontId="36" fillId="0" borderId="10" xfId="0" applyFont="1" applyBorder="1" applyAlignment="1">
      <alignment horizontal="center"/>
    </xf>
    <xf numFmtId="9" fontId="36" fillId="0" borderId="28" xfId="0" applyNumberFormat="1" applyFont="1" applyBorder="1" applyAlignment="1">
      <alignment horizontal="center"/>
    </xf>
    <xf numFmtId="9" fontId="36" fillId="0" borderId="16" xfId="0" applyNumberFormat="1" applyFont="1" applyBorder="1" applyAlignment="1">
      <alignment horizontal="center"/>
    </xf>
    <xf numFmtId="0" fontId="35" fillId="13" borderId="1" xfId="0" applyFont="1" applyFill="1" applyBorder="1"/>
    <xf numFmtId="0" fontId="37" fillId="0" borderId="0" xfId="0" applyFont="1"/>
    <xf numFmtId="0" fontId="38" fillId="0" borderId="13" xfId="0" applyFont="1" applyBorder="1"/>
    <xf numFmtId="0" fontId="39" fillId="0" borderId="0" xfId="3" applyFont="1"/>
    <xf numFmtId="0" fontId="40" fillId="0" borderId="0" xfId="0" applyFont="1"/>
    <xf numFmtId="0" fontId="35" fillId="0" borderId="0" xfId="0" applyFont="1"/>
    <xf numFmtId="0" fontId="35" fillId="0" borderId="0" xfId="0" applyFont="1" applyAlignment="1">
      <alignment horizontal="center"/>
    </xf>
    <xf numFmtId="0" fontId="4" fillId="0" borderId="0" xfId="3" applyFill="1" applyBorder="1"/>
    <xf numFmtId="0" fontId="36" fillId="0" borderId="0" xfId="0" applyFont="1" applyAlignment="1">
      <alignment horizontal="center"/>
    </xf>
    <xf numFmtId="9" fontId="36" fillId="0" borderId="0" xfId="0" applyNumberFormat="1" applyFont="1" applyAlignment="1">
      <alignment horizontal="center"/>
    </xf>
    <xf numFmtId="165" fontId="36" fillId="0" borderId="0" xfId="0"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0" fontId="9" fillId="0" borderId="0" xfId="0" applyFont="1" applyAlignment="1">
      <alignment horizontal="center" wrapText="1"/>
    </xf>
    <xf numFmtId="0" fontId="35" fillId="0" borderId="0" xfId="0" applyFont="1" applyAlignment="1">
      <alignment horizontal="center" vertical="center" wrapText="1"/>
    </xf>
    <xf numFmtId="0" fontId="36" fillId="0" borderId="0" xfId="0" applyFont="1"/>
    <xf numFmtId="0" fontId="41" fillId="15" borderId="1" xfId="0" applyFont="1" applyFill="1" applyBorder="1"/>
    <xf numFmtId="0" fontId="41" fillId="15" borderId="1" xfId="0" applyFont="1" applyFill="1" applyBorder="1" applyAlignment="1">
      <alignment horizontal="center"/>
    </xf>
    <xf numFmtId="0" fontId="42" fillId="0" borderId="1" xfId="0" applyFont="1" applyBorder="1"/>
    <xf numFmtId="0" fontId="42" fillId="0" borderId="1" xfId="0" applyFont="1" applyBorder="1" applyAlignment="1">
      <alignment horizontal="center"/>
    </xf>
    <xf numFmtId="9" fontId="42" fillId="0" borderId="1" xfId="17" applyFont="1" applyFill="1" applyBorder="1" applyAlignment="1">
      <alignment horizontal="center"/>
    </xf>
    <xf numFmtId="9" fontId="42" fillId="0" borderId="1" xfId="17" applyFont="1" applyBorder="1" applyAlignment="1">
      <alignment horizontal="center"/>
    </xf>
    <xf numFmtId="0" fontId="41" fillId="15" borderId="7" xfId="0" applyFont="1" applyFill="1" applyBorder="1"/>
    <xf numFmtId="0" fontId="41" fillId="15" borderId="7" xfId="0" applyFont="1" applyFill="1" applyBorder="1" applyAlignment="1">
      <alignment horizontal="center"/>
    </xf>
    <xf numFmtId="0" fontId="12" fillId="9" borderId="5" xfId="12" applyFont="1" applyFill="1" applyBorder="1" applyAlignment="1">
      <alignment horizontal="right" vertical="center"/>
    </xf>
    <xf numFmtId="2" fontId="13" fillId="0" borderId="7" xfId="0" applyNumberFormat="1" applyFont="1" applyBorder="1" applyAlignment="1">
      <alignment horizontal="center" vertical="center"/>
    </xf>
    <xf numFmtId="2" fontId="11" fillId="12" borderId="0" xfId="0" applyNumberFormat="1" applyFont="1" applyFill="1"/>
    <xf numFmtId="2" fontId="12" fillId="9" borderId="5" xfId="12" applyNumberFormat="1" applyFont="1" applyFill="1" applyBorder="1" applyAlignment="1">
      <alignment horizontal="left" vertical="center" wrapText="1"/>
    </xf>
    <xf numFmtId="2" fontId="12" fillId="9" borderId="14" xfId="12" applyNumberFormat="1" applyFont="1" applyFill="1" applyBorder="1" applyAlignment="1">
      <alignment horizontal="center" vertical="center" wrapText="1"/>
    </xf>
    <xf numFmtId="2" fontId="0" fillId="12" borderId="0" xfId="0" applyNumberFormat="1" applyFill="1"/>
    <xf numFmtId="0" fontId="10" fillId="12" borderId="0" xfId="0" applyFont="1" applyFill="1" applyAlignment="1">
      <alignment vertical="center" wrapText="1"/>
    </xf>
    <xf numFmtId="0" fontId="11" fillId="3" borderId="0" xfId="0" applyFont="1" applyFill="1" applyAlignment="1">
      <alignment vertical="center" wrapText="1"/>
    </xf>
    <xf numFmtId="0" fontId="10" fillId="12" borderId="0" xfId="0" applyFont="1" applyFill="1" applyAlignment="1">
      <alignment horizontal="center" vertical="center" wrapText="1"/>
    </xf>
    <xf numFmtId="0" fontId="27" fillId="12" borderId="0" xfId="3" applyFont="1" applyFill="1" applyAlignment="1" applyProtection="1">
      <alignment wrapText="1"/>
    </xf>
    <xf numFmtId="0" fontId="11" fillId="12" borderId="0" xfId="0" applyFont="1" applyFill="1" applyAlignment="1">
      <alignment horizontal="center" wrapText="1"/>
    </xf>
    <xf numFmtId="0" fontId="11" fillId="0" borderId="0" xfId="0" applyFont="1" applyAlignment="1">
      <alignment wrapText="1"/>
    </xf>
    <xf numFmtId="0" fontId="15" fillId="12" borderId="0" xfId="0" applyFont="1" applyFill="1" applyAlignment="1">
      <alignment wrapText="1"/>
    </xf>
    <xf numFmtId="0" fontId="15" fillId="12" borderId="0" xfId="0" applyFont="1" applyFill="1" applyAlignment="1">
      <alignment vertical="top" wrapText="1"/>
    </xf>
    <xf numFmtId="0" fontId="26" fillId="12" borderId="0" xfId="0" applyFont="1" applyFill="1" applyAlignment="1">
      <alignment wrapText="1"/>
    </xf>
    <xf numFmtId="0" fontId="16" fillId="0" borderId="1" xfId="0" applyFont="1" applyBorder="1" applyAlignment="1">
      <alignment vertical="center" wrapText="1"/>
    </xf>
    <xf numFmtId="2" fontId="21"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66" fontId="16" fillId="5" borderId="1" xfId="0" applyNumberFormat="1" applyFont="1" applyFill="1" applyBorder="1" applyAlignment="1">
      <alignment horizontal="center" vertical="center" wrapText="1"/>
    </xf>
    <xf numFmtId="2"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66" fontId="16" fillId="5" borderId="1" xfId="0" applyNumberFormat="1" applyFont="1" applyFill="1" applyBorder="1" applyAlignment="1">
      <alignment horizontal="center" wrapText="1"/>
    </xf>
    <xf numFmtId="0" fontId="11" fillId="9" borderId="1" xfId="0" applyFont="1" applyFill="1" applyBorder="1" applyAlignment="1">
      <alignment vertical="center" wrapText="1"/>
    </xf>
    <xf numFmtId="165" fontId="13" fillId="11" borderId="1" xfId="0" applyNumberFormat="1" applyFont="1" applyFill="1" applyBorder="1" applyAlignment="1">
      <alignment horizontal="center" vertical="center" wrapText="1"/>
    </xf>
    <xf numFmtId="164" fontId="12" fillId="14" borderId="20" xfId="0" applyNumberFormat="1" applyFont="1" applyFill="1" applyBorder="1" applyAlignment="1">
      <alignment horizontal="center" vertical="center" wrapText="1"/>
    </xf>
    <xf numFmtId="0" fontId="12" fillId="14" borderId="18"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1" fillId="5" borderId="1" xfId="0" applyFont="1" applyFill="1" applyBorder="1" applyAlignment="1">
      <alignment horizontal="center" vertical="center" wrapText="1"/>
    </xf>
    <xf numFmtId="0" fontId="11" fillId="0" borderId="0" xfId="0" applyFont="1" applyAlignment="1">
      <alignment horizontal="center" wrapText="1"/>
    </xf>
    <xf numFmtId="0" fontId="0" fillId="0" borderId="0" xfId="0" applyAlignment="1">
      <alignment wrapText="1"/>
    </xf>
    <xf numFmtId="0" fontId="4" fillId="0" borderId="0" xfId="3" applyAlignment="1">
      <alignment wrapText="1"/>
    </xf>
    <xf numFmtId="0" fontId="15" fillId="12" borderId="0" xfId="0" applyFont="1" applyFill="1" applyAlignment="1">
      <alignment horizontal="left" vertical="top" wrapText="1"/>
    </xf>
    <xf numFmtId="0" fontId="21" fillId="0" borderId="1" xfId="0" applyFont="1" applyBorder="1" applyAlignment="1">
      <alignment horizontal="center" vertical="center" wrapText="1"/>
    </xf>
    <xf numFmtId="1" fontId="23" fillId="0" borderId="1" xfId="0" applyNumberFormat="1" applyFont="1" applyBorder="1" applyAlignment="1">
      <alignment horizontal="center" vertical="center" wrapText="1"/>
    </xf>
    <xf numFmtId="166" fontId="21" fillId="5" borderId="1" xfId="0" applyNumberFormat="1" applyFont="1" applyFill="1" applyBorder="1" applyAlignment="1">
      <alignment horizontal="center" vertical="center" wrapText="1"/>
    </xf>
    <xf numFmtId="2" fontId="0" fillId="0" borderId="8" xfId="0" applyNumberFormat="1" applyBorder="1"/>
    <xf numFmtId="0" fontId="0" fillId="0" borderId="8" xfId="0" applyBorder="1"/>
    <xf numFmtId="2" fontId="0" fillId="16" borderId="8" xfId="0" applyNumberFormat="1" applyFill="1" applyBorder="1"/>
    <xf numFmtId="0" fontId="0" fillId="16" borderId="8" xfId="0" applyFill="1" applyBorder="1"/>
    <xf numFmtId="0" fontId="0" fillId="0" borderId="16" xfId="0" applyBorder="1"/>
    <xf numFmtId="0" fontId="0" fillId="0" borderId="8" xfId="0" applyBorder="1" applyAlignment="1">
      <alignment horizontal="center" wrapText="1"/>
    </xf>
    <xf numFmtId="0" fontId="0" fillId="0" borderId="28" xfId="0" applyBorder="1"/>
    <xf numFmtId="2" fontId="0" fillId="0" borderId="28" xfId="0" applyNumberFormat="1" applyBorder="1"/>
    <xf numFmtId="0" fontId="0" fillId="16" borderId="28" xfId="0" applyFill="1" applyBorder="1"/>
    <xf numFmtId="2" fontId="0" fillId="0" borderId="31" xfId="0" applyNumberFormat="1" applyBorder="1"/>
    <xf numFmtId="0" fontId="0" fillId="0" borderId="8" xfId="0" applyBorder="1" applyAlignment="1">
      <alignment horizontal="left" vertical="center"/>
    </xf>
    <xf numFmtId="0" fontId="0" fillId="0" borderId="8" xfId="0" applyBorder="1" applyAlignment="1">
      <alignment vertical="center"/>
    </xf>
    <xf numFmtId="0" fontId="0" fillId="0" borderId="32" xfId="0" applyBorder="1"/>
    <xf numFmtId="0" fontId="0" fillId="0" borderId="10" xfId="0" applyBorder="1"/>
    <xf numFmtId="0" fontId="0" fillId="0" borderId="10" xfId="0" applyBorder="1" applyAlignment="1">
      <alignment horizontal="left"/>
    </xf>
    <xf numFmtId="0" fontId="0" fillId="0" borderId="8" xfId="0" applyBorder="1" applyAlignment="1">
      <alignment wrapText="1"/>
    </xf>
    <xf numFmtId="0" fontId="0" fillId="0" borderId="8" xfId="0" applyBorder="1" applyAlignment="1">
      <alignment horizontal="left" vertical="center" indent="3"/>
    </xf>
    <xf numFmtId="0" fontId="0" fillId="0" borderId="1" xfId="0" applyBorder="1" applyAlignment="1">
      <alignment horizontal="left" vertical="center"/>
    </xf>
    <xf numFmtId="2" fontId="0" fillId="0" borderId="1" xfId="0" applyNumberFormat="1" applyBorder="1"/>
    <xf numFmtId="0" fontId="0" fillId="0" borderId="1" xfId="0" applyBorder="1" applyAlignment="1">
      <alignment horizontal="left" indent="3"/>
    </xf>
    <xf numFmtId="0" fontId="0" fillId="0" borderId="1" xfId="0" applyBorder="1" applyAlignment="1">
      <alignment horizontal="left" vertical="center" indent="3"/>
    </xf>
    <xf numFmtId="0" fontId="0" fillId="0" borderId="8" xfId="0" applyBorder="1" applyAlignment="1">
      <alignment horizontal="left" indent="3"/>
    </xf>
    <xf numFmtId="0" fontId="47" fillId="18" borderId="30" xfId="0" applyFont="1" applyFill="1" applyBorder="1"/>
    <xf numFmtId="0" fontId="48" fillId="0" borderId="0" xfId="0" applyFont="1"/>
    <xf numFmtId="0" fontId="47" fillId="18" borderId="5" xfId="0" applyFont="1" applyFill="1" applyBorder="1" applyAlignment="1">
      <alignment horizontal="center"/>
    </xf>
    <xf numFmtId="0" fontId="0" fillId="0" borderId="31" xfId="0" applyBorder="1"/>
    <xf numFmtId="0" fontId="47" fillId="18" borderId="29" xfId="0" applyFont="1" applyFill="1" applyBorder="1" applyAlignment="1">
      <alignment horizontal="center" wrapText="1"/>
    </xf>
    <xf numFmtId="2" fontId="0" fillId="0" borderId="36" xfId="0" applyNumberFormat="1" applyBorder="1"/>
    <xf numFmtId="0" fontId="47" fillId="18" borderId="33" xfId="0" applyFont="1" applyFill="1" applyBorder="1"/>
    <xf numFmtId="49" fontId="0" fillId="0" borderId="8" xfId="0" applyNumberFormat="1" applyBorder="1" applyAlignment="1">
      <alignment horizontal="left" vertical="center" indent="3"/>
    </xf>
    <xf numFmtId="0" fontId="0" fillId="0" borderId="10" xfId="0" applyBorder="1" applyAlignment="1">
      <alignment horizontal="left" vertical="center"/>
    </xf>
    <xf numFmtId="0" fontId="0" fillId="0" borderId="16" xfId="0" applyBorder="1" applyAlignment="1">
      <alignment horizontal="left" vertical="center"/>
    </xf>
    <xf numFmtId="2" fontId="0" fillId="0" borderId="35" xfId="0" applyNumberFormat="1" applyBorder="1"/>
    <xf numFmtId="2" fontId="0" fillId="0" borderId="34" xfId="0" applyNumberFormat="1" applyBorder="1"/>
    <xf numFmtId="0" fontId="0" fillId="0" borderId="35" xfId="0" applyBorder="1"/>
    <xf numFmtId="166" fontId="0" fillId="0" borderId="28" xfId="0" applyNumberFormat="1" applyBorder="1"/>
    <xf numFmtId="0" fontId="0" fillId="0" borderId="16" xfId="0" applyBorder="1" applyAlignment="1">
      <alignment horizontal="left" vertical="center" indent="3"/>
    </xf>
    <xf numFmtId="0" fontId="0" fillId="0" borderId="33" xfId="0" applyBorder="1" applyAlignment="1">
      <alignment horizontal="left" vertical="center" indent="3"/>
    </xf>
    <xf numFmtId="0" fontId="0" fillId="0" borderId="1" xfId="0" applyBorder="1" applyAlignment="1">
      <alignment horizontal="left"/>
    </xf>
    <xf numFmtId="49" fontId="0" fillId="0" borderId="8" xfId="0" applyNumberFormat="1" applyBorder="1" applyAlignment="1">
      <alignment horizontal="left" indent="3"/>
    </xf>
    <xf numFmtId="0" fontId="0" fillId="0" borderId="8" xfId="0" applyBorder="1" applyAlignment="1">
      <alignment horizontal="left"/>
    </xf>
    <xf numFmtId="0" fontId="0" fillId="0" borderId="16" xfId="0" applyBorder="1" applyAlignment="1">
      <alignment horizontal="left"/>
    </xf>
    <xf numFmtId="0" fontId="0" fillId="0" borderId="30" xfId="0" applyBorder="1" applyAlignment="1">
      <alignment horizontal="left"/>
    </xf>
    <xf numFmtId="0" fontId="0" fillId="0" borderId="30" xfId="0" applyBorder="1" applyAlignment="1">
      <alignment horizontal="left" vertical="center" indent="3"/>
    </xf>
    <xf numFmtId="0" fontId="49" fillId="0" borderId="0" xfId="0" applyFont="1"/>
    <xf numFmtId="0" fontId="50" fillId="0" borderId="0" xfId="0" applyFont="1" applyAlignment="1">
      <alignment vertical="center" wrapText="1"/>
    </xf>
    <xf numFmtId="0" fontId="51" fillId="0" borderId="0" xfId="0" applyFont="1" applyAlignment="1">
      <alignment wrapText="1"/>
    </xf>
    <xf numFmtId="1" fontId="23" fillId="10" borderId="1" xfId="0" applyNumberFormat="1" applyFont="1" applyFill="1" applyBorder="1" applyAlignment="1">
      <alignment horizontal="center" vertical="center" wrapText="1"/>
    </xf>
    <xf numFmtId="1" fontId="11" fillId="10" borderId="1" xfId="0" applyNumberFormat="1" applyFont="1" applyFill="1" applyBorder="1" applyAlignment="1">
      <alignment horizontal="center" vertical="center" wrapText="1"/>
    </xf>
    <xf numFmtId="1" fontId="13" fillId="8" borderId="14" xfId="0" applyNumberFormat="1" applyFont="1" applyFill="1" applyBorder="1" applyAlignment="1">
      <alignment horizontal="center" vertical="center" wrapText="1"/>
    </xf>
    <xf numFmtId="1" fontId="11" fillId="10" borderId="9" xfId="0" applyNumberFormat="1" applyFont="1" applyFill="1" applyBorder="1" applyAlignment="1">
      <alignment horizontal="center" vertical="center" wrapText="1"/>
    </xf>
    <xf numFmtId="0" fontId="52" fillId="0" borderId="0" xfId="0" applyFont="1"/>
    <xf numFmtId="0" fontId="9" fillId="0" borderId="0" xfId="0" applyFont="1" applyAlignment="1">
      <alignment horizontal="center" vertical="center"/>
    </xf>
    <xf numFmtId="2" fontId="0" fillId="0" borderId="0" xfId="0" applyNumberFormat="1" applyAlignment="1">
      <alignment horizontal="left"/>
    </xf>
    <xf numFmtId="2" fontId="0" fillId="0" borderId="32" xfId="0" applyNumberFormat="1" applyBorder="1"/>
    <xf numFmtId="2" fontId="0" fillId="0" borderId="30" xfId="0" applyNumberFormat="1" applyBorder="1"/>
    <xf numFmtId="0" fontId="0" fillId="0" borderId="2" xfId="0" applyBorder="1" applyAlignment="1">
      <alignment horizontal="left" indent="3"/>
    </xf>
    <xf numFmtId="0" fontId="0" fillId="0" borderId="30" xfId="0" applyBorder="1"/>
    <xf numFmtId="2" fontId="0" fillId="0" borderId="10" xfId="0" applyNumberFormat="1" applyBorder="1"/>
    <xf numFmtId="0" fontId="0" fillId="0" borderId="33" xfId="0" applyBorder="1"/>
    <xf numFmtId="0" fontId="11" fillId="6" borderId="1" xfId="0" applyFont="1" applyFill="1" applyBorder="1" applyAlignment="1" applyProtection="1">
      <alignment horizontal="center" vertical="center"/>
      <protection locked="0"/>
    </xf>
    <xf numFmtId="165" fontId="11" fillId="6" borderId="1" xfId="0" applyNumberFormat="1"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wrapText="1"/>
      <protection locked="0"/>
    </xf>
    <xf numFmtId="1" fontId="11" fillId="10" borderId="1" xfId="0" applyNumberFormat="1" applyFont="1" applyFill="1" applyBorder="1" applyAlignment="1" applyProtection="1">
      <alignment horizontal="center" vertical="center" wrapText="1"/>
      <protection locked="0"/>
    </xf>
    <xf numFmtId="1" fontId="11" fillId="10" borderId="1" xfId="0" applyNumberFormat="1" applyFont="1" applyFill="1" applyBorder="1" applyAlignment="1" applyProtection="1">
      <alignment horizontal="center" vertical="top" wrapText="1"/>
      <protection locked="0"/>
    </xf>
    <xf numFmtId="0" fontId="24" fillId="11" borderId="1" xfId="0" applyFont="1" applyFill="1" applyBorder="1" applyAlignment="1">
      <alignment horizontal="center" vertical="center" wrapText="1"/>
    </xf>
    <xf numFmtId="0" fontId="0" fillId="17" borderId="8" xfId="0" applyFill="1" applyBorder="1" applyAlignment="1">
      <alignment horizontal="right" wrapText="1"/>
    </xf>
    <xf numFmtId="0" fontId="29" fillId="12" borderId="0" xfId="0" applyFont="1" applyFill="1" applyAlignment="1">
      <alignment horizontal="left" vertical="center" wrapText="1"/>
    </xf>
    <xf numFmtId="0" fontId="17" fillId="10" borderId="1" xfId="0" applyFont="1" applyFill="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18" fillId="10" borderId="1" xfId="0" applyFont="1" applyFill="1" applyBorder="1" applyAlignment="1" applyProtection="1">
      <alignment horizontal="center" vertical="center" wrapText="1"/>
      <protection locked="0"/>
    </xf>
    <xf numFmtId="0" fontId="16" fillId="8" borderId="1" xfId="0" applyFont="1" applyFill="1" applyBorder="1" applyAlignment="1">
      <alignment horizontal="center" vertical="center" wrapText="1"/>
    </xf>
    <xf numFmtId="0" fontId="28" fillId="12" borderId="0" xfId="0" applyFont="1" applyFill="1" applyAlignment="1">
      <alignment horizontal="left" vertical="top" wrapText="1"/>
    </xf>
    <xf numFmtId="0" fontId="12" fillId="9" borderId="1" xfId="12" applyFont="1" applyFill="1" applyBorder="1" applyAlignment="1">
      <alignment horizontal="center" vertical="center" wrapText="1"/>
    </xf>
    <xf numFmtId="0" fontId="19" fillId="10" borderId="1" xfId="12" applyFont="1" applyFill="1" applyBorder="1" applyAlignment="1" applyProtection="1">
      <alignment horizontal="center" vertical="center" wrapText="1"/>
      <protection locked="0"/>
    </xf>
    <xf numFmtId="0" fontId="17" fillId="12" borderId="0" xfId="0" applyFont="1" applyFill="1" applyAlignment="1" applyProtection="1">
      <alignment horizontal="center" vertical="center" wrapText="1"/>
      <protection locked="0"/>
    </xf>
    <xf numFmtId="0" fontId="13" fillId="12" borderId="0" xfId="0" applyFont="1" applyFill="1" applyAlignment="1">
      <alignment horizontal="center" vertical="center" wrapText="1"/>
    </xf>
    <xf numFmtId="0" fontId="27" fillId="12" borderId="0" xfId="3" applyFont="1" applyFill="1" applyAlignment="1" applyProtection="1">
      <alignment horizontal="left" vertical="center" wrapText="1"/>
    </xf>
    <xf numFmtId="0" fontId="12" fillId="9" borderId="11" xfId="12" applyFont="1" applyFill="1" applyBorder="1" applyAlignment="1">
      <alignment horizontal="left" vertical="center" wrapText="1"/>
    </xf>
    <xf numFmtId="0" fontId="12" fillId="9" borderId="5" xfId="12" applyFont="1" applyFill="1" applyBorder="1" applyAlignment="1">
      <alignment horizontal="left" vertical="center" wrapText="1"/>
    </xf>
    <xf numFmtId="0" fontId="12" fillId="9" borderId="14" xfId="12" applyFont="1" applyFill="1" applyBorder="1" applyAlignment="1">
      <alignment horizontal="center" vertical="center" wrapText="1"/>
    </xf>
    <xf numFmtId="0" fontId="22" fillId="9" borderId="14" xfId="12" applyFont="1" applyFill="1" applyBorder="1" applyAlignment="1">
      <alignment horizontal="center" vertical="center" wrapText="1"/>
    </xf>
    <xf numFmtId="0" fontId="22" fillId="9" borderId="6" xfId="12" applyFont="1" applyFill="1" applyBorder="1" applyAlignment="1">
      <alignment horizontal="center" vertical="center" wrapText="1"/>
    </xf>
    <xf numFmtId="0" fontId="31" fillId="9" borderId="6" xfId="12" applyFont="1" applyFill="1" applyBorder="1" applyAlignment="1">
      <alignment horizontal="center" vertical="center" wrapText="1"/>
    </xf>
    <xf numFmtId="0" fontId="12" fillId="9" borderId="6" xfId="12" applyFont="1" applyFill="1" applyBorder="1" applyAlignment="1">
      <alignment horizontal="center" vertical="center" wrapText="1"/>
    </xf>
    <xf numFmtId="165" fontId="11" fillId="0" borderId="1" xfId="0" applyNumberFormat="1" applyFont="1" applyBorder="1" applyAlignment="1">
      <alignment horizontal="center" vertical="center"/>
    </xf>
    <xf numFmtId="1" fontId="13" fillId="0" borderId="7" xfId="0" applyNumberFormat="1"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right"/>
    </xf>
    <xf numFmtId="0" fontId="29" fillId="12" borderId="0" xfId="0" applyFont="1" applyFill="1" applyAlignment="1">
      <alignment horizontal="left" vertical="center" wrapText="1"/>
    </xf>
    <xf numFmtId="0" fontId="17" fillId="10" borderId="1" xfId="0" applyFont="1" applyFill="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18" fillId="10" borderId="1" xfId="0" applyFont="1" applyFill="1" applyBorder="1" applyAlignment="1" applyProtection="1">
      <alignment horizontal="center" vertical="center" wrapText="1"/>
      <protection locked="0"/>
    </xf>
    <xf numFmtId="0" fontId="16"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4" fillId="9" borderId="6" xfId="0" applyFont="1" applyFill="1" applyBorder="1" applyAlignment="1">
      <alignment horizontal="left" vertical="center" wrapText="1"/>
    </xf>
    <xf numFmtId="0" fontId="14" fillId="9" borderId="0" xfId="0" applyFont="1" applyFill="1" applyAlignment="1">
      <alignment horizontal="left" vertical="center" wrapText="1"/>
    </xf>
    <xf numFmtId="0" fontId="17" fillId="10" borderId="8" xfId="0" applyFont="1" applyFill="1" applyBorder="1" applyAlignment="1" applyProtection="1">
      <alignment horizontal="center" vertical="center" wrapText="1"/>
      <protection locked="0"/>
    </xf>
    <xf numFmtId="0" fontId="20" fillId="13" borderId="11" xfId="0" applyFont="1" applyFill="1" applyBorder="1" applyAlignment="1">
      <alignment horizontal="center" vertical="center" wrapText="1"/>
    </xf>
    <xf numFmtId="0" fontId="20" fillId="13" borderId="5" xfId="0" applyFont="1" applyFill="1" applyBorder="1" applyAlignment="1">
      <alignment horizontal="center" vertical="center" wrapText="1"/>
    </xf>
    <xf numFmtId="14" fontId="17" fillId="10" borderId="8" xfId="0" applyNumberFormat="1" applyFont="1" applyFill="1" applyBorder="1" applyAlignment="1" applyProtection="1">
      <alignment horizontal="center" vertical="center" wrapText="1"/>
      <protection locked="0"/>
    </xf>
    <xf numFmtId="0" fontId="55" fillId="9" borderId="14" xfId="0" applyFont="1" applyFill="1" applyBorder="1" applyAlignment="1">
      <alignment horizontal="center" vertical="center" wrapText="1"/>
    </xf>
    <xf numFmtId="0" fontId="55" fillId="9" borderId="12" xfId="0" applyFont="1" applyFill="1" applyBorder="1" applyAlignment="1">
      <alignment horizontal="center" vertical="center" wrapText="1"/>
    </xf>
    <xf numFmtId="0" fontId="55" fillId="9" borderId="11" xfId="0" applyFont="1" applyFill="1" applyBorder="1" applyAlignment="1">
      <alignment horizontal="center" vertical="center" wrapText="1"/>
    </xf>
    <xf numFmtId="0" fontId="55" fillId="9" borderId="5" xfId="0" applyFont="1" applyFill="1" applyBorder="1" applyAlignment="1">
      <alignment horizontal="center" vertical="center" wrapText="1"/>
    </xf>
    <xf numFmtId="0" fontId="12" fillId="14" borderId="24" xfId="0" applyFont="1" applyFill="1" applyBorder="1" applyAlignment="1">
      <alignment horizontal="center" vertical="center" wrapText="1"/>
    </xf>
    <xf numFmtId="0" fontId="12" fillId="14" borderId="22" xfId="0" applyFont="1" applyFill="1" applyBorder="1" applyAlignment="1">
      <alignment horizontal="center" vertical="center" wrapText="1"/>
    </xf>
    <xf numFmtId="0" fontId="12" fillId="14" borderId="21" xfId="0" applyFont="1" applyFill="1" applyBorder="1" applyAlignment="1">
      <alignment horizontal="center" vertical="center" wrapText="1"/>
    </xf>
    <xf numFmtId="0" fontId="12" fillId="14" borderId="23" xfId="0" applyFont="1" applyFill="1" applyBorder="1" applyAlignment="1">
      <alignment horizontal="center" vertical="center" wrapText="1"/>
    </xf>
    <xf numFmtId="0" fontId="12" fillId="14" borderId="25" xfId="0" applyFont="1" applyFill="1" applyBorder="1" applyAlignment="1">
      <alignment horizontal="center" vertical="center" wrapText="1"/>
    </xf>
    <xf numFmtId="0" fontId="12" fillId="14" borderId="19" xfId="0" applyFont="1" applyFill="1" applyBorder="1" applyAlignment="1">
      <alignment horizontal="center" vertical="center" wrapText="1"/>
    </xf>
    <xf numFmtId="0" fontId="13" fillId="8" borderId="2" xfId="0" applyFont="1" applyFill="1" applyBorder="1" applyAlignment="1">
      <alignment horizontal="right" vertical="center" wrapText="1"/>
    </xf>
    <xf numFmtId="0" fontId="13" fillId="8" borderId="3" xfId="0" applyFont="1" applyFill="1" applyBorder="1" applyAlignment="1">
      <alignment horizontal="right" vertical="center" wrapText="1"/>
    </xf>
    <xf numFmtId="0" fontId="13" fillId="8" borderId="12" xfId="0" applyFont="1" applyFill="1" applyBorder="1" applyAlignment="1">
      <alignment horizontal="right" vertical="center" wrapText="1"/>
    </xf>
    <xf numFmtId="0" fontId="13" fillId="8" borderId="15" xfId="0" applyFont="1" applyFill="1" applyBorder="1" applyAlignment="1">
      <alignment horizontal="right" vertical="center" wrapText="1"/>
    </xf>
    <xf numFmtId="0" fontId="17" fillId="10" borderId="1" xfId="0" applyFont="1" applyFill="1" applyBorder="1" applyAlignment="1" applyProtection="1">
      <alignment horizontal="center" vertical="top" wrapText="1"/>
      <protection locked="0"/>
    </xf>
    <xf numFmtId="0" fontId="17" fillId="10" borderId="2" xfId="0" applyFont="1" applyFill="1" applyBorder="1" applyAlignment="1" applyProtection="1">
      <alignment horizontal="center" vertical="center" wrapText="1"/>
      <protection locked="0"/>
    </xf>
    <xf numFmtId="0" fontId="17" fillId="10" borderId="3"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0" fontId="14" fillId="7" borderId="1" xfId="0" applyFont="1" applyFill="1" applyBorder="1" applyAlignment="1">
      <alignment horizontal="center" vertical="center" wrapText="1"/>
    </xf>
    <xf numFmtId="0" fontId="14" fillId="12" borderId="0" xfId="0" applyFont="1" applyFill="1" applyAlignment="1">
      <alignment horizontal="left" vertical="center" wrapText="1"/>
    </xf>
    <xf numFmtId="0" fontId="15" fillId="12" borderId="0" xfId="0" applyFont="1" applyFill="1" applyAlignment="1">
      <alignment horizontal="left" vertical="center" wrapText="1"/>
    </xf>
    <xf numFmtId="0" fontId="15" fillId="12" borderId="0" xfId="0" applyFont="1" applyFill="1" applyAlignment="1">
      <alignment horizontal="left" wrapText="1"/>
    </xf>
    <xf numFmtId="0" fontId="18" fillId="12" borderId="12" xfId="0" applyFont="1" applyFill="1" applyBorder="1" applyAlignment="1">
      <alignment horizontal="left" vertical="center" wrapText="1"/>
    </xf>
    <xf numFmtId="0" fontId="12" fillId="9" borderId="1" xfId="12" applyFont="1" applyFill="1" applyBorder="1" applyAlignment="1">
      <alignment horizontal="center" vertical="center" wrapText="1"/>
    </xf>
    <xf numFmtId="0" fontId="11" fillId="12" borderId="0" xfId="0" applyFont="1" applyFill="1" applyAlignment="1" applyProtection="1">
      <alignment horizontal="center" vertical="center" wrapText="1"/>
      <protection locked="0"/>
    </xf>
    <xf numFmtId="0" fontId="11" fillId="0" borderId="1" xfId="0" applyFont="1" applyBorder="1" applyAlignment="1">
      <alignment horizontal="left" vertical="center" wrapText="1"/>
    </xf>
    <xf numFmtId="0" fontId="19" fillId="10" borderId="1" xfId="12" applyFont="1" applyFill="1" applyBorder="1" applyAlignment="1" applyProtection="1">
      <alignment horizontal="center" vertical="center" wrapText="1"/>
      <protection locked="0"/>
    </xf>
    <xf numFmtId="0" fontId="30" fillId="9" borderId="2" xfId="0" applyFont="1" applyFill="1" applyBorder="1" applyAlignment="1">
      <alignment horizontal="center" vertical="center" wrapText="1"/>
    </xf>
    <xf numFmtId="0" fontId="30" fillId="9" borderId="4" xfId="0" applyFont="1" applyFill="1" applyBorder="1" applyAlignment="1">
      <alignment horizontal="center" vertical="center" wrapText="1"/>
    </xf>
    <xf numFmtId="0" fontId="13" fillId="0" borderId="3" xfId="0" applyFont="1" applyBorder="1" applyAlignment="1">
      <alignment horizontal="center" vertical="center" wrapText="1"/>
    </xf>
    <xf numFmtId="0" fontId="11" fillId="10" borderId="38" xfId="0" applyFont="1" applyFill="1" applyBorder="1" applyAlignment="1" applyProtection="1">
      <alignment horizontal="center" vertical="center" wrapText="1"/>
      <protection locked="0"/>
    </xf>
    <xf numFmtId="0" fontId="11" fillId="10" borderId="0" xfId="0" applyFont="1" applyFill="1" applyAlignment="1" applyProtection="1">
      <alignment horizontal="center" vertical="center" wrapText="1"/>
      <protection locked="0"/>
    </xf>
    <xf numFmtId="0" fontId="11" fillId="0" borderId="14" xfId="0" applyFont="1" applyBorder="1" applyAlignment="1">
      <alignment horizontal="left" vertical="center" wrapText="1"/>
    </xf>
    <xf numFmtId="0" fontId="11" fillId="0" borderId="12" xfId="0" applyFont="1" applyBorder="1" applyAlignment="1">
      <alignment horizontal="left" vertical="center"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0" fontId="11" fillId="0" borderId="5" xfId="0" applyFont="1" applyBorder="1" applyAlignment="1">
      <alignment horizontal="left" vertical="center" wrapText="1"/>
    </xf>
    <xf numFmtId="0" fontId="11" fillId="0" borderId="29" xfId="0" applyFont="1" applyBorder="1" applyAlignment="1">
      <alignment horizontal="left" vertical="center" wrapText="1"/>
    </xf>
    <xf numFmtId="0" fontId="11" fillId="5" borderId="14"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11" fillId="5" borderId="15"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13" fillId="11" borderId="1" xfId="0" applyFont="1" applyFill="1" applyBorder="1" applyAlignment="1">
      <alignment horizontal="right" vertical="center" wrapText="1"/>
    </xf>
    <xf numFmtId="0" fontId="28" fillId="12" borderId="0" xfId="0" applyFont="1" applyFill="1" applyAlignment="1">
      <alignment horizontal="left" vertical="top" wrapText="1"/>
    </xf>
    <xf numFmtId="0" fontId="45" fillId="12" borderId="0" xfId="3" applyFont="1" applyFill="1" applyAlignment="1" applyProtection="1">
      <alignment horizontal="left" vertical="center" wrapText="1"/>
    </xf>
    <xf numFmtId="0" fontId="45" fillId="12" borderId="0" xfId="3" applyFont="1" applyFill="1" applyAlignment="1" applyProtection="1">
      <alignment horizontal="left" vertical="top" wrapText="1"/>
    </xf>
    <xf numFmtId="0" fontId="11" fillId="12" borderId="0" xfId="0" applyFont="1" applyFill="1" applyAlignment="1">
      <alignment horizontal="left" vertical="top" wrapText="1"/>
    </xf>
    <xf numFmtId="0" fontId="43" fillId="15" borderId="8" xfId="0" applyFont="1" applyFill="1" applyBorder="1" applyAlignment="1"/>
    <xf numFmtId="0" fontId="13" fillId="0" borderId="7" xfId="0" applyFont="1" applyBorder="1" applyAlignment="1">
      <alignment horizontal="left" vertical="center" wrapText="1"/>
    </xf>
    <xf numFmtId="0" fontId="13" fillId="0" borderId="11" xfId="0" applyFont="1" applyBorder="1" applyAlignment="1">
      <alignment horizontal="left" vertical="center" wrapText="1"/>
    </xf>
    <xf numFmtId="0" fontId="11" fillId="6" borderId="1" xfId="0" applyFont="1" applyFill="1" applyBorder="1" applyAlignment="1" applyProtection="1">
      <alignment horizontal="left" vertical="center" wrapText="1"/>
      <protection locked="0"/>
    </xf>
    <xf numFmtId="0" fontId="11" fillId="6" borderId="2" xfId="0" applyFont="1" applyFill="1" applyBorder="1" applyAlignment="1" applyProtection="1">
      <alignment horizontal="left" vertical="center" wrapText="1"/>
      <protection locked="0"/>
    </xf>
    <xf numFmtId="0" fontId="11" fillId="6" borderId="1" xfId="0" applyFont="1" applyFill="1" applyBorder="1" applyAlignment="1" applyProtection="1">
      <alignment horizontal="left" vertical="center"/>
      <protection locked="0"/>
    </xf>
    <xf numFmtId="0" fontId="11" fillId="6" borderId="2" xfId="0" applyFont="1" applyFill="1" applyBorder="1" applyAlignment="1" applyProtection="1">
      <alignment horizontal="left" vertical="center"/>
      <protection locked="0"/>
    </xf>
    <xf numFmtId="0" fontId="11" fillId="6" borderId="9" xfId="0" applyFont="1" applyFill="1" applyBorder="1" applyAlignment="1" applyProtection="1">
      <alignment horizontal="left" vertical="center"/>
      <protection locked="0"/>
    </xf>
    <xf numFmtId="0" fontId="11" fillId="6" borderId="14" xfId="0" applyFont="1" applyFill="1" applyBorder="1" applyAlignment="1" applyProtection="1">
      <alignment horizontal="left" vertical="center"/>
      <protection locked="0"/>
    </xf>
    <xf numFmtId="0" fontId="11" fillId="6" borderId="8" xfId="0" applyFont="1" applyFill="1" applyBorder="1" applyAlignment="1" applyProtection="1">
      <alignment horizontal="left" vertical="center"/>
      <protection locked="0"/>
    </xf>
    <xf numFmtId="0" fontId="11" fillId="6" borderId="10" xfId="0" applyFont="1" applyFill="1" applyBorder="1" applyAlignment="1" applyProtection="1">
      <alignment horizontal="left" vertical="center"/>
      <protection locked="0"/>
    </xf>
    <xf numFmtId="0" fontId="13" fillId="6" borderId="0" xfId="0" applyFont="1" applyFill="1" applyAlignment="1" applyProtection="1">
      <alignment horizontal="center" vertical="center"/>
      <protection locked="0"/>
    </xf>
    <xf numFmtId="0" fontId="12" fillId="9" borderId="1" xfId="12" applyFont="1" applyFill="1" applyBorder="1" applyAlignment="1">
      <alignment horizontal="left" vertical="center" wrapText="1"/>
    </xf>
    <xf numFmtId="0" fontId="29" fillId="12" borderId="0" xfId="0" applyFont="1" applyFill="1" applyAlignment="1">
      <alignment horizontal="left" vertical="center"/>
    </xf>
    <xf numFmtId="0" fontId="14" fillId="12" borderId="0" xfId="0" applyFont="1" applyFill="1" applyAlignment="1">
      <alignment horizontal="left" vertical="center"/>
    </xf>
    <xf numFmtId="0" fontId="17" fillId="12" borderId="0" xfId="0" applyFont="1" applyFill="1" applyAlignment="1" applyProtection="1">
      <alignment horizontal="center" vertical="center" wrapText="1"/>
      <protection locked="0"/>
    </xf>
    <xf numFmtId="0" fontId="13" fillId="12" borderId="0" xfId="0" applyFont="1" applyFill="1" applyAlignment="1">
      <alignment horizontal="center" vertical="center" wrapText="1"/>
    </xf>
    <xf numFmtId="14" fontId="17" fillId="12" borderId="0" xfId="0" applyNumberFormat="1" applyFont="1" applyFill="1" applyAlignment="1" applyProtection="1">
      <alignment horizontal="center" vertical="center" wrapText="1"/>
      <protection locked="0"/>
    </xf>
    <xf numFmtId="0" fontId="15" fillId="12" borderId="0" xfId="0" applyFont="1" applyFill="1" applyAlignment="1">
      <alignment horizontal="left" vertical="center"/>
    </xf>
    <xf numFmtId="0" fontId="27" fillId="12" borderId="0" xfId="3" applyFont="1" applyFill="1" applyAlignment="1" applyProtection="1">
      <alignment horizontal="left" vertical="center" wrapText="1"/>
    </xf>
    <xf numFmtId="0" fontId="15" fillId="12" borderId="0" xfId="0" applyFont="1" applyFill="1" applyAlignment="1">
      <alignment horizontal="left"/>
    </xf>
    <xf numFmtId="0" fontId="26" fillId="12" borderId="0" xfId="0" applyFont="1" applyFill="1" applyAlignment="1" applyProtection="1">
      <alignment horizontal="center" vertical="center" wrapText="1"/>
      <protection locked="0"/>
    </xf>
    <xf numFmtId="0" fontId="12" fillId="9" borderId="11" xfId="12" applyFont="1" applyFill="1" applyBorder="1" applyAlignment="1">
      <alignment horizontal="left" vertical="center" wrapText="1"/>
    </xf>
    <xf numFmtId="0" fontId="12" fillId="9" borderId="5" xfId="12" applyFont="1" applyFill="1" applyBorder="1" applyAlignment="1">
      <alignment horizontal="left" vertical="center" wrapText="1"/>
    </xf>
    <xf numFmtId="0" fontId="13" fillId="15" borderId="0" xfId="0" applyFont="1" applyFill="1" applyAlignment="1">
      <alignment horizontal="center" vertical="center"/>
    </xf>
    <xf numFmtId="0" fontId="12" fillId="9" borderId="14" xfId="12" applyFont="1" applyFill="1" applyBorder="1" applyAlignment="1">
      <alignment horizontal="center" vertical="center" wrapText="1"/>
    </xf>
    <xf numFmtId="0" fontId="12" fillId="9" borderId="15" xfId="12" applyFont="1" applyFill="1" applyBorder="1" applyAlignment="1">
      <alignment horizontal="center" vertical="center" wrapText="1"/>
    </xf>
    <xf numFmtId="0" fontId="22" fillId="9" borderId="14" xfId="12" applyFont="1" applyFill="1" applyBorder="1" applyAlignment="1">
      <alignment horizontal="center" vertical="center" wrapText="1"/>
    </xf>
    <xf numFmtId="0" fontId="22" fillId="9" borderId="15" xfId="12" applyFont="1" applyFill="1" applyBorder="1" applyAlignment="1">
      <alignment horizontal="center" vertical="center" wrapText="1"/>
    </xf>
    <xf numFmtId="0" fontId="22" fillId="9" borderId="6" xfId="12" applyFont="1" applyFill="1" applyBorder="1" applyAlignment="1">
      <alignment horizontal="center" vertical="center" wrapText="1"/>
    </xf>
    <xf numFmtId="0" fontId="22" fillId="9" borderId="13" xfId="12" applyFont="1" applyFill="1" applyBorder="1" applyAlignment="1">
      <alignment horizontal="center" vertical="center" wrapText="1"/>
    </xf>
    <xf numFmtId="0" fontId="31" fillId="9" borderId="6" xfId="12" applyFont="1" applyFill="1" applyBorder="1" applyAlignment="1">
      <alignment horizontal="center" vertical="center" wrapText="1"/>
    </xf>
    <xf numFmtId="0" fontId="31" fillId="9" borderId="13" xfId="12" applyFont="1" applyFill="1" applyBorder="1" applyAlignment="1">
      <alignment horizontal="center" vertical="center" wrapText="1"/>
    </xf>
    <xf numFmtId="0" fontId="12" fillId="9" borderId="6" xfId="12" applyFont="1" applyFill="1" applyBorder="1" applyAlignment="1">
      <alignment horizontal="center" vertical="center" wrapText="1"/>
    </xf>
    <xf numFmtId="0" fontId="12" fillId="9" borderId="0" xfId="12" applyFont="1" applyFill="1" applyAlignment="1">
      <alignment horizontal="center"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165" fontId="11" fillId="6" borderId="1" xfId="0" applyNumberFormat="1" applyFont="1" applyFill="1" applyBorder="1" applyAlignment="1">
      <alignment horizontal="center" vertical="center"/>
    </xf>
    <xf numFmtId="165" fontId="11" fillId="0" borderId="1" xfId="0" applyNumberFormat="1" applyFont="1" applyBorder="1" applyAlignment="1">
      <alignment horizontal="center" vertical="center"/>
    </xf>
    <xf numFmtId="0" fontId="11" fillId="0" borderId="2" xfId="0" applyFont="1" applyBorder="1" applyAlignment="1">
      <alignment horizontal="left" vertical="center" wrapText="1"/>
    </xf>
    <xf numFmtId="0" fontId="11" fillId="0" borderId="8" xfId="0" applyFont="1" applyBorder="1" applyAlignment="1">
      <alignment horizontal="left" vertical="center"/>
    </xf>
    <xf numFmtId="0" fontId="11" fillId="0" borderId="10" xfId="0" applyFont="1" applyBorder="1" applyAlignment="1">
      <alignment horizontal="left" vertical="center"/>
    </xf>
    <xf numFmtId="0" fontId="11" fillId="0" borderId="9" xfId="0" applyFont="1" applyBorder="1" applyAlignment="1">
      <alignment horizontal="left" vertical="center"/>
    </xf>
    <xf numFmtId="0" fontId="11" fillId="0" borderId="14" xfId="0" applyFont="1" applyBorder="1" applyAlignment="1">
      <alignment horizontal="left" vertical="center"/>
    </xf>
    <xf numFmtId="1" fontId="13" fillId="0" borderId="7" xfId="0" applyNumberFormat="1" applyFont="1" applyBorder="1" applyAlignment="1">
      <alignment horizontal="center" vertical="center"/>
    </xf>
    <xf numFmtId="0" fontId="11" fillId="0" borderId="26" xfId="0" applyFont="1" applyBorder="1" applyAlignment="1">
      <alignment horizontal="left" vertical="center"/>
    </xf>
    <xf numFmtId="0" fontId="11" fillId="0" borderId="27" xfId="0" applyFont="1" applyBorder="1" applyAlignment="1">
      <alignment horizontal="left" vertical="center"/>
    </xf>
    <xf numFmtId="165" fontId="11" fillId="6" borderId="17" xfId="0" applyNumberFormat="1" applyFont="1" applyFill="1" applyBorder="1" applyAlignment="1">
      <alignment horizontal="center" vertical="center"/>
    </xf>
    <xf numFmtId="165" fontId="11" fillId="0" borderId="17" xfId="0" applyNumberFormat="1" applyFont="1" applyBorder="1" applyAlignment="1">
      <alignment horizontal="center" vertical="center"/>
    </xf>
    <xf numFmtId="165" fontId="26" fillId="6" borderId="1" xfId="0" applyNumberFormat="1" applyFont="1" applyFill="1" applyBorder="1" applyAlignment="1">
      <alignment horizontal="center" vertical="center"/>
    </xf>
    <xf numFmtId="0" fontId="46" fillId="0" borderId="39" xfId="0" applyFont="1" applyBorder="1" applyAlignment="1">
      <alignment horizontal="center"/>
    </xf>
    <xf numFmtId="0" fontId="46" fillId="0" borderId="40" xfId="0" applyFont="1" applyBorder="1" applyAlignment="1">
      <alignment horizontal="center"/>
    </xf>
    <xf numFmtId="0" fontId="46" fillId="0" borderId="4" xfId="0" applyFont="1" applyBorder="1" applyAlignment="1">
      <alignment horizontal="center"/>
    </xf>
    <xf numFmtId="0" fontId="9" fillId="17" borderId="38" xfId="0" applyFont="1" applyFill="1" applyBorder="1" applyAlignment="1">
      <alignment horizontal="left" vertical="center"/>
    </xf>
    <xf numFmtId="0" fontId="9" fillId="17" borderId="36" xfId="0" applyFont="1" applyFill="1" applyBorder="1" applyAlignment="1">
      <alignment horizontal="left" vertical="center"/>
    </xf>
    <xf numFmtId="0" fontId="9" fillId="17" borderId="31" xfId="0" applyFont="1" applyFill="1" applyBorder="1" applyAlignment="1">
      <alignment horizontal="left" vertical="center"/>
    </xf>
    <xf numFmtId="0" fontId="9" fillId="17" borderId="0" xfId="0" applyFont="1" applyFill="1" applyAlignment="1">
      <alignment horizontal="left" vertical="center"/>
    </xf>
    <xf numFmtId="0" fontId="9" fillId="17" borderId="33" xfId="0" applyFont="1" applyFill="1" applyBorder="1" applyAlignment="1">
      <alignment horizontal="left"/>
    </xf>
    <xf numFmtId="0" fontId="9" fillId="17" borderId="34" xfId="0" applyFont="1" applyFill="1" applyBorder="1" applyAlignment="1">
      <alignment horizontal="left"/>
    </xf>
    <xf numFmtId="0" fontId="9" fillId="17" borderId="0" xfId="0" applyFont="1" applyFill="1" applyAlignment="1">
      <alignment horizontal="left"/>
    </xf>
    <xf numFmtId="0" fontId="9" fillId="17" borderId="37" xfId="0" applyFont="1" applyFill="1" applyBorder="1" applyAlignment="1">
      <alignment horizontal="left" vertical="center"/>
    </xf>
    <xf numFmtId="0" fontId="9" fillId="17" borderId="33" xfId="0" applyFont="1" applyFill="1" applyBorder="1" applyAlignment="1">
      <alignment horizontal="left" vertical="center"/>
    </xf>
    <xf numFmtId="0" fontId="9" fillId="17" borderId="34" xfId="0" applyFont="1" applyFill="1" applyBorder="1" applyAlignment="1">
      <alignment horizontal="left" vertical="center"/>
    </xf>
    <xf numFmtId="0" fontId="9" fillId="17" borderId="35" xfId="0" applyFont="1" applyFill="1" applyBorder="1" applyAlignment="1">
      <alignment horizontal="left" vertical="center"/>
    </xf>
    <xf numFmtId="0" fontId="9" fillId="17" borderId="28" xfId="0" applyFont="1" applyFill="1" applyBorder="1" applyAlignment="1">
      <alignment horizontal="left" vertical="center"/>
    </xf>
    <xf numFmtId="0" fontId="9" fillId="17" borderId="10" xfId="0" applyFont="1" applyFill="1" applyBorder="1" applyAlignment="1">
      <alignment horizontal="left" vertical="center"/>
    </xf>
    <xf numFmtId="0" fontId="0" fillId="0" borderId="8" xfId="0" applyBorder="1" applyAlignment="1">
      <alignment horizontal="right" vertical="center"/>
    </xf>
    <xf numFmtId="0" fontId="0" fillId="0" borderId="8" xfId="0" applyBorder="1" applyAlignment="1">
      <alignment horizontal="center" vertical="center"/>
    </xf>
    <xf numFmtId="0" fontId="0" fillId="0" borderId="31" xfId="0" applyBorder="1" applyAlignment="1">
      <alignment horizontal="center"/>
    </xf>
    <xf numFmtId="0" fontId="0" fillId="0" borderId="32" xfId="0" applyBorder="1" applyAlignment="1">
      <alignment horizontal="center"/>
    </xf>
    <xf numFmtId="0" fontId="0" fillId="0" borderId="16" xfId="0" applyBorder="1" applyAlignment="1">
      <alignment horizontal="center"/>
    </xf>
    <xf numFmtId="0" fontId="0" fillId="0" borderId="30" xfId="0" applyBorder="1" applyAlignment="1">
      <alignment horizontal="center"/>
    </xf>
    <xf numFmtId="0" fontId="0" fillId="0" borderId="8" xfId="0" applyBorder="1" applyAlignment="1">
      <alignment horizontal="center"/>
    </xf>
    <xf numFmtId="0" fontId="46" fillId="0" borderId="8" xfId="0" applyFont="1" applyBorder="1" applyAlignment="1">
      <alignment horizontal="center"/>
    </xf>
    <xf numFmtId="0" fontId="46" fillId="0" borderId="0" xfId="0" applyFont="1" applyAlignment="1">
      <alignment horizontal="center"/>
    </xf>
    <xf numFmtId="2" fontId="0" fillId="0" borderId="28" xfId="0" applyNumberFormat="1" applyBorder="1" applyAlignment="1">
      <alignment horizontal="right" vertical="center"/>
    </xf>
    <xf numFmtId="0" fontId="0" fillId="0" borderId="8" xfId="0" applyBorder="1" applyAlignment="1">
      <alignment horizontal="right"/>
    </xf>
    <xf numFmtId="0" fontId="0" fillId="0" borderId="8" xfId="0" applyBorder="1" applyAlignment="1">
      <alignment horizontal="right" wrapText="1"/>
    </xf>
    <xf numFmtId="0" fontId="0" fillId="0" borderId="28" xfId="0" applyBorder="1" applyAlignment="1">
      <alignment horizontal="center" wrapText="1"/>
    </xf>
    <xf numFmtId="0" fontId="0" fillId="0" borderId="1" xfId="0" applyBorder="1" applyAlignment="1">
      <alignment horizontal="center" vertical="center"/>
    </xf>
  </cellXfs>
  <cellStyles count="18">
    <cellStyle name="Comma 2 10 2" xfId="11" xr:uid="{00000000-0005-0000-0000-000001000000}"/>
    <cellStyle name="Currency 2" xfId="15" xr:uid="{00000000-0005-0000-0000-000003000000}"/>
    <cellStyle name="Currency 8" xfId="9" xr:uid="{00000000-0005-0000-0000-000004000000}"/>
    <cellStyle name="Hyperlink" xfId="3" builtinId="8"/>
    <cellStyle name="Hyperlink 2" xfId="13" xr:uid="{00000000-0005-0000-0000-000006000000}"/>
    <cellStyle name="Neutral 2" xfId="7" xr:uid="{00000000-0005-0000-0000-000007000000}"/>
    <cellStyle name="Normal" xfId="0" builtinId="0"/>
    <cellStyle name="Normal 10 2" xfId="5" xr:uid="{00000000-0005-0000-0000-000009000000}"/>
    <cellStyle name="Normal 18" xfId="8" xr:uid="{00000000-0005-0000-0000-00000A000000}"/>
    <cellStyle name="Normal 2" xfId="2" xr:uid="{00000000-0005-0000-0000-00000B000000}"/>
    <cellStyle name="Normal 2 10 2" xfId="4" xr:uid="{00000000-0005-0000-0000-00000C000000}"/>
    <cellStyle name="Normal 2 2" xfId="1" xr:uid="{00000000-0005-0000-0000-00000D000000}"/>
    <cellStyle name="Normal 2 2 2 2" xfId="6" xr:uid="{00000000-0005-0000-0000-00000E000000}"/>
    <cellStyle name="Normal 2 3" xfId="16" xr:uid="{00000000-0005-0000-0000-00000F000000}"/>
    <cellStyle name="Normal 3" xfId="12" xr:uid="{00000000-0005-0000-0000-000010000000}"/>
    <cellStyle name="Percent" xfId="17" builtinId="5"/>
    <cellStyle name="Percent 2" xfId="14" xr:uid="{00000000-0005-0000-0000-000012000000}"/>
    <cellStyle name="Percent 7" xfId="10" xr:uid="{00000000-0005-0000-0000-000013000000}"/>
  </cellStyles>
  <dxfs count="2">
    <dxf>
      <fill>
        <patternFill>
          <bgColor rgb="FFFFFF00"/>
        </patternFill>
      </fill>
    </dxf>
    <dxf>
      <fill>
        <patternFill>
          <bgColor rgb="FFFFFF00"/>
        </patternFill>
      </fill>
    </dxf>
  </dxfs>
  <tableStyles count="0" defaultTableStyle="TableStyleMedium2" defaultPivotStyle="PivotStyleLight16"/>
  <colors>
    <mruColors>
      <color rgb="FFCFE5E9"/>
      <color rgb="FF0099FF"/>
      <color rgb="FFFF7C80"/>
      <color rgb="FFF4B084"/>
      <color rgb="FFECECEC"/>
      <color rgb="FFF5F5F5"/>
      <color rgb="FFFECFC6"/>
      <color rgb="FFFEC4B8"/>
      <color rgb="FFFFD3D3"/>
      <color rgb="FFF4BA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tmp"/></Relationships>
</file>

<file path=xl/drawings/drawing1.xml><?xml version="1.0" encoding="utf-8"?>
<xdr:wsDr xmlns:xdr="http://schemas.openxmlformats.org/drawingml/2006/spreadsheetDrawing" xmlns:a="http://schemas.openxmlformats.org/drawingml/2006/main">
  <xdr:twoCellAnchor editAs="oneCell">
    <xdr:from>
      <xdr:col>1</xdr:col>
      <xdr:colOff>431800</xdr:colOff>
      <xdr:row>53</xdr:row>
      <xdr:rowOff>285750</xdr:rowOff>
    </xdr:from>
    <xdr:to>
      <xdr:col>3</xdr:col>
      <xdr:colOff>561996</xdr:colOff>
      <xdr:row>57</xdr:row>
      <xdr:rowOff>142909</xdr:rowOff>
    </xdr:to>
    <xdr:pic>
      <xdr:nvPicPr>
        <xdr:cNvPr id="2" name="Picture 1">
          <a:extLst>
            <a:ext uri="{FF2B5EF4-FFF2-40B4-BE49-F238E27FC236}">
              <a16:creationId xmlns:a16="http://schemas.microsoft.com/office/drawing/2014/main" id="{0B166B80-323A-3671-4128-304BADE616A8}"/>
            </a:ext>
          </a:extLst>
        </xdr:cNvPr>
        <xdr:cNvPicPr>
          <a:picLocks noChangeAspect="1"/>
        </xdr:cNvPicPr>
      </xdr:nvPicPr>
      <xdr:blipFill>
        <a:blip xmlns:r="http://schemas.openxmlformats.org/officeDocument/2006/relationships" r:embed="rId1"/>
        <a:stretch>
          <a:fillRect/>
        </a:stretch>
      </xdr:blipFill>
      <xdr:spPr>
        <a:xfrm>
          <a:off x="628651" y="18002250"/>
          <a:ext cx="2847996" cy="4695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447675</xdr:colOff>
      <xdr:row>4</xdr:row>
      <xdr:rowOff>28576</xdr:rowOff>
    </xdr:from>
    <xdr:to>
      <xdr:col>16</xdr:col>
      <xdr:colOff>133350</xdr:colOff>
      <xdr:row>19</xdr:row>
      <xdr:rowOff>2649</xdr:rowOff>
    </xdr:to>
    <xdr:pic>
      <xdr:nvPicPr>
        <xdr:cNvPr id="2" name="Picture 1">
          <a:extLst>
            <a:ext uri="{FF2B5EF4-FFF2-40B4-BE49-F238E27FC236}">
              <a16:creationId xmlns:a16="http://schemas.microsoft.com/office/drawing/2014/main" id="{09B48C07-85B8-4FB2-92C3-920A60E86E71}"/>
            </a:ext>
            <a:ext uri="{147F2762-F138-4A5C-976F-8EAC2B608ADB}">
              <a16:predDERef xmlns:a16="http://schemas.microsoft.com/office/drawing/2014/main" pred="{4681E733-CBFA-4729-D4B3-ADD7214CC383}"/>
            </a:ext>
          </a:extLst>
        </xdr:cNvPr>
        <xdr:cNvPicPr>
          <a:picLocks noChangeAspect="1"/>
        </xdr:cNvPicPr>
      </xdr:nvPicPr>
      <xdr:blipFill>
        <a:blip xmlns:r="http://schemas.openxmlformats.org/officeDocument/2006/relationships" r:embed="rId1"/>
        <a:stretch>
          <a:fillRect/>
        </a:stretch>
      </xdr:blipFill>
      <xdr:spPr>
        <a:xfrm>
          <a:off x="10525125" y="647701"/>
          <a:ext cx="2733675" cy="2822048"/>
        </a:xfrm>
        <a:prstGeom prst="rect">
          <a:avLst/>
        </a:prstGeom>
      </xdr:spPr>
    </xdr:pic>
    <xdr:clientData/>
  </xdr:twoCellAnchor>
  <xdr:twoCellAnchor editAs="oneCell">
    <xdr:from>
      <xdr:col>11</xdr:col>
      <xdr:colOff>238124</xdr:colOff>
      <xdr:row>20</xdr:row>
      <xdr:rowOff>114300</xdr:rowOff>
    </xdr:from>
    <xdr:to>
      <xdr:col>16</xdr:col>
      <xdr:colOff>504825</xdr:colOff>
      <xdr:row>28</xdr:row>
      <xdr:rowOff>180086</xdr:rowOff>
    </xdr:to>
    <xdr:pic>
      <xdr:nvPicPr>
        <xdr:cNvPr id="3" name="Picture 2">
          <a:extLst>
            <a:ext uri="{FF2B5EF4-FFF2-40B4-BE49-F238E27FC236}">
              <a16:creationId xmlns:a16="http://schemas.microsoft.com/office/drawing/2014/main" id="{167F0BC9-FF30-43CD-ABA1-3CACF8B07656}"/>
            </a:ext>
          </a:extLst>
        </xdr:cNvPr>
        <xdr:cNvPicPr>
          <a:picLocks noChangeAspect="1"/>
        </xdr:cNvPicPr>
      </xdr:nvPicPr>
      <xdr:blipFill>
        <a:blip xmlns:r="http://schemas.openxmlformats.org/officeDocument/2006/relationships" r:embed="rId2"/>
        <a:stretch>
          <a:fillRect/>
        </a:stretch>
      </xdr:blipFill>
      <xdr:spPr>
        <a:xfrm>
          <a:off x="10315574" y="4162425"/>
          <a:ext cx="3314701" cy="1599311"/>
        </a:xfrm>
        <a:prstGeom prst="rect">
          <a:avLst/>
        </a:prstGeom>
      </xdr:spPr>
    </xdr:pic>
    <xdr:clientData/>
  </xdr:twoCellAnchor>
  <xdr:twoCellAnchor editAs="oneCell">
    <xdr:from>
      <xdr:col>11</xdr:col>
      <xdr:colOff>180975</xdr:colOff>
      <xdr:row>28</xdr:row>
      <xdr:rowOff>107950</xdr:rowOff>
    </xdr:from>
    <xdr:to>
      <xdr:col>16</xdr:col>
      <xdr:colOff>581025</xdr:colOff>
      <xdr:row>34</xdr:row>
      <xdr:rowOff>114300</xdr:rowOff>
    </xdr:to>
    <xdr:pic>
      <xdr:nvPicPr>
        <xdr:cNvPr id="7" name="Picture 6">
          <a:extLst>
            <a:ext uri="{FF2B5EF4-FFF2-40B4-BE49-F238E27FC236}">
              <a16:creationId xmlns:a16="http://schemas.microsoft.com/office/drawing/2014/main" id="{719118C5-DA46-46D2-9AD8-C1DD4E01A4C4}"/>
            </a:ext>
            <a:ext uri="{147F2762-F138-4A5C-976F-8EAC2B608ADB}">
              <a16:predDERef xmlns:a16="http://schemas.microsoft.com/office/drawing/2014/main" pred="{21D59176-F2A3-98BF-9164-350A478924CA}"/>
            </a:ext>
          </a:extLst>
        </xdr:cNvPr>
        <xdr:cNvPicPr>
          <a:picLocks noChangeAspect="1"/>
        </xdr:cNvPicPr>
      </xdr:nvPicPr>
      <xdr:blipFill>
        <a:blip xmlns:r="http://schemas.openxmlformats.org/officeDocument/2006/relationships" r:embed="rId3"/>
        <a:stretch>
          <a:fillRect/>
        </a:stretch>
      </xdr:blipFill>
      <xdr:spPr>
        <a:xfrm>
          <a:off x="10258425" y="5680075"/>
          <a:ext cx="3448050" cy="1149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447677</xdr:colOff>
      <xdr:row>2</xdr:row>
      <xdr:rowOff>104774</xdr:rowOff>
    </xdr:from>
    <xdr:ext cx="3416384" cy="1609725"/>
    <xdr:pic>
      <xdr:nvPicPr>
        <xdr:cNvPr id="2" name="Picture 2">
          <a:extLst>
            <a:ext uri="{FF2B5EF4-FFF2-40B4-BE49-F238E27FC236}">
              <a16:creationId xmlns:a16="http://schemas.microsoft.com/office/drawing/2014/main" id="{5B382B42-5F51-46F5-91E9-14EF761453EE}"/>
            </a:ext>
            <a:ext uri="{147F2762-F138-4A5C-976F-8EAC2B608ADB}">
              <a16:predDERef xmlns:a16="http://schemas.microsoft.com/office/drawing/2014/main" pred="{382636A9-2CFF-4DB9-C240-14CF39BBFDEA}"/>
            </a:ext>
          </a:extLst>
        </xdr:cNvPr>
        <xdr:cNvPicPr>
          <a:picLocks noChangeAspect="1"/>
        </xdr:cNvPicPr>
      </xdr:nvPicPr>
      <xdr:blipFill>
        <a:blip xmlns:r="http://schemas.openxmlformats.org/officeDocument/2006/relationships" r:embed="rId1"/>
        <a:stretch>
          <a:fillRect/>
        </a:stretch>
      </xdr:blipFill>
      <xdr:spPr>
        <a:xfrm>
          <a:off x="6057902" y="609599"/>
          <a:ext cx="3416384" cy="16097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50800</xdr:colOff>
      <xdr:row>0</xdr:row>
      <xdr:rowOff>0</xdr:rowOff>
    </xdr:from>
    <xdr:ext cx="11649075" cy="6219825"/>
    <xdr:pic>
      <xdr:nvPicPr>
        <xdr:cNvPr id="6" name="Picture 1">
          <a:extLst>
            <a:ext uri="{FF2B5EF4-FFF2-40B4-BE49-F238E27FC236}">
              <a16:creationId xmlns:a16="http://schemas.microsoft.com/office/drawing/2014/main" id="{D208015C-1016-44CD-833A-1A1DF9063880}"/>
            </a:ext>
          </a:extLst>
        </xdr:cNvPr>
        <xdr:cNvPicPr>
          <a:picLocks noChangeAspect="1"/>
        </xdr:cNvPicPr>
      </xdr:nvPicPr>
      <xdr:blipFill>
        <a:blip xmlns:r="http://schemas.openxmlformats.org/officeDocument/2006/relationships" r:embed="rId1"/>
        <a:stretch>
          <a:fillRect/>
        </a:stretch>
      </xdr:blipFill>
      <xdr:spPr>
        <a:xfrm>
          <a:off x="50800" y="0"/>
          <a:ext cx="11649075" cy="6219825"/>
        </a:xfrm>
        <a:prstGeom prst="rect">
          <a:avLst/>
        </a:prstGeom>
      </xdr:spPr>
    </xdr:pic>
    <xdr:clientData/>
  </xdr:oneCellAnchor>
  <xdr:oneCellAnchor>
    <xdr:from>
      <xdr:col>0</xdr:col>
      <xdr:colOff>0</xdr:colOff>
      <xdr:row>30</xdr:row>
      <xdr:rowOff>152400</xdr:rowOff>
    </xdr:from>
    <xdr:ext cx="11915775" cy="6772275"/>
    <xdr:pic>
      <xdr:nvPicPr>
        <xdr:cNvPr id="3" name="Picture 2">
          <a:extLst>
            <a:ext uri="{FF2B5EF4-FFF2-40B4-BE49-F238E27FC236}">
              <a16:creationId xmlns:a16="http://schemas.microsoft.com/office/drawing/2014/main" id="{9471ED0F-24FC-419E-8540-FEF0E9F78246}"/>
            </a:ext>
            <a:ext uri="{147F2762-F138-4A5C-976F-8EAC2B608ADB}">
              <a16:predDERef xmlns:a16="http://schemas.microsoft.com/office/drawing/2014/main" pred="{D208015C-1016-44CD-833A-1A1DF9063880}"/>
            </a:ext>
          </a:extLst>
        </xdr:cNvPr>
        <xdr:cNvPicPr>
          <a:picLocks noChangeAspect="1"/>
        </xdr:cNvPicPr>
      </xdr:nvPicPr>
      <xdr:blipFill>
        <a:blip xmlns:r="http://schemas.openxmlformats.org/officeDocument/2006/relationships" r:embed="rId2"/>
        <a:stretch>
          <a:fillRect/>
        </a:stretch>
      </xdr:blipFill>
      <xdr:spPr>
        <a:xfrm>
          <a:off x="0" y="6705600"/>
          <a:ext cx="11915775" cy="6772275"/>
        </a:xfrm>
        <a:prstGeom prst="rect">
          <a:avLst/>
        </a:prstGeom>
      </xdr:spPr>
    </xdr:pic>
    <xdr:clientData/>
  </xdr:oneCellAnchor>
  <xdr:oneCellAnchor>
    <xdr:from>
      <xdr:col>0</xdr:col>
      <xdr:colOff>0</xdr:colOff>
      <xdr:row>62</xdr:row>
      <xdr:rowOff>152400</xdr:rowOff>
    </xdr:from>
    <xdr:ext cx="11953875" cy="2800350"/>
    <xdr:pic>
      <xdr:nvPicPr>
        <xdr:cNvPr id="4" name="Picture 3">
          <a:extLst>
            <a:ext uri="{FF2B5EF4-FFF2-40B4-BE49-F238E27FC236}">
              <a16:creationId xmlns:a16="http://schemas.microsoft.com/office/drawing/2014/main" id="{62572DBB-7221-4372-A859-204C580FE535}"/>
            </a:ext>
            <a:ext uri="{147F2762-F138-4A5C-976F-8EAC2B608ADB}">
              <a16:predDERef xmlns:a16="http://schemas.microsoft.com/office/drawing/2014/main" pred="{9471ED0F-24FC-419E-8540-FEF0E9F78246}"/>
            </a:ext>
          </a:extLst>
        </xdr:cNvPr>
        <xdr:cNvPicPr>
          <a:picLocks noChangeAspect="1"/>
        </xdr:cNvPicPr>
      </xdr:nvPicPr>
      <xdr:blipFill>
        <a:blip xmlns:r="http://schemas.openxmlformats.org/officeDocument/2006/relationships" r:embed="rId3"/>
        <a:stretch>
          <a:fillRect/>
        </a:stretch>
      </xdr:blipFill>
      <xdr:spPr>
        <a:xfrm>
          <a:off x="0" y="13411200"/>
          <a:ext cx="11953875" cy="2800350"/>
        </a:xfrm>
        <a:prstGeom prst="rect">
          <a:avLst/>
        </a:prstGeom>
      </xdr:spPr>
    </xdr:pic>
    <xdr:clientData/>
  </xdr:oneCellAnchor>
  <xdr:oneCellAnchor>
    <xdr:from>
      <xdr:col>0</xdr:col>
      <xdr:colOff>0</xdr:colOff>
      <xdr:row>76</xdr:row>
      <xdr:rowOff>95250</xdr:rowOff>
    </xdr:from>
    <xdr:ext cx="12915900" cy="7496175"/>
    <xdr:pic>
      <xdr:nvPicPr>
        <xdr:cNvPr id="5" name="Picture 4">
          <a:extLst>
            <a:ext uri="{FF2B5EF4-FFF2-40B4-BE49-F238E27FC236}">
              <a16:creationId xmlns:a16="http://schemas.microsoft.com/office/drawing/2014/main" id="{7EBFE7B2-79A2-4549-831A-727E2743DD9F}"/>
            </a:ext>
            <a:ext uri="{147F2762-F138-4A5C-976F-8EAC2B608ADB}">
              <a16:predDERef xmlns:a16="http://schemas.microsoft.com/office/drawing/2014/main" pred="{62572DBB-7221-4372-A859-204C580FE535}"/>
            </a:ext>
          </a:extLst>
        </xdr:cNvPr>
        <xdr:cNvPicPr>
          <a:picLocks noChangeAspect="1"/>
        </xdr:cNvPicPr>
      </xdr:nvPicPr>
      <xdr:blipFill>
        <a:blip xmlns:r="http://schemas.openxmlformats.org/officeDocument/2006/relationships" r:embed="rId4"/>
        <a:stretch>
          <a:fillRect/>
        </a:stretch>
      </xdr:blipFill>
      <xdr:spPr>
        <a:xfrm>
          <a:off x="0" y="16287750"/>
          <a:ext cx="12915900" cy="7496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38100</xdr:colOff>
      <xdr:row>72</xdr:row>
      <xdr:rowOff>19050</xdr:rowOff>
    </xdr:from>
    <xdr:to>
      <xdr:col>9</xdr:col>
      <xdr:colOff>581779</xdr:colOff>
      <xdr:row>171</xdr:row>
      <xdr:rowOff>143804</xdr:rowOff>
    </xdr:to>
    <xdr:grpSp>
      <xdr:nvGrpSpPr>
        <xdr:cNvPr id="9" name="Group 8">
          <a:extLst>
            <a:ext uri="{FF2B5EF4-FFF2-40B4-BE49-F238E27FC236}">
              <a16:creationId xmlns:a16="http://schemas.microsoft.com/office/drawing/2014/main" id="{ABFDDF29-95F1-2B43-47CA-2BCD35711ECD}"/>
            </a:ext>
          </a:extLst>
        </xdr:cNvPr>
        <xdr:cNvGrpSpPr/>
      </xdr:nvGrpSpPr>
      <xdr:grpSpPr>
        <a:xfrm>
          <a:off x="647700" y="13735050"/>
          <a:ext cx="5420479" cy="18984254"/>
          <a:chOff x="6457950" y="47625"/>
          <a:chExt cx="5420479" cy="18984254"/>
        </a:xfrm>
      </xdr:grpSpPr>
      <xdr:pic>
        <xdr:nvPicPr>
          <xdr:cNvPr id="3" name="Picture 2">
            <a:extLst>
              <a:ext uri="{FF2B5EF4-FFF2-40B4-BE49-F238E27FC236}">
                <a16:creationId xmlns:a16="http://schemas.microsoft.com/office/drawing/2014/main" id="{0E67F40E-877A-66A7-31B6-1AFB46B83B90}"/>
              </a:ext>
            </a:extLst>
          </xdr:cNvPr>
          <xdr:cNvPicPr>
            <a:picLocks noChangeAspect="1"/>
          </xdr:cNvPicPr>
        </xdr:nvPicPr>
        <xdr:blipFill>
          <a:blip xmlns:r="http://schemas.openxmlformats.org/officeDocument/2006/relationships" r:embed="rId1"/>
          <a:stretch>
            <a:fillRect/>
          </a:stretch>
        </xdr:blipFill>
        <xdr:spPr>
          <a:xfrm>
            <a:off x="6457950" y="47625"/>
            <a:ext cx="5410955" cy="5744377"/>
          </a:xfrm>
          <a:prstGeom prst="rect">
            <a:avLst/>
          </a:prstGeom>
        </xdr:spPr>
      </xdr:pic>
      <xdr:pic>
        <xdr:nvPicPr>
          <xdr:cNvPr id="4" name="Picture 3">
            <a:extLst>
              <a:ext uri="{FF2B5EF4-FFF2-40B4-BE49-F238E27FC236}">
                <a16:creationId xmlns:a16="http://schemas.microsoft.com/office/drawing/2014/main" id="{3F86ECFA-7C19-9710-93BE-6188AA573F5C}"/>
              </a:ext>
            </a:extLst>
          </xdr:cNvPr>
          <xdr:cNvPicPr>
            <a:picLocks noChangeAspect="1"/>
          </xdr:cNvPicPr>
        </xdr:nvPicPr>
        <xdr:blipFill>
          <a:blip xmlns:r="http://schemas.openxmlformats.org/officeDocument/2006/relationships" r:embed="rId2"/>
          <a:stretch>
            <a:fillRect/>
          </a:stretch>
        </xdr:blipFill>
        <xdr:spPr>
          <a:xfrm>
            <a:off x="6477000" y="5762625"/>
            <a:ext cx="5401429" cy="6668431"/>
          </a:xfrm>
          <a:prstGeom prst="rect">
            <a:avLst/>
          </a:prstGeom>
        </xdr:spPr>
      </xdr:pic>
      <xdr:pic>
        <xdr:nvPicPr>
          <xdr:cNvPr id="5" name="Picture 4">
            <a:extLst>
              <a:ext uri="{FF2B5EF4-FFF2-40B4-BE49-F238E27FC236}">
                <a16:creationId xmlns:a16="http://schemas.microsoft.com/office/drawing/2014/main" id="{E5CA4818-6C96-3173-2023-DBF6FC949887}"/>
              </a:ext>
            </a:extLst>
          </xdr:cNvPr>
          <xdr:cNvPicPr>
            <a:picLocks noChangeAspect="1"/>
          </xdr:cNvPicPr>
        </xdr:nvPicPr>
        <xdr:blipFill>
          <a:blip xmlns:r="http://schemas.openxmlformats.org/officeDocument/2006/relationships" r:embed="rId3"/>
          <a:stretch>
            <a:fillRect/>
          </a:stretch>
        </xdr:blipFill>
        <xdr:spPr>
          <a:xfrm>
            <a:off x="6467475" y="12372975"/>
            <a:ext cx="5382376" cy="6658904"/>
          </a:xfrm>
          <a:prstGeom prst="rect">
            <a:avLst/>
          </a:prstGeom>
        </xdr:spPr>
      </xdr:pic>
    </xdr:grpSp>
    <xdr:clientData/>
  </xdr:twoCellAnchor>
  <xdr:twoCellAnchor editAs="oneCell">
    <xdr:from>
      <xdr:col>21</xdr:col>
      <xdr:colOff>0</xdr:colOff>
      <xdr:row>96</xdr:row>
      <xdr:rowOff>0</xdr:rowOff>
    </xdr:from>
    <xdr:to>
      <xdr:col>29</xdr:col>
      <xdr:colOff>534155</xdr:colOff>
      <xdr:row>128</xdr:row>
      <xdr:rowOff>19904</xdr:rowOff>
    </xdr:to>
    <xdr:pic>
      <xdr:nvPicPr>
        <xdr:cNvPr id="6" name="Picture 5">
          <a:extLst>
            <a:ext uri="{FF2B5EF4-FFF2-40B4-BE49-F238E27FC236}">
              <a16:creationId xmlns:a16="http://schemas.microsoft.com/office/drawing/2014/main" id="{44D9E8DA-6AD8-F711-B436-80B3CCA3BC51}"/>
            </a:ext>
          </a:extLst>
        </xdr:cNvPr>
        <xdr:cNvPicPr>
          <a:picLocks noChangeAspect="1"/>
        </xdr:cNvPicPr>
      </xdr:nvPicPr>
      <xdr:blipFill>
        <a:blip xmlns:r="http://schemas.openxmlformats.org/officeDocument/2006/relationships" r:embed="rId4"/>
        <a:stretch>
          <a:fillRect/>
        </a:stretch>
      </xdr:blipFill>
      <xdr:spPr>
        <a:xfrm>
          <a:off x="12801600" y="18288000"/>
          <a:ext cx="5410955" cy="6115904"/>
        </a:xfrm>
        <a:prstGeom prst="rect">
          <a:avLst/>
        </a:prstGeom>
      </xdr:spPr>
    </xdr:pic>
    <xdr:clientData/>
  </xdr:twoCellAnchor>
  <xdr:twoCellAnchor>
    <xdr:from>
      <xdr:col>1</xdr:col>
      <xdr:colOff>0</xdr:colOff>
      <xdr:row>0</xdr:row>
      <xdr:rowOff>104775</xdr:rowOff>
    </xdr:from>
    <xdr:to>
      <xdr:col>9</xdr:col>
      <xdr:colOff>553208</xdr:colOff>
      <xdr:row>72</xdr:row>
      <xdr:rowOff>29510</xdr:rowOff>
    </xdr:to>
    <xdr:grpSp>
      <xdr:nvGrpSpPr>
        <xdr:cNvPr id="8" name="Group 7">
          <a:extLst>
            <a:ext uri="{FF2B5EF4-FFF2-40B4-BE49-F238E27FC236}">
              <a16:creationId xmlns:a16="http://schemas.microsoft.com/office/drawing/2014/main" id="{E39269A4-448B-FDFF-A9C1-9358C60D17A1}"/>
            </a:ext>
          </a:extLst>
        </xdr:cNvPr>
        <xdr:cNvGrpSpPr/>
      </xdr:nvGrpSpPr>
      <xdr:grpSpPr>
        <a:xfrm>
          <a:off x="609600" y="104775"/>
          <a:ext cx="5430008" cy="13640735"/>
          <a:chOff x="609600" y="3048000"/>
          <a:chExt cx="5430008" cy="13640735"/>
        </a:xfrm>
      </xdr:grpSpPr>
      <xdr:pic>
        <xdr:nvPicPr>
          <xdr:cNvPr id="2" name="Picture 1">
            <a:extLst>
              <a:ext uri="{FF2B5EF4-FFF2-40B4-BE49-F238E27FC236}">
                <a16:creationId xmlns:a16="http://schemas.microsoft.com/office/drawing/2014/main" id="{3AE4FC0D-0099-33E5-D3FE-38AA029BA84F}"/>
              </a:ext>
            </a:extLst>
          </xdr:cNvPr>
          <xdr:cNvPicPr>
            <a:picLocks noChangeAspect="1"/>
          </xdr:cNvPicPr>
        </xdr:nvPicPr>
        <xdr:blipFill>
          <a:blip xmlns:r="http://schemas.openxmlformats.org/officeDocument/2006/relationships" r:embed="rId5"/>
          <a:stretch>
            <a:fillRect/>
          </a:stretch>
        </xdr:blipFill>
        <xdr:spPr>
          <a:xfrm>
            <a:off x="609600" y="9991725"/>
            <a:ext cx="5430008" cy="6697010"/>
          </a:xfrm>
          <a:prstGeom prst="rect">
            <a:avLst/>
          </a:prstGeom>
        </xdr:spPr>
      </xdr:pic>
      <xdr:pic>
        <xdr:nvPicPr>
          <xdr:cNvPr id="7" name="Picture 6">
            <a:extLst>
              <a:ext uri="{FF2B5EF4-FFF2-40B4-BE49-F238E27FC236}">
                <a16:creationId xmlns:a16="http://schemas.microsoft.com/office/drawing/2014/main" id="{E784FC46-575E-3A9F-1985-0F4C3210EDE7}"/>
              </a:ext>
            </a:extLst>
          </xdr:cNvPr>
          <xdr:cNvPicPr>
            <a:picLocks noChangeAspect="1"/>
          </xdr:cNvPicPr>
        </xdr:nvPicPr>
        <xdr:blipFill>
          <a:blip xmlns:r="http://schemas.openxmlformats.org/officeDocument/2006/relationships" r:embed="rId6"/>
          <a:stretch>
            <a:fillRect/>
          </a:stretch>
        </xdr:blipFill>
        <xdr:spPr>
          <a:xfrm>
            <a:off x="609600" y="3048000"/>
            <a:ext cx="5430008" cy="698279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533400</xdr:colOff>
      <xdr:row>1</xdr:row>
      <xdr:rowOff>95250</xdr:rowOff>
    </xdr:from>
    <xdr:to>
      <xdr:col>4</xdr:col>
      <xdr:colOff>231775</xdr:colOff>
      <xdr:row>27</xdr:row>
      <xdr:rowOff>171450</xdr:rowOff>
    </xdr:to>
    <xdr:pic>
      <xdr:nvPicPr>
        <xdr:cNvPr id="2" name="Picture 1">
          <a:extLst>
            <a:ext uri="{FF2B5EF4-FFF2-40B4-BE49-F238E27FC236}">
              <a16:creationId xmlns:a16="http://schemas.microsoft.com/office/drawing/2014/main" id="{BA26F58B-FCE5-3BDB-33CB-B3E3C3EEF3E1}"/>
            </a:ext>
          </a:extLst>
        </xdr:cNvPr>
        <xdr:cNvPicPr>
          <a:picLocks noChangeAspect="1"/>
        </xdr:cNvPicPr>
      </xdr:nvPicPr>
      <xdr:blipFill>
        <a:blip xmlns:r="http://schemas.openxmlformats.org/officeDocument/2006/relationships" r:embed="rId1"/>
        <a:stretch>
          <a:fillRect/>
        </a:stretch>
      </xdr:blipFill>
      <xdr:spPr>
        <a:xfrm>
          <a:off x="533400" y="285750"/>
          <a:ext cx="4714875" cy="5029200"/>
        </a:xfrm>
        <a:prstGeom prst="rect">
          <a:avLst/>
        </a:prstGeom>
      </xdr:spPr>
    </xdr:pic>
    <xdr:clientData/>
  </xdr:twoCellAnchor>
  <xdr:twoCellAnchor editAs="oneCell">
    <xdr:from>
      <xdr:col>1</xdr:col>
      <xdr:colOff>9525</xdr:colOff>
      <xdr:row>28</xdr:row>
      <xdr:rowOff>38100</xdr:rowOff>
    </xdr:from>
    <xdr:to>
      <xdr:col>4</xdr:col>
      <xdr:colOff>174625</xdr:colOff>
      <xdr:row>50</xdr:row>
      <xdr:rowOff>171450</xdr:rowOff>
    </xdr:to>
    <xdr:pic>
      <xdr:nvPicPr>
        <xdr:cNvPr id="3" name="Picture 2">
          <a:extLst>
            <a:ext uri="{FF2B5EF4-FFF2-40B4-BE49-F238E27FC236}">
              <a16:creationId xmlns:a16="http://schemas.microsoft.com/office/drawing/2014/main" id="{9A1F5AB5-CD10-A97A-C1CF-2FF2D15D414C}"/>
            </a:ext>
            <a:ext uri="{147F2762-F138-4A5C-976F-8EAC2B608ADB}">
              <a16:predDERef xmlns:a16="http://schemas.microsoft.com/office/drawing/2014/main" pred="{BA26F58B-FCE5-3BDB-33CB-B3E3C3EEF3E1}"/>
            </a:ext>
          </a:extLst>
        </xdr:cNvPr>
        <xdr:cNvPicPr>
          <a:picLocks noChangeAspect="1"/>
        </xdr:cNvPicPr>
      </xdr:nvPicPr>
      <xdr:blipFill>
        <a:blip xmlns:r="http://schemas.openxmlformats.org/officeDocument/2006/relationships" r:embed="rId2"/>
        <a:stretch>
          <a:fillRect/>
        </a:stretch>
      </xdr:blipFill>
      <xdr:spPr>
        <a:xfrm>
          <a:off x="619125" y="5372100"/>
          <a:ext cx="4572000" cy="4324350"/>
        </a:xfrm>
        <a:prstGeom prst="rect">
          <a:avLst/>
        </a:prstGeom>
      </xdr:spPr>
    </xdr:pic>
    <xdr:clientData/>
  </xdr:twoCellAnchor>
  <xdr:twoCellAnchor editAs="oneCell">
    <xdr:from>
      <xdr:col>1</xdr:col>
      <xdr:colOff>57150</xdr:colOff>
      <xdr:row>51</xdr:row>
      <xdr:rowOff>0</xdr:rowOff>
    </xdr:from>
    <xdr:to>
      <xdr:col>4</xdr:col>
      <xdr:colOff>222250</xdr:colOff>
      <xdr:row>66</xdr:row>
      <xdr:rowOff>152400</xdr:rowOff>
    </xdr:to>
    <xdr:pic>
      <xdr:nvPicPr>
        <xdr:cNvPr id="4" name="Picture 3">
          <a:extLst>
            <a:ext uri="{FF2B5EF4-FFF2-40B4-BE49-F238E27FC236}">
              <a16:creationId xmlns:a16="http://schemas.microsoft.com/office/drawing/2014/main" id="{6E5D2705-3698-1EBA-B7CB-8B7D71253A5A}"/>
            </a:ext>
            <a:ext uri="{147F2762-F138-4A5C-976F-8EAC2B608ADB}">
              <a16:predDERef xmlns:a16="http://schemas.microsoft.com/office/drawing/2014/main" pred="{9A1F5AB5-CD10-A97A-C1CF-2FF2D15D414C}"/>
            </a:ext>
          </a:extLst>
        </xdr:cNvPr>
        <xdr:cNvPicPr>
          <a:picLocks noChangeAspect="1"/>
        </xdr:cNvPicPr>
      </xdr:nvPicPr>
      <xdr:blipFill>
        <a:blip xmlns:r="http://schemas.openxmlformats.org/officeDocument/2006/relationships" r:embed="rId3"/>
        <a:stretch>
          <a:fillRect/>
        </a:stretch>
      </xdr:blipFill>
      <xdr:spPr>
        <a:xfrm>
          <a:off x="666750" y="9715500"/>
          <a:ext cx="4572000" cy="30099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uci, Giulia (HPD)" id="{B913C833-2439-40F9-AB2C-0774E4C488DA}" userId="S::lucig@hpd.nyc.gov::805ec49f-a2da-4399-ba65-66abff0cc839" providerId="AD"/>
  <person displayName="Leone, Jennifer (HPD)" id="{ECE0BF56-A1B9-43B4-8058-ABFD1F489DD2}" userId="S::leonej@hpd.nyc.gov::9a5ce7cc-dc7c-4a56-a1ca-675bac914b76" providerId="AD"/>
  <person displayName="Leone, Jennifer (HPD)" id="{823BB903-EAC4-4D16-B191-C04D640E3418}" userId="S::leonej_hpd.nyc.gov#ext#@nysemail.onmicrosoft.com::4fe41812-d381-4c8c-9d32-b98bd1e08f18" providerId="AD"/>
  <person displayName="mdefrancesco" id="{304F1867-7B4D-4682-82D4-7B30F41FF355}" userId="S::mdefrancesco_taitem.com#ext#@nysemail.onmicrosoft.com::d14851c7-addb-413f-8ab8-2ed716abe26b" providerId="AD"/>
  <person displayName="Sean Brennan" id="{8460AAE4-F1D6-4832-8B63-CE3933E7C1DB}" userId="S::sean.brennan_cadmusgroup.com#ext#@nysemail.onmicrosoft.com::3e2bab05-444f-408b-93a2-99a4bdbde87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4" dT="2025-05-22T11:07:25.19" personId="{ECE0BF56-A1B9-43B4-8058-ABFD1F489DD2}" id="{1CD05439-3D6E-4D40-9A5F-BDB0EB8D333B}" done="1">
    <text xml:space="preserve">Not working after row 15
</text>
  </threadedComment>
  <threadedComment ref="F47" dT="2025-04-01T21:38:38.15" personId="{B913C833-2439-40F9-AB2C-0774E4C488DA}" id="{9D66CEFB-60E3-4B7E-9675-775B7C742CBD}" done="1">
    <text>The 'unless insulation was added after construction' is a bit criptic - what do we mean?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4-01T21:55:14.85" personId="{B913C833-2439-40F9-AB2C-0774E4C488DA}" id="{78D83CCA-2F05-45C8-8D8E-6B9198FCD510}" done="1">
    <text>What's is still not clear to me is if they are supposed to use this calculator for existing assemblies too, or for proposed only.
As said in another comment, if used for proposed only there is a high-chance the existing are going to be highly inaccurate.</text>
  </threadedComment>
  <threadedComment ref="B1" dT="2025-04-02T21:12:17.82" personId="{823BB903-EAC4-4D16-B191-C04D640E3418}" id="{04A48083-6D9A-4FF2-A285-E64804527E16}" parentId="{78D83CCA-2F05-45C8-8D8E-6B9198FCD510}">
    <text>I am OK with that. We can't be perfect.</text>
  </threadedComment>
</ThreadedComments>
</file>

<file path=xl/threadedComments/threadedComment3.xml><?xml version="1.0" encoding="utf-8"?>
<ThreadedComments xmlns="http://schemas.microsoft.com/office/spreadsheetml/2018/threadedcomments" xmlns:x="http://schemas.openxmlformats.org/spreadsheetml/2006/main">
  <threadedComment ref="N4" dT="2025-03-21T16:58:15.99" personId="{B913C833-2439-40F9-AB2C-0774E4C488DA}" id="{3F4E06E4-C7CB-4638-9E5D-D0B80042C2C7}">
    <text>I don’t fully understand this table. What’s FF? Also, how are you getting 0.8 from here for the batt insulation between studs @16”oc? I’m missing steps on how to read this.</text>
  </threadedComment>
  <threadedComment ref="H15" dT="2025-03-21T16:53:57.02" personId="{B913C833-2439-40F9-AB2C-0774E4C488DA}" id="{9F69BEAD-3588-4E67-B04C-E5DD649CC153}">
    <text>Total Nominal R-Value?</text>
  </threadedComment>
  <threadedComment ref="J15" dT="2025-03-21T16:51:20.56" personId="{B913C833-2439-40F9-AB2C-0774E4C488DA}" id="{C73B33A1-2146-4F13-BE91-7A72D6ABCEC8}">
    <text>Typically R-values are derated, not U-values. Or maybe you meant derated assembly FACTOR here?</text>
  </threadedComment>
  <threadedComment ref="B17" dT="2025-03-21T16:56:11.23" personId="{B913C833-2439-40F9-AB2C-0774E4C488DA}" id="{DF9B24C6-E8E4-4600-9E91-E2F58E40B929}">
    <text>It is more important to focus on the thickness of the insulation rather than the thickness of the studs. Also, it can be a red flag: if they’re putting batt insulation with a thickness &lt; than studs, then it won’t work (derated factor = 0!).</text>
  </threadedComment>
  <threadedComment ref="B40" dT="2025-03-21T16:59:44.26" personId="{B913C833-2439-40F9-AB2C-0774E4C488DA}" id="{9470DB26-2F5E-4BCB-A5C8-AA80422F2B5D}">
    <text>Pitched?</text>
  </threadedComment>
  <threadedComment ref="F40" dT="2025-03-21T17:17:01.66" personId="{B913C833-2439-40F9-AB2C-0774E4C488DA}" id="{FC9C0525-5BDE-46BB-8810-22DFB5037429}">
    <text>Clarify this should be the average. NOTE: getting an AVERAGE thickness/R-value for a pitched roof is not as obvious in my experience. Architects are going to tend to include the MAXIMUM thickness here, which might be substantially different from the average.
We could also ask that if they don’t have the average, they should include MINIMUM thickness then, for a conservative approach.</text>
  </threadedComment>
  <threadedComment ref="B47" dT="2025-03-21T16:52:44.22" personId="{B913C833-2439-40F9-AB2C-0774E4C488DA}" id="{2B80B6C7-BAD9-493D-850E-B3E878B307A8}">
    <text>The derated assembly factors are for walls or roofs? If for walls, they wouldn’t be good for roofs, and viceversa. Also, what’s the source for it?</text>
  </threadedComment>
</ThreadedComments>
</file>

<file path=xl/threadedComments/threadedComment4.xml><?xml version="1.0" encoding="utf-8"?>
<ThreadedComments xmlns="http://schemas.microsoft.com/office/spreadsheetml/2018/threadedcomments" xmlns:x="http://schemas.openxmlformats.org/spreadsheetml/2006/main">
  <threadedComment ref="F4" dT="2025-03-27T13:38:16.12" personId="{823BB903-EAC4-4D16-B191-C04D640E3418}" id="{69647EDC-0932-4B9D-9623-45E7ACF5B28C}" done="1">
    <text xml:space="preserve">This looks to be derated, just guessing. </text>
  </threadedComment>
  <threadedComment ref="E6" dT="2025-05-15T14:24:55.23" personId="{8460AAE4-F1D6-4832-8B63-CE3933E7C1DB}" id="{A77B8C0C-AF36-4863-83E3-BC22AED344F2}">
    <text>This column could be deleted if values are uniform.</text>
  </threadedComment>
  <threadedComment ref="D31" dT="2025-03-31T17:44:47.37" personId="{304F1867-7B4D-4682-82D4-7B30F41FF355}" id="{57B22580-F130-4006-851B-BEAE46EBFF43}">
    <text>autoclaved not listed in book, this i aerated concrete, oven dried</text>
  </threadedComment>
  <threadedComment ref="D32" dT="2025-03-31T18:01:15.41" personId="{304F1867-7B4D-4682-82D4-7B30F41FF355}" id="{4A0DCF5F-24BD-4D20-9BA9-58D6BE9AEAB7}">
    <text>From 2001 fundamentals, not listed in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T3" dT="2025-04-01T21:56:40.76" personId="{B913C833-2439-40F9-AB2C-0774E4C488DA}" id="{9F9A7261-EEAC-458C-AB83-4E345AD79D24}">
    <text>Are the cells below supposed to be hidden? Unclear.</text>
  </threadedComment>
  <threadedComment ref="X4" dT="2025-03-27T13:38:16.12" personId="{823BB903-EAC4-4D16-B191-C04D640E3418}" id="{8EEC6EA0-E6BB-46A9-9DBE-62C765F18A88}" done="1">
    <text xml:space="preserve">This looks to be derated, just guessing. </text>
  </threadedComment>
  <threadedComment ref="V23" dT="2025-03-31T17:44:47.37" personId="{304F1867-7B4D-4682-82D4-7B30F41FF355}" id="{A9502CEF-F7EC-45C3-8A97-DE3EC64A87DF}">
    <text>autoclaved not listed in book, this i aerated concrete, oven dried</text>
  </threadedComment>
  <threadedComment ref="V24" dT="2025-03-31T18:01:15.41" personId="{304F1867-7B4D-4682-82D4-7B30F41FF355}" id="{B0D1A90C-9BD8-4471-8244-1F9C3FFA803C}">
    <text>From 2001 fundamentals, not listed in 2021</text>
  </threadedComment>
  <threadedComment ref="X31" dT="2025-03-27T13:38:16.12" personId="{823BB903-EAC4-4D16-B191-C04D640E3418}" id="{5C4AF741-2379-4D53-9B19-ED8F59A597F0}" done="1">
    <text xml:space="preserve">This looks to be derated, just guessing. </text>
  </threadedComment>
  <threadedComment ref="X71" dT="2025-04-02T18:20:57.24" personId="{304F1867-7B4D-4682-82D4-7B30F41FF355}" id="{A42ECD7A-A58F-4D59-A2D5-A9E92F792CC0}">
    <text>1.82 for 3/8 in back</text>
  </threadedComment>
  <threadedComment ref="T86" dT="2025-03-21T17:01:28.73" personId="{B913C833-2439-40F9-AB2C-0774E4C488DA}" id="{E421D719-D4C7-4913-8752-30B2B980EADA}">
    <text>All these values for windows are for the glass, not the whole assembly (which is what we need).
we could also simplify and propose they include either a ‘code-compliant’ window U-value (I believe our master specs have a U-value) or high-performance windows (passive house, etc.), OR they include their own U-value in case they already spec’ed them.</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ashrae.org/technical-resources/bookstore/standard-90-1" TargetMode="External"/><Relationship Id="rId7" Type="http://schemas.openxmlformats.org/officeDocument/2006/relationships/vmlDrawing" Target="../drawings/vmlDrawing1.vml"/><Relationship Id="rId2" Type="http://schemas.openxmlformats.org/officeDocument/2006/relationships/hyperlink" Target="https://www.archtoolbox.com/r-values/" TargetMode="External"/><Relationship Id="rId1" Type="http://schemas.openxmlformats.org/officeDocument/2006/relationships/hyperlink" Target="https://www.maec.msu.edu/application/files/7717/0792/2184/Tech_Note_385_Insulation_R_Values.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yc.gov/assets/buildings/apps/pdf_viewer/viewer.html?file=2020ECC_CHC4.pdf&amp;section=energy_code_2020" TargetMode="External"/><Relationship Id="rId9"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hyperlink" Target="https://gcc02.safelinks.protection.outlook.com/?url=https%3A%2F%2Fenergycodeace.com%2Fcontent%2Fja41-scope-and-purpose%23ra-chunk--173052&amp;data=05%7C02%7CLeoneJ%40hpd.nyc.gov%7Cdd85635650ba40672ada08dd6d1eaba8%7C32f56fc75f814e22a95b15da66513bef%7C0%7C0%7C638786700679510563%7CUnknown%7CTWFpbGZsb3d8eyJFbXB0eU1hcGkiOnRydWUsIlYiOiIwLjAuMDAwMCIsIlAiOiJXaW4zMiIsIkFOIjoiTWFpbCIsIldUIjoyfQ%3D%3D%7C0%7C%7C%7C&amp;sdata=oMt9L3nU8NNWsKb9Vyc1Eaqc2h83vP6TK%2BwYvLdMzIE%3D&amp;reserved=0" TargetMode="External"/><Relationship Id="rId2" Type="http://schemas.openxmlformats.org/officeDocument/2006/relationships/hyperlink" Target="file:///C:\Users\leonej\Downloads\U-Values%20and%20Derating%20Insulation%20(1).pdf" TargetMode="External"/><Relationship Id="rId1" Type="http://schemas.openxmlformats.org/officeDocument/2006/relationships/hyperlink" Target="file:///C:\Users\leonej\Downloads\U-Values%20and%20Derating%20Insulation%20(1).pdf"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hyperlink" Target="https://www.coloradoenergy.org/procorner/stuff/r-values.htm"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s://www1.eere.energy.gov/buildings/publications/pdfs/building_america/building_materials_property_table.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112"/>
  <sheetViews>
    <sheetView showGridLines="0" topLeftCell="A14" zoomScale="75" zoomScaleNormal="75" workbookViewId="0">
      <selection activeCell="K17" sqref="K17"/>
    </sheetView>
  </sheetViews>
  <sheetFormatPr defaultColWidth="9" defaultRowHeight="13.5" customHeight="1" x14ac:dyDescent="0.25"/>
  <cols>
    <col min="1" max="1" width="2.7109375" style="81" customWidth="1"/>
    <col min="2" max="2" width="17.42578125" style="81" customWidth="1"/>
    <col min="3" max="3" width="20.7109375" style="81" customWidth="1"/>
    <col min="4" max="6" width="15.7109375" style="81" customWidth="1"/>
    <col min="7" max="7" width="13.7109375" style="81" customWidth="1"/>
    <col min="8" max="8" width="24.42578125" style="81" customWidth="1"/>
    <col min="9" max="9" width="25.7109375" style="81" customWidth="1"/>
    <col min="10" max="10" width="13.7109375" style="81" customWidth="1"/>
    <col min="11" max="11" width="16.7109375" style="81" customWidth="1"/>
    <col min="12" max="12" width="13.7109375" style="100" customWidth="1"/>
    <col min="13" max="16" width="13.7109375" style="81" customWidth="1"/>
    <col min="17" max="17" width="28.42578125" style="81" customWidth="1"/>
    <col min="18" max="18" width="13.7109375" style="81" customWidth="1"/>
    <col min="19" max="20" width="13.7109375" style="100" customWidth="1"/>
    <col min="21" max="21" width="2.7109375" style="81" customWidth="1"/>
    <col min="22" max="22" width="50.85546875" style="81" customWidth="1"/>
    <col min="23" max="16384" width="9" style="81"/>
  </cols>
  <sheetData>
    <row r="1" spans="1:51" s="19" customFormat="1" ht="26.25" x14ac:dyDescent="0.25">
      <c r="A1" s="76"/>
      <c r="B1" s="197" t="s">
        <v>0</v>
      </c>
      <c r="C1" s="197"/>
      <c r="D1" s="197"/>
      <c r="E1" s="197"/>
      <c r="F1" s="197"/>
      <c r="G1" s="197"/>
      <c r="H1" s="197"/>
      <c r="I1" s="197"/>
      <c r="J1" s="197"/>
      <c r="K1" s="197"/>
      <c r="L1" s="197"/>
      <c r="M1" s="197"/>
      <c r="N1" s="197"/>
      <c r="O1" s="197"/>
      <c r="P1" s="197"/>
      <c r="Q1" s="197"/>
      <c r="R1" s="197"/>
      <c r="S1" s="197"/>
      <c r="T1" s="175"/>
      <c r="U1" s="15"/>
      <c r="AX1" s="77"/>
      <c r="AY1" s="77"/>
    </row>
    <row r="2" spans="1:51" s="19" customFormat="1" ht="15" customHeight="1" x14ac:dyDescent="0.25">
      <c r="A2" s="76"/>
      <c r="B2" s="15"/>
      <c r="C2" s="15"/>
      <c r="D2" s="5"/>
      <c r="E2" s="5"/>
      <c r="F2" s="5"/>
      <c r="G2" s="5"/>
      <c r="H2" s="5"/>
      <c r="I2" s="15"/>
      <c r="J2" s="15"/>
      <c r="K2" s="15"/>
      <c r="L2" s="78"/>
      <c r="M2" s="204" t="s">
        <v>1</v>
      </c>
      <c r="N2" s="205"/>
      <c r="O2" s="205"/>
      <c r="P2" s="205"/>
      <c r="Q2" s="205"/>
      <c r="R2" s="205"/>
      <c r="S2" s="205"/>
      <c r="T2" s="205"/>
      <c r="U2" s="15"/>
    </row>
    <row r="3" spans="1:51" s="19" customFormat="1" ht="15" x14ac:dyDescent="0.25">
      <c r="A3" s="76"/>
      <c r="B3" s="255" t="s">
        <v>2</v>
      </c>
      <c r="C3" s="255"/>
      <c r="D3" s="255"/>
      <c r="E3" s="255"/>
      <c r="F3" s="255"/>
      <c r="G3" s="255"/>
      <c r="H3" s="255"/>
      <c r="I3" s="229" t="s">
        <v>3</v>
      </c>
      <c r="J3" s="229"/>
      <c r="K3" s="229"/>
      <c r="L3" s="7"/>
      <c r="M3" s="203" t="s">
        <v>4</v>
      </c>
      <c r="N3" s="239"/>
      <c r="O3" s="209"/>
      <c r="P3" s="209"/>
      <c r="Q3" s="206"/>
      <c r="R3" s="206"/>
      <c r="S3" s="206"/>
      <c r="T3" s="206"/>
      <c r="U3" s="15"/>
    </row>
    <row r="4" spans="1:51" s="19" customFormat="1" ht="15" customHeight="1" x14ac:dyDescent="0.25">
      <c r="A4" s="76"/>
      <c r="B4" s="255"/>
      <c r="C4" s="255"/>
      <c r="D4" s="255"/>
      <c r="E4" s="255"/>
      <c r="F4" s="255"/>
      <c r="G4" s="255"/>
      <c r="H4" s="255"/>
      <c r="I4" s="230" t="s">
        <v>5</v>
      </c>
      <c r="J4" s="230"/>
      <c r="K4" s="230"/>
      <c r="L4" s="79"/>
      <c r="M4" s="202" t="s">
        <v>6</v>
      </c>
      <c r="N4" s="203"/>
      <c r="O4" s="206"/>
      <c r="P4" s="206"/>
      <c r="Q4" s="206"/>
      <c r="R4" s="206"/>
      <c r="S4" s="206"/>
      <c r="T4" s="206"/>
      <c r="U4" s="15"/>
    </row>
    <row r="5" spans="1:51" ht="15" customHeight="1" x14ac:dyDescent="0.25">
      <c r="A5" s="24"/>
      <c r="B5" s="255"/>
      <c r="C5" s="255"/>
      <c r="D5" s="255"/>
      <c r="E5" s="255"/>
      <c r="F5" s="255"/>
      <c r="G5" s="255"/>
      <c r="H5" s="255"/>
      <c r="I5" s="256" t="s">
        <v>7</v>
      </c>
      <c r="J5" s="256"/>
      <c r="K5" s="256"/>
      <c r="L5" s="80"/>
      <c r="M5" s="202" t="s">
        <v>8</v>
      </c>
      <c r="N5" s="203"/>
      <c r="O5" s="206"/>
      <c r="P5" s="206"/>
      <c r="Q5" s="206"/>
      <c r="R5" s="206"/>
      <c r="S5" s="206"/>
      <c r="T5" s="206"/>
      <c r="U5" s="24"/>
    </row>
    <row r="6" spans="1:51" ht="15" customHeight="1" x14ac:dyDescent="0.25">
      <c r="A6" s="24"/>
      <c r="B6" s="255"/>
      <c r="C6" s="255"/>
      <c r="D6" s="255"/>
      <c r="E6" s="255"/>
      <c r="F6" s="255"/>
      <c r="G6" s="255"/>
      <c r="H6" s="255"/>
      <c r="I6" s="256"/>
      <c r="J6" s="256"/>
      <c r="K6" s="256"/>
      <c r="L6" s="80"/>
      <c r="M6" s="202" t="s">
        <v>9</v>
      </c>
      <c r="N6" s="203"/>
      <c r="O6" s="206"/>
      <c r="P6" s="206"/>
      <c r="Q6" s="206"/>
      <c r="R6" s="206"/>
      <c r="S6" s="206"/>
      <c r="T6" s="206"/>
      <c r="U6" s="24"/>
    </row>
    <row r="7" spans="1:51" ht="15" customHeight="1" x14ac:dyDescent="0.25">
      <c r="A7" s="24"/>
      <c r="B7" s="255"/>
      <c r="C7" s="255"/>
      <c r="D7" s="255"/>
      <c r="E7" s="255"/>
      <c r="F7" s="255"/>
      <c r="G7" s="255"/>
      <c r="H7" s="255"/>
      <c r="I7" s="231" t="s">
        <v>10</v>
      </c>
      <c r="J7" s="231"/>
      <c r="K7" s="231"/>
      <c r="L7" s="80"/>
      <c r="M7" s="202" t="s">
        <v>11</v>
      </c>
      <c r="N7" s="203"/>
      <c r="O7" s="206"/>
      <c r="P7" s="206"/>
      <c r="Q7" s="206"/>
      <c r="R7" s="206"/>
      <c r="S7" s="206"/>
      <c r="T7" s="206"/>
      <c r="U7" s="24"/>
    </row>
    <row r="8" spans="1:51" ht="15" customHeight="1" x14ac:dyDescent="0.25">
      <c r="A8" s="24"/>
      <c r="B8" s="255"/>
      <c r="C8" s="255"/>
      <c r="D8" s="255"/>
      <c r="E8" s="255"/>
      <c r="F8" s="255"/>
      <c r="G8" s="255"/>
      <c r="H8" s="255"/>
      <c r="I8" s="257" t="s">
        <v>12</v>
      </c>
      <c r="J8" s="257"/>
      <c r="K8" s="257"/>
      <c r="L8" s="80"/>
      <c r="M8" s="202" t="s">
        <v>13</v>
      </c>
      <c r="N8" s="203"/>
      <c r="O8" s="206"/>
      <c r="P8" s="206"/>
      <c r="Q8" s="206"/>
      <c r="R8" s="206"/>
      <c r="S8" s="206"/>
      <c r="T8" s="206"/>
      <c r="U8" s="24"/>
    </row>
    <row r="9" spans="1:51" ht="30" customHeight="1" x14ac:dyDescent="0.25">
      <c r="A9" s="24"/>
      <c r="B9" s="255"/>
      <c r="C9" s="255"/>
      <c r="D9" s="255"/>
      <c r="E9" s="255"/>
      <c r="F9" s="255"/>
      <c r="G9" s="255"/>
      <c r="H9" s="255"/>
      <c r="I9" s="257"/>
      <c r="J9" s="257"/>
      <c r="K9" s="257"/>
      <c r="L9" s="80"/>
      <c r="M9" s="202" t="s">
        <v>14</v>
      </c>
      <c r="N9" s="203"/>
      <c r="O9" s="206"/>
      <c r="P9" s="206"/>
      <c r="Q9" s="206"/>
      <c r="R9" s="206"/>
      <c r="S9" s="206"/>
      <c r="T9" s="206"/>
      <c r="U9" s="24"/>
    </row>
    <row r="10" spans="1:51" ht="15" customHeight="1" x14ac:dyDescent="0.25">
      <c r="A10" s="24"/>
      <c r="B10" s="255"/>
      <c r="C10" s="255"/>
      <c r="D10" s="255"/>
      <c r="E10" s="255"/>
      <c r="F10" s="255"/>
      <c r="G10" s="255"/>
      <c r="H10" s="255"/>
      <c r="I10" s="103"/>
      <c r="J10" s="103"/>
      <c r="K10" s="82"/>
      <c r="L10" s="80"/>
      <c r="M10" s="202" t="s">
        <v>15</v>
      </c>
      <c r="N10" s="203"/>
      <c r="O10" s="206" t="s">
        <v>16</v>
      </c>
      <c r="P10" s="206"/>
      <c r="Q10" s="206"/>
      <c r="R10" s="206"/>
      <c r="S10" s="206"/>
      <c r="T10" s="206"/>
      <c r="U10" s="24"/>
    </row>
    <row r="11" spans="1:51" ht="15" customHeight="1" x14ac:dyDescent="0.25">
      <c r="A11" s="24"/>
      <c r="B11" s="255"/>
      <c r="C11" s="255"/>
      <c r="D11" s="255"/>
      <c r="E11" s="255"/>
      <c r="F11" s="255"/>
      <c r="G11" s="255"/>
      <c r="H11" s="255"/>
      <c r="I11" s="83"/>
      <c r="J11" s="83"/>
      <c r="K11" s="82"/>
      <c r="L11" s="80"/>
      <c r="M11" s="202" t="s">
        <v>17</v>
      </c>
      <c r="N11" s="203"/>
      <c r="O11" s="206"/>
      <c r="P11" s="206"/>
      <c r="Q11" s="206"/>
      <c r="R11" s="206"/>
      <c r="S11" s="206"/>
      <c r="T11" s="206"/>
      <c r="U11" s="24"/>
    </row>
    <row r="12" spans="1:51" x14ac:dyDescent="0.25">
      <c r="A12" s="24"/>
      <c r="B12" s="24"/>
      <c r="C12" s="24"/>
      <c r="D12" s="24"/>
      <c r="E12" s="24"/>
      <c r="F12" s="24"/>
      <c r="G12" s="24"/>
      <c r="H12" s="24"/>
      <c r="I12" s="24"/>
      <c r="J12" s="84"/>
      <c r="K12" s="24"/>
      <c r="L12" s="80"/>
      <c r="M12" s="24"/>
      <c r="N12" s="24"/>
      <c r="O12" s="24"/>
      <c r="P12" s="24"/>
      <c r="Q12" s="24"/>
      <c r="R12" s="24"/>
      <c r="S12" s="80"/>
      <c r="T12" s="80"/>
      <c r="U12" s="24"/>
    </row>
    <row r="13" spans="1:51" ht="28.5" customHeight="1" x14ac:dyDescent="0.25">
      <c r="A13" s="24"/>
      <c r="B13" s="237" t="s">
        <v>18</v>
      </c>
      <c r="C13" s="238"/>
      <c r="D13" s="228" t="s">
        <v>19</v>
      </c>
      <c r="E13" s="228"/>
      <c r="F13" s="228"/>
      <c r="G13" s="228"/>
      <c r="H13" s="228"/>
      <c r="I13" s="228"/>
      <c r="J13" s="228"/>
      <c r="K13" s="228"/>
      <c r="L13" s="228"/>
      <c r="M13" s="207" t="s">
        <v>20</v>
      </c>
      <c r="N13" s="208"/>
      <c r="O13" s="208"/>
      <c r="P13" s="208"/>
      <c r="Q13" s="208"/>
      <c r="R13" s="208"/>
      <c r="S13" s="208"/>
      <c r="T13" s="208"/>
      <c r="U13" s="24"/>
    </row>
    <row r="14" spans="1:51" s="19" customFormat="1" ht="65.25" customHeight="1" x14ac:dyDescent="0.25">
      <c r="A14" s="15"/>
      <c r="B14" s="16" t="s">
        <v>21</v>
      </c>
      <c r="C14" s="16" t="s">
        <v>22</v>
      </c>
      <c r="D14" s="199" t="s">
        <v>23</v>
      </c>
      <c r="E14" s="199"/>
      <c r="F14" s="199"/>
      <c r="G14" s="177" t="s">
        <v>24</v>
      </c>
      <c r="H14" s="17" t="s">
        <v>25</v>
      </c>
      <c r="I14" s="177" t="s">
        <v>26</v>
      </c>
      <c r="J14" s="177" t="s">
        <v>27</v>
      </c>
      <c r="K14" s="17" t="s">
        <v>28</v>
      </c>
      <c r="L14" s="17" t="s">
        <v>29</v>
      </c>
      <c r="M14" s="201" t="s">
        <v>30</v>
      </c>
      <c r="N14" s="201"/>
      <c r="O14" s="201"/>
      <c r="P14" s="201"/>
      <c r="Q14" s="18" t="s">
        <v>31</v>
      </c>
      <c r="R14" s="179" t="s">
        <v>32</v>
      </c>
      <c r="S14" s="179" t="s">
        <v>33</v>
      </c>
      <c r="T14" s="18" t="s">
        <v>34</v>
      </c>
      <c r="U14" s="15"/>
      <c r="V14" s="152"/>
    </row>
    <row r="15" spans="1:51" s="22" customFormat="1" ht="30" customHeight="1" x14ac:dyDescent="0.25">
      <c r="A15" s="20"/>
      <c r="B15" s="85" t="s">
        <v>35</v>
      </c>
      <c r="C15" s="178" t="s">
        <v>36</v>
      </c>
      <c r="D15" s="200" t="s">
        <v>37</v>
      </c>
      <c r="E15" s="200"/>
      <c r="F15" s="200"/>
      <c r="G15" s="176" t="s">
        <v>38</v>
      </c>
      <c r="H15" s="176">
        <v>10</v>
      </c>
      <c r="I15" s="28" t="str">
        <f>IF(ISBLANK(H15),"",IF(ISBLANK($O$10),"Enter Building Vintage above in Row 10", IF(VLOOKUP($O$10,$B$48:$G$52,5,0)&lt;=H15,"OK", "Justify condition below")))</f>
        <v>Justify condition below</v>
      </c>
      <c r="J15" s="89">
        <f t="shared" ref="J15:J16" si="0">IF(ISBLANK(H15),"",1/H15)</f>
        <v>0.1</v>
      </c>
      <c r="K15" s="176">
        <v>1000</v>
      </c>
      <c r="L15" s="90">
        <f>IF(ISBLANK(H15),"",IF(ISBLANK(K15),"",J15*K15))</f>
        <v>100</v>
      </c>
      <c r="M15" s="200" t="s">
        <v>39</v>
      </c>
      <c r="N15" s="200"/>
      <c r="O15" s="200"/>
      <c r="P15" s="200"/>
      <c r="Q15" s="176">
        <v>17</v>
      </c>
      <c r="R15" s="88">
        <f t="shared" ref="R15" si="1">IF(ISBLANK(Q15),"",1/Q15)</f>
        <v>5.8823529411764705E-2</v>
      </c>
      <c r="S15" s="21">
        <f>IF(ISBLANK(H15),"",R15*K15)</f>
        <v>58.823529411764703</v>
      </c>
      <c r="T15" s="171" t="s">
        <v>40</v>
      </c>
      <c r="U15" s="20"/>
    </row>
    <row r="16" spans="1:51" ht="30" customHeight="1" x14ac:dyDescent="0.25">
      <c r="A16" s="24"/>
      <c r="B16" s="85" t="s">
        <v>41</v>
      </c>
      <c r="C16" s="178"/>
      <c r="D16" s="200"/>
      <c r="E16" s="200"/>
      <c r="F16" s="200"/>
      <c r="G16" s="176"/>
      <c r="H16" s="176"/>
      <c r="I16" s="28" t="str">
        <f t="shared" ref="I16:I26" si="2">IF(ISBLANK(H16),"",IF(ISBLANK($O$10),"Enter Building Vintage above in Row 10", IF(VLOOKUP($O$10,$B$48:$G$52,5,0)&lt;=H16,"OK", "Justify condition below")))</f>
        <v/>
      </c>
      <c r="J16" s="89" t="str">
        <f t="shared" si="0"/>
        <v/>
      </c>
      <c r="K16" s="176"/>
      <c r="L16" s="90" t="str">
        <f t="shared" ref="L16:L26" si="3">IF(ISBLANK(H16),"",IF(ISBLANK(K16),"",J16*K16))</f>
        <v/>
      </c>
      <c r="M16" s="198"/>
      <c r="N16" s="198"/>
      <c r="O16" s="198"/>
      <c r="P16" s="198"/>
      <c r="Q16" s="176"/>
      <c r="R16" s="88" t="str">
        <f t="shared" ref="R16:R19" si="4">IF(ISBLANK(Q16),"",1/Q16)</f>
        <v/>
      </c>
      <c r="S16" s="21" t="str">
        <f>IF(ISBLANK(H16),"",R16*K16)</f>
        <v/>
      </c>
      <c r="T16" s="171"/>
      <c r="U16" s="24"/>
    </row>
    <row r="17" spans="1:21" ht="30" customHeight="1" x14ac:dyDescent="0.25">
      <c r="A17" s="24"/>
      <c r="B17" s="85" t="s">
        <v>42</v>
      </c>
      <c r="C17" s="178"/>
      <c r="D17" s="225"/>
      <c r="E17" s="226"/>
      <c r="F17" s="227"/>
      <c r="G17" s="176"/>
      <c r="H17" s="176"/>
      <c r="I17" s="28" t="str">
        <f t="shared" si="2"/>
        <v/>
      </c>
      <c r="J17" s="89" t="str">
        <f t="shared" ref="J17:J19" si="5">IF(ISBLANK(H17),"",1/H17)</f>
        <v/>
      </c>
      <c r="K17" s="176"/>
      <c r="L17" s="90" t="str">
        <f t="shared" si="3"/>
        <v/>
      </c>
      <c r="M17" s="198"/>
      <c r="N17" s="198"/>
      <c r="O17" s="198"/>
      <c r="P17" s="198"/>
      <c r="Q17" s="176"/>
      <c r="R17" s="88" t="str">
        <f t="shared" si="4"/>
        <v/>
      </c>
      <c r="S17" s="21" t="str">
        <f t="shared" ref="S17:S26" si="6">IF(ISBLANK(H17),"",R17*K17)</f>
        <v/>
      </c>
      <c r="T17" s="171"/>
      <c r="U17" s="24"/>
    </row>
    <row r="18" spans="1:21" ht="30" customHeight="1" x14ac:dyDescent="0.25">
      <c r="A18" s="24"/>
      <c r="B18" s="85" t="s">
        <v>43</v>
      </c>
      <c r="C18" s="178"/>
      <c r="D18" s="198" t="s">
        <v>44</v>
      </c>
      <c r="E18" s="198"/>
      <c r="F18" s="198"/>
      <c r="G18" s="176" t="s">
        <v>44</v>
      </c>
      <c r="H18" s="176"/>
      <c r="I18" s="28" t="str">
        <f t="shared" si="2"/>
        <v/>
      </c>
      <c r="J18" s="89" t="str">
        <f t="shared" si="5"/>
        <v/>
      </c>
      <c r="K18" s="176"/>
      <c r="L18" s="90" t="str">
        <f t="shared" si="3"/>
        <v/>
      </c>
      <c r="M18" s="198"/>
      <c r="N18" s="198"/>
      <c r="O18" s="198"/>
      <c r="P18" s="198"/>
      <c r="Q18" s="176"/>
      <c r="R18" s="88" t="str">
        <f t="shared" si="4"/>
        <v/>
      </c>
      <c r="S18" s="21" t="str">
        <f t="shared" si="6"/>
        <v/>
      </c>
      <c r="T18" s="171"/>
      <c r="U18" s="24"/>
    </row>
    <row r="19" spans="1:21" ht="30" customHeight="1" x14ac:dyDescent="0.25">
      <c r="A19" s="24"/>
      <c r="B19" s="85" t="s">
        <v>45</v>
      </c>
      <c r="C19" s="178"/>
      <c r="D19" s="198" t="s">
        <v>44</v>
      </c>
      <c r="E19" s="198"/>
      <c r="F19" s="198"/>
      <c r="G19" s="176" t="s">
        <v>44</v>
      </c>
      <c r="H19" s="176"/>
      <c r="I19" s="28" t="str">
        <f t="shared" si="2"/>
        <v/>
      </c>
      <c r="J19" s="89" t="str">
        <f t="shared" si="5"/>
        <v/>
      </c>
      <c r="K19" s="176"/>
      <c r="L19" s="90" t="str">
        <f t="shared" si="3"/>
        <v/>
      </c>
      <c r="M19" s="198"/>
      <c r="N19" s="198"/>
      <c r="O19" s="198"/>
      <c r="P19" s="198"/>
      <c r="Q19" s="176"/>
      <c r="R19" s="88" t="str">
        <f t="shared" si="4"/>
        <v/>
      </c>
      <c r="S19" s="21" t="str">
        <f t="shared" si="6"/>
        <v/>
      </c>
      <c r="T19" s="171"/>
      <c r="U19" s="24"/>
    </row>
    <row r="20" spans="1:21" ht="30" customHeight="1" x14ac:dyDescent="0.25">
      <c r="A20" s="24"/>
      <c r="B20" s="85" t="s">
        <v>46</v>
      </c>
      <c r="C20" s="178" t="s">
        <v>47</v>
      </c>
      <c r="D20" s="200" t="s">
        <v>48</v>
      </c>
      <c r="E20" s="200"/>
      <c r="F20" s="200"/>
      <c r="G20" s="178" t="s">
        <v>38</v>
      </c>
      <c r="H20" s="178">
        <v>4</v>
      </c>
      <c r="I20" s="28" t="str">
        <f t="shared" si="2"/>
        <v>Justify condition below</v>
      </c>
      <c r="J20" s="86">
        <f>IF(ISBLANK(H20),"",1/H20)</f>
        <v>0.25</v>
      </c>
      <c r="K20" s="178">
        <v>10000</v>
      </c>
      <c r="L20" s="90">
        <f t="shared" si="3"/>
        <v>2500</v>
      </c>
      <c r="M20" s="200" t="s">
        <v>49</v>
      </c>
      <c r="N20" s="200"/>
      <c r="O20" s="200"/>
      <c r="P20" s="200"/>
      <c r="Q20" s="178">
        <v>43</v>
      </c>
      <c r="R20" s="106">
        <f>IF(ISBLANK(Q20),"",1/Q20)</f>
        <v>2.3255813953488372E-2</v>
      </c>
      <c r="S20" s="21">
        <f t="shared" si="6"/>
        <v>232.55813953488371</v>
      </c>
      <c r="T20" s="170" t="s">
        <v>50</v>
      </c>
      <c r="U20" s="24"/>
    </row>
    <row r="21" spans="1:21" ht="30" customHeight="1" x14ac:dyDescent="0.25">
      <c r="A21" s="24"/>
      <c r="B21" s="85" t="s">
        <v>51</v>
      </c>
      <c r="C21" s="178"/>
      <c r="D21" s="200"/>
      <c r="E21" s="200"/>
      <c r="F21" s="200"/>
      <c r="G21" s="178"/>
      <c r="H21" s="178"/>
      <c r="I21" s="28" t="str">
        <f t="shared" si="2"/>
        <v/>
      </c>
      <c r="J21" s="89" t="str">
        <f t="shared" ref="J21:J26" si="7">IF(ISBLANK(H21),"",1/H21)</f>
        <v/>
      </c>
      <c r="K21" s="176"/>
      <c r="L21" s="90" t="str">
        <f t="shared" si="3"/>
        <v/>
      </c>
      <c r="M21" s="198"/>
      <c r="N21" s="198"/>
      <c r="O21" s="198"/>
      <c r="P21" s="198"/>
      <c r="Q21" s="176"/>
      <c r="R21" s="88" t="str">
        <f t="shared" ref="R21:R26" si="8">IF(ISBLANK(Q21),"",1/Q21)</f>
        <v/>
      </c>
      <c r="S21" s="21" t="str">
        <f t="shared" si="6"/>
        <v/>
      </c>
      <c r="T21" s="171"/>
      <c r="U21" s="24"/>
    </row>
    <row r="22" spans="1:21" ht="30" customHeight="1" x14ac:dyDescent="0.25">
      <c r="A22" s="24"/>
      <c r="B22" s="85" t="s">
        <v>52</v>
      </c>
      <c r="C22" s="178"/>
      <c r="D22" s="198" t="s">
        <v>44</v>
      </c>
      <c r="E22" s="198"/>
      <c r="F22" s="198"/>
      <c r="G22" s="176" t="s">
        <v>44</v>
      </c>
      <c r="H22" s="176"/>
      <c r="I22" s="28" t="str">
        <f t="shared" si="2"/>
        <v/>
      </c>
      <c r="J22" s="89" t="str">
        <f t="shared" si="7"/>
        <v/>
      </c>
      <c r="K22" s="176"/>
      <c r="L22" s="90" t="str">
        <f t="shared" si="3"/>
        <v/>
      </c>
      <c r="M22" s="198"/>
      <c r="N22" s="198"/>
      <c r="O22" s="198"/>
      <c r="P22" s="198"/>
      <c r="Q22" s="176"/>
      <c r="R22" s="88" t="str">
        <f t="shared" si="8"/>
        <v/>
      </c>
      <c r="S22" s="21" t="str">
        <f t="shared" si="6"/>
        <v/>
      </c>
      <c r="T22" s="171"/>
      <c r="U22" s="24"/>
    </row>
    <row r="23" spans="1:21" ht="30" customHeight="1" x14ac:dyDescent="0.25">
      <c r="A23" s="24"/>
      <c r="B23" s="85" t="s">
        <v>53</v>
      </c>
      <c r="C23" s="178"/>
      <c r="D23" s="198" t="s">
        <v>44</v>
      </c>
      <c r="E23" s="198"/>
      <c r="F23" s="198"/>
      <c r="G23" s="176" t="s">
        <v>44</v>
      </c>
      <c r="H23" s="176"/>
      <c r="I23" s="28" t="str">
        <f t="shared" si="2"/>
        <v/>
      </c>
      <c r="J23" s="89" t="str">
        <f t="shared" ref="J23:J24" si="9">IF(ISBLANK(H23),"",1/H23)</f>
        <v/>
      </c>
      <c r="K23" s="176"/>
      <c r="L23" s="90" t="str">
        <f t="shared" si="3"/>
        <v/>
      </c>
      <c r="M23" s="198"/>
      <c r="N23" s="198"/>
      <c r="O23" s="198"/>
      <c r="P23" s="198"/>
      <c r="Q23" s="176"/>
      <c r="R23" s="88" t="str">
        <f t="shared" ref="R23:R24" si="10">IF(ISBLANK(Q23),"",1/Q23)</f>
        <v/>
      </c>
      <c r="S23" s="21" t="str">
        <f t="shared" si="6"/>
        <v/>
      </c>
      <c r="T23" s="171"/>
      <c r="U23" s="24"/>
    </row>
    <row r="24" spans="1:21" ht="30" customHeight="1" x14ac:dyDescent="0.25">
      <c r="A24" s="24"/>
      <c r="B24" s="85" t="s">
        <v>54</v>
      </c>
      <c r="C24" s="178"/>
      <c r="D24" s="198" t="s">
        <v>44</v>
      </c>
      <c r="E24" s="198"/>
      <c r="F24" s="198"/>
      <c r="G24" s="176" t="s">
        <v>44</v>
      </c>
      <c r="H24" s="176"/>
      <c r="I24" s="28" t="str">
        <f t="shared" si="2"/>
        <v/>
      </c>
      <c r="J24" s="89" t="str">
        <f t="shared" si="9"/>
        <v/>
      </c>
      <c r="K24" s="176"/>
      <c r="L24" s="90" t="str">
        <f t="shared" si="3"/>
        <v/>
      </c>
      <c r="M24" s="198"/>
      <c r="N24" s="198"/>
      <c r="O24" s="198"/>
      <c r="P24" s="198"/>
      <c r="Q24" s="176"/>
      <c r="R24" s="88" t="str">
        <f t="shared" si="10"/>
        <v/>
      </c>
      <c r="S24" s="21" t="str">
        <f t="shared" si="6"/>
        <v/>
      </c>
      <c r="T24" s="171"/>
      <c r="U24" s="24"/>
    </row>
    <row r="25" spans="1:21" ht="30" customHeight="1" x14ac:dyDescent="0.25">
      <c r="A25" s="24"/>
      <c r="B25" s="85" t="s">
        <v>55</v>
      </c>
      <c r="C25" s="178"/>
      <c r="D25" s="198" t="s">
        <v>44</v>
      </c>
      <c r="E25" s="198"/>
      <c r="F25" s="198"/>
      <c r="G25" s="176" t="s">
        <v>44</v>
      </c>
      <c r="H25" s="176"/>
      <c r="I25" s="28" t="str">
        <f t="shared" si="2"/>
        <v/>
      </c>
      <c r="J25" s="89" t="str">
        <f t="shared" si="7"/>
        <v/>
      </c>
      <c r="K25" s="176"/>
      <c r="L25" s="90" t="str">
        <f t="shared" si="3"/>
        <v/>
      </c>
      <c r="M25" s="198"/>
      <c r="N25" s="198"/>
      <c r="O25" s="198"/>
      <c r="P25" s="198"/>
      <c r="Q25" s="176"/>
      <c r="R25" s="88" t="str">
        <f t="shared" si="8"/>
        <v/>
      </c>
      <c r="S25" s="21" t="str">
        <f t="shared" si="6"/>
        <v/>
      </c>
      <c r="T25" s="171"/>
      <c r="U25" s="24"/>
    </row>
    <row r="26" spans="1:21" ht="30" customHeight="1" x14ac:dyDescent="0.25">
      <c r="A26" s="24"/>
      <c r="B26" s="85" t="s">
        <v>56</v>
      </c>
      <c r="C26" s="178"/>
      <c r="D26" s="198" t="s">
        <v>44</v>
      </c>
      <c r="E26" s="198"/>
      <c r="F26" s="198"/>
      <c r="G26" s="176" t="s">
        <v>44</v>
      </c>
      <c r="H26" s="176"/>
      <c r="I26" s="28" t="str">
        <f t="shared" si="2"/>
        <v/>
      </c>
      <c r="J26" s="89" t="str">
        <f t="shared" si="7"/>
        <v/>
      </c>
      <c r="K26" s="176"/>
      <c r="L26" s="90" t="str">
        <f t="shared" si="3"/>
        <v/>
      </c>
      <c r="M26" s="224"/>
      <c r="N26" s="224"/>
      <c r="O26" s="224"/>
      <c r="P26" s="224"/>
      <c r="Q26" s="27"/>
      <c r="R26" s="91" t="str">
        <f t="shared" si="8"/>
        <v/>
      </c>
      <c r="S26" s="21" t="str">
        <f t="shared" si="6"/>
        <v/>
      </c>
      <c r="T26" s="172"/>
      <c r="U26" s="24"/>
    </row>
    <row r="27" spans="1:21" ht="67.5" x14ac:dyDescent="0.25">
      <c r="A27" s="24"/>
      <c r="B27" s="16" t="s">
        <v>57</v>
      </c>
      <c r="C27" s="16" t="s">
        <v>22</v>
      </c>
      <c r="D27" s="177" t="s">
        <v>58</v>
      </c>
      <c r="E27" s="177" t="s">
        <v>59</v>
      </c>
      <c r="F27" s="177" t="s">
        <v>60</v>
      </c>
      <c r="G27" s="177" t="s">
        <v>61</v>
      </c>
      <c r="H27" s="173" t="s">
        <v>62</v>
      </c>
      <c r="I27" s="17" t="s">
        <v>63</v>
      </c>
      <c r="J27" s="17" t="s">
        <v>64</v>
      </c>
      <c r="K27" s="177" t="s">
        <v>65</v>
      </c>
      <c r="L27" s="17" t="s">
        <v>29</v>
      </c>
      <c r="M27" s="201" t="s">
        <v>66</v>
      </c>
      <c r="N27" s="201"/>
      <c r="O27" s="18" t="s">
        <v>67</v>
      </c>
      <c r="P27" s="18" t="s">
        <v>68</v>
      </c>
      <c r="Q27" s="18" t="s">
        <v>61</v>
      </c>
      <c r="R27" s="18" t="s">
        <v>69</v>
      </c>
      <c r="S27" s="179" t="s">
        <v>33</v>
      </c>
      <c r="T27" s="18" t="s">
        <v>34</v>
      </c>
      <c r="U27" s="24"/>
    </row>
    <row r="28" spans="1:21" s="19" customFormat="1" ht="30" customHeight="1" x14ac:dyDescent="0.25">
      <c r="A28" s="15"/>
      <c r="B28" s="85" t="s">
        <v>70</v>
      </c>
      <c r="C28" s="178" t="s">
        <v>71</v>
      </c>
      <c r="D28" s="178" t="s">
        <v>72</v>
      </c>
      <c r="E28" s="178" t="s">
        <v>73</v>
      </c>
      <c r="F28" s="178" t="s">
        <v>74</v>
      </c>
      <c r="G28" s="178">
        <v>2</v>
      </c>
      <c r="H28" s="178">
        <v>10</v>
      </c>
      <c r="I28" s="178">
        <v>1000</v>
      </c>
      <c r="J28" s="178">
        <v>1</v>
      </c>
      <c r="K28" s="104" t="str">
        <f>IF(ISBLANK(J28),"",IF(ISBLANK($O$10),"Enter Building Vintage above in Row 10",IF(VLOOKUP($O$10,$B$48:$G$52,6,0)&lt;=J28, "Justify condition below","OK")))</f>
        <v>Justify condition below</v>
      </c>
      <c r="L28" s="87">
        <f>IF(ISBLANK(I28),"",J28*I28)</f>
        <v>1000</v>
      </c>
      <c r="M28" s="200" t="s">
        <v>75</v>
      </c>
      <c r="N28" s="200"/>
      <c r="O28" s="178" t="s">
        <v>76</v>
      </c>
      <c r="P28" s="178"/>
      <c r="Q28" s="178">
        <v>1</v>
      </c>
      <c r="R28" s="178">
        <v>0.42</v>
      </c>
      <c r="S28" s="105">
        <f t="shared" ref="S28:T41" si="11">IF(ISBLANK(I28),"",R28*I28)</f>
        <v>420</v>
      </c>
      <c r="T28" s="154" t="s">
        <v>77</v>
      </c>
      <c r="U28" s="15"/>
    </row>
    <row r="29" spans="1:21" s="19" customFormat="1" ht="30" customHeight="1" x14ac:dyDescent="0.25">
      <c r="A29" s="15"/>
      <c r="B29" s="85" t="s">
        <v>78</v>
      </c>
      <c r="C29" s="178"/>
      <c r="D29" s="176" t="s">
        <v>44</v>
      </c>
      <c r="E29" s="176" t="s">
        <v>44</v>
      </c>
      <c r="F29" s="176" t="s">
        <v>44</v>
      </c>
      <c r="G29" s="176" t="s">
        <v>44</v>
      </c>
      <c r="H29" s="176" t="s">
        <v>44</v>
      </c>
      <c r="I29" s="176"/>
      <c r="J29" s="176"/>
      <c r="K29" s="104"/>
      <c r="L29" s="90" t="str">
        <f t="shared" ref="L29:L41" si="12">IF(ISBLANK(I29),"",J29*I29)</f>
        <v/>
      </c>
      <c r="M29" s="198"/>
      <c r="N29" s="198"/>
      <c r="O29" s="176"/>
      <c r="P29" s="176" t="s">
        <v>44</v>
      </c>
      <c r="Q29" s="176"/>
      <c r="R29" s="176"/>
      <c r="S29" s="21" t="str">
        <f t="shared" si="11"/>
        <v/>
      </c>
      <c r="T29" s="155" t="str">
        <f t="shared" si="11"/>
        <v/>
      </c>
      <c r="U29" s="15"/>
    </row>
    <row r="30" spans="1:21" s="19" customFormat="1" ht="30" customHeight="1" x14ac:dyDescent="0.25">
      <c r="A30" s="15"/>
      <c r="B30" s="85" t="s">
        <v>79</v>
      </c>
      <c r="C30" s="178"/>
      <c r="D30" s="176" t="s">
        <v>44</v>
      </c>
      <c r="E30" s="176"/>
      <c r="F30" s="176" t="s">
        <v>44</v>
      </c>
      <c r="G30" s="176" t="s">
        <v>44</v>
      </c>
      <c r="H30" s="176" t="s">
        <v>44</v>
      </c>
      <c r="I30" s="176"/>
      <c r="J30" s="176"/>
      <c r="K30" s="104" t="str">
        <f t="shared" ref="K30:K41" si="13">IF(ISBLANK(J30),"",IF(ISBLANK($O$10),"Enter Building Vintage above in Row 10",IF(VLOOKUP($O$10,$B$48:$G$52,6,0)&lt;=J30, "Justify condition below","OK")))</f>
        <v/>
      </c>
      <c r="L30" s="90" t="str">
        <f t="shared" si="12"/>
        <v/>
      </c>
      <c r="M30" s="198"/>
      <c r="N30" s="198"/>
      <c r="O30" s="176"/>
      <c r="P30" s="176" t="s">
        <v>44</v>
      </c>
      <c r="Q30" s="176"/>
      <c r="R30" s="176"/>
      <c r="S30" s="21" t="str">
        <f t="shared" si="11"/>
        <v/>
      </c>
      <c r="T30" s="155" t="str">
        <f t="shared" si="11"/>
        <v/>
      </c>
      <c r="U30" s="15"/>
    </row>
    <row r="31" spans="1:21" s="19" customFormat="1" ht="30" customHeight="1" x14ac:dyDescent="0.25">
      <c r="A31" s="15"/>
      <c r="B31" s="85" t="s">
        <v>80</v>
      </c>
      <c r="C31" s="178"/>
      <c r="D31" s="176" t="s">
        <v>44</v>
      </c>
      <c r="E31" s="176" t="s">
        <v>44</v>
      </c>
      <c r="F31" s="176" t="s">
        <v>44</v>
      </c>
      <c r="G31" s="176" t="s">
        <v>44</v>
      </c>
      <c r="H31" s="176" t="s">
        <v>44</v>
      </c>
      <c r="I31" s="176"/>
      <c r="J31" s="176"/>
      <c r="K31" s="104" t="str">
        <f t="shared" si="13"/>
        <v/>
      </c>
      <c r="L31" s="90" t="str">
        <f t="shared" si="12"/>
        <v/>
      </c>
      <c r="M31" s="198"/>
      <c r="N31" s="198"/>
      <c r="O31" s="176"/>
      <c r="P31" s="176" t="s">
        <v>44</v>
      </c>
      <c r="Q31" s="176"/>
      <c r="R31" s="176"/>
      <c r="S31" s="21" t="str">
        <f t="shared" si="11"/>
        <v/>
      </c>
      <c r="T31" s="155" t="str">
        <f t="shared" si="11"/>
        <v/>
      </c>
      <c r="U31" s="15"/>
    </row>
    <row r="32" spans="1:21" s="19" customFormat="1" ht="30" customHeight="1" x14ac:dyDescent="0.25">
      <c r="A32" s="15"/>
      <c r="B32" s="85" t="s">
        <v>81</v>
      </c>
      <c r="C32" s="178"/>
      <c r="D32" s="176" t="s">
        <v>44</v>
      </c>
      <c r="E32" s="176" t="s">
        <v>44</v>
      </c>
      <c r="F32" s="176" t="s">
        <v>44</v>
      </c>
      <c r="G32" s="176" t="s">
        <v>44</v>
      </c>
      <c r="H32" s="176" t="s">
        <v>44</v>
      </c>
      <c r="I32" s="176"/>
      <c r="J32" s="176"/>
      <c r="K32" s="104" t="str">
        <f t="shared" si="13"/>
        <v/>
      </c>
      <c r="L32" s="90" t="str">
        <f t="shared" si="12"/>
        <v/>
      </c>
      <c r="M32" s="198"/>
      <c r="N32" s="198"/>
      <c r="O32" s="176"/>
      <c r="P32" s="176" t="s">
        <v>44</v>
      </c>
      <c r="Q32" s="176"/>
      <c r="R32" s="176"/>
      <c r="S32" s="21" t="str">
        <f t="shared" si="11"/>
        <v/>
      </c>
      <c r="T32" s="155" t="str">
        <f t="shared" si="11"/>
        <v/>
      </c>
      <c r="U32" s="15"/>
    </row>
    <row r="33" spans="1:22" s="19" customFormat="1" ht="30" customHeight="1" x14ac:dyDescent="0.25">
      <c r="A33" s="15"/>
      <c r="B33" s="85" t="s">
        <v>82</v>
      </c>
      <c r="C33" s="178"/>
      <c r="D33" s="176" t="s">
        <v>44</v>
      </c>
      <c r="E33" s="176" t="s">
        <v>44</v>
      </c>
      <c r="F33" s="176" t="s">
        <v>44</v>
      </c>
      <c r="G33" s="176" t="s">
        <v>44</v>
      </c>
      <c r="H33" s="176" t="s">
        <v>44</v>
      </c>
      <c r="I33" s="176"/>
      <c r="J33" s="176"/>
      <c r="K33" s="104" t="str">
        <f t="shared" si="13"/>
        <v/>
      </c>
      <c r="L33" s="90" t="str">
        <f t="shared" si="12"/>
        <v/>
      </c>
      <c r="M33" s="198"/>
      <c r="N33" s="198"/>
      <c r="O33" s="176"/>
      <c r="P33" s="176" t="s">
        <v>44</v>
      </c>
      <c r="Q33" s="176"/>
      <c r="R33" s="176"/>
      <c r="S33" s="21" t="str">
        <f t="shared" si="11"/>
        <v/>
      </c>
      <c r="T33" s="155" t="str">
        <f t="shared" si="11"/>
        <v/>
      </c>
      <c r="U33" s="15"/>
    </row>
    <row r="34" spans="1:22" s="19" customFormat="1" ht="30" customHeight="1" x14ac:dyDescent="0.25">
      <c r="A34" s="15"/>
      <c r="B34" s="85" t="s">
        <v>83</v>
      </c>
      <c r="C34" s="178"/>
      <c r="D34" s="176" t="s">
        <v>44</v>
      </c>
      <c r="E34" s="176" t="s">
        <v>44</v>
      </c>
      <c r="F34" s="176" t="s">
        <v>44</v>
      </c>
      <c r="G34" s="176" t="s">
        <v>44</v>
      </c>
      <c r="H34" s="176"/>
      <c r="I34" s="176"/>
      <c r="J34" s="176"/>
      <c r="K34" s="104" t="str">
        <f t="shared" si="13"/>
        <v/>
      </c>
      <c r="L34" s="90" t="str">
        <f t="shared" si="12"/>
        <v/>
      </c>
      <c r="M34" s="198"/>
      <c r="N34" s="198"/>
      <c r="O34" s="176"/>
      <c r="P34" s="176" t="s">
        <v>44</v>
      </c>
      <c r="Q34" s="176"/>
      <c r="R34" s="176"/>
      <c r="S34" s="21" t="str">
        <f t="shared" si="11"/>
        <v/>
      </c>
      <c r="T34" s="155" t="str">
        <f t="shared" si="11"/>
        <v/>
      </c>
      <c r="U34" s="15"/>
    </row>
    <row r="35" spans="1:22" s="19" customFormat="1" ht="30" customHeight="1" x14ac:dyDescent="0.25">
      <c r="A35" s="15"/>
      <c r="B35" s="85" t="s">
        <v>84</v>
      </c>
      <c r="C35" s="178"/>
      <c r="D35" s="176" t="s">
        <v>44</v>
      </c>
      <c r="E35" s="176" t="s">
        <v>44</v>
      </c>
      <c r="F35" s="176" t="s">
        <v>44</v>
      </c>
      <c r="G35" s="176" t="s">
        <v>44</v>
      </c>
      <c r="H35" s="176" t="s">
        <v>44</v>
      </c>
      <c r="I35" s="176"/>
      <c r="J35" s="176"/>
      <c r="K35" s="104" t="str">
        <f t="shared" si="13"/>
        <v/>
      </c>
      <c r="L35" s="90" t="str">
        <f t="shared" si="12"/>
        <v/>
      </c>
      <c r="M35" s="198"/>
      <c r="N35" s="198"/>
      <c r="O35" s="176"/>
      <c r="P35" s="176" t="s">
        <v>44</v>
      </c>
      <c r="Q35" s="176"/>
      <c r="R35" s="176"/>
      <c r="S35" s="21" t="str">
        <f t="shared" si="11"/>
        <v/>
      </c>
      <c r="T35" s="155" t="str">
        <f t="shared" si="11"/>
        <v/>
      </c>
      <c r="U35" s="15"/>
    </row>
    <row r="36" spans="1:22" s="19" customFormat="1" ht="30" customHeight="1" x14ac:dyDescent="0.25">
      <c r="A36" s="15"/>
      <c r="B36" s="85" t="s">
        <v>85</v>
      </c>
      <c r="C36" s="178"/>
      <c r="D36" s="176" t="s">
        <v>44</v>
      </c>
      <c r="E36" s="176" t="s">
        <v>44</v>
      </c>
      <c r="F36" s="176" t="s">
        <v>44</v>
      </c>
      <c r="G36" s="176" t="s">
        <v>44</v>
      </c>
      <c r="H36" s="176" t="s">
        <v>44</v>
      </c>
      <c r="I36" s="176"/>
      <c r="J36" s="176"/>
      <c r="K36" s="104" t="str">
        <f t="shared" si="13"/>
        <v/>
      </c>
      <c r="L36" s="90" t="str">
        <f t="shared" si="12"/>
        <v/>
      </c>
      <c r="M36" s="198"/>
      <c r="N36" s="198"/>
      <c r="O36" s="176"/>
      <c r="P36" s="176" t="s">
        <v>44</v>
      </c>
      <c r="Q36" s="176"/>
      <c r="R36" s="176"/>
      <c r="S36" s="21" t="str">
        <f t="shared" si="11"/>
        <v/>
      </c>
      <c r="T36" s="155" t="str">
        <f t="shared" si="11"/>
        <v/>
      </c>
      <c r="U36" s="15"/>
    </row>
    <row r="37" spans="1:22" s="19" customFormat="1" ht="30" customHeight="1" x14ac:dyDescent="0.25">
      <c r="A37" s="15"/>
      <c r="B37" s="85" t="s">
        <v>86</v>
      </c>
      <c r="C37" s="178"/>
      <c r="D37" s="176"/>
      <c r="E37" s="176"/>
      <c r="F37" s="176"/>
      <c r="G37" s="176"/>
      <c r="H37" s="176"/>
      <c r="I37" s="176"/>
      <c r="J37" s="176"/>
      <c r="K37" s="104" t="str">
        <f t="shared" si="13"/>
        <v/>
      </c>
      <c r="L37" s="90" t="str">
        <f t="shared" si="12"/>
        <v/>
      </c>
      <c r="M37" s="198"/>
      <c r="N37" s="198"/>
      <c r="O37" s="176"/>
      <c r="P37" s="176"/>
      <c r="Q37" s="176"/>
      <c r="R37" s="176"/>
      <c r="S37" s="21" t="str">
        <f t="shared" si="11"/>
        <v/>
      </c>
      <c r="T37" s="155" t="str">
        <f t="shared" si="11"/>
        <v/>
      </c>
      <c r="U37" s="15"/>
    </row>
    <row r="38" spans="1:22" s="19" customFormat="1" ht="30" customHeight="1" x14ac:dyDescent="0.25">
      <c r="A38" s="15"/>
      <c r="B38" s="85" t="s">
        <v>87</v>
      </c>
      <c r="C38" s="178"/>
      <c r="D38" s="176"/>
      <c r="E38" s="176"/>
      <c r="F38" s="176"/>
      <c r="G38" s="176"/>
      <c r="H38" s="176"/>
      <c r="I38" s="176"/>
      <c r="J38" s="176"/>
      <c r="K38" s="104" t="str">
        <f t="shared" si="13"/>
        <v/>
      </c>
      <c r="L38" s="90" t="str">
        <f t="shared" si="12"/>
        <v/>
      </c>
      <c r="M38" s="198"/>
      <c r="N38" s="198"/>
      <c r="O38" s="176"/>
      <c r="P38" s="176"/>
      <c r="Q38" s="176"/>
      <c r="R38" s="176"/>
      <c r="S38" s="21" t="str">
        <f t="shared" si="11"/>
        <v/>
      </c>
      <c r="T38" s="155" t="str">
        <f t="shared" si="11"/>
        <v/>
      </c>
      <c r="U38" s="15"/>
    </row>
    <row r="39" spans="1:22" s="19" customFormat="1" ht="30" customHeight="1" x14ac:dyDescent="0.25">
      <c r="A39" s="15"/>
      <c r="B39" s="85" t="s">
        <v>88</v>
      </c>
      <c r="C39" s="178"/>
      <c r="D39" s="176"/>
      <c r="E39" s="176"/>
      <c r="F39" s="176"/>
      <c r="G39" s="176"/>
      <c r="H39" s="176"/>
      <c r="I39" s="176"/>
      <c r="J39" s="176"/>
      <c r="K39" s="104" t="str">
        <f t="shared" si="13"/>
        <v/>
      </c>
      <c r="L39" s="90" t="str">
        <f t="shared" si="12"/>
        <v/>
      </c>
      <c r="M39" s="198"/>
      <c r="N39" s="198"/>
      <c r="O39" s="176"/>
      <c r="P39" s="176"/>
      <c r="Q39" s="176"/>
      <c r="R39" s="176"/>
      <c r="S39" s="21" t="str">
        <f t="shared" si="11"/>
        <v/>
      </c>
      <c r="T39" s="155" t="str">
        <f t="shared" si="11"/>
        <v/>
      </c>
      <c r="U39" s="15"/>
    </row>
    <row r="40" spans="1:22" s="19" customFormat="1" ht="30" customHeight="1" x14ac:dyDescent="0.25">
      <c r="A40" s="15"/>
      <c r="B40" s="85" t="s">
        <v>89</v>
      </c>
      <c r="C40" s="178"/>
      <c r="D40" s="176"/>
      <c r="E40" s="176"/>
      <c r="F40" s="176"/>
      <c r="G40" s="176"/>
      <c r="H40" s="176"/>
      <c r="I40" s="176"/>
      <c r="J40" s="176"/>
      <c r="K40" s="104" t="str">
        <f t="shared" si="13"/>
        <v/>
      </c>
      <c r="L40" s="90" t="str">
        <f t="shared" si="12"/>
        <v/>
      </c>
      <c r="M40" s="198"/>
      <c r="N40" s="198"/>
      <c r="O40" s="176"/>
      <c r="P40" s="176"/>
      <c r="Q40" s="176"/>
      <c r="R40" s="176"/>
      <c r="S40" s="21" t="str">
        <f t="shared" si="11"/>
        <v/>
      </c>
      <c r="T40" s="155" t="str">
        <f t="shared" si="11"/>
        <v/>
      </c>
      <c r="U40" s="15"/>
    </row>
    <row r="41" spans="1:22" ht="30" customHeight="1" x14ac:dyDescent="0.25">
      <c r="A41" s="24"/>
      <c r="B41" s="85" t="s">
        <v>56</v>
      </c>
      <c r="C41" s="178"/>
      <c r="D41" s="176"/>
      <c r="E41" s="176"/>
      <c r="F41" s="176"/>
      <c r="G41" s="176"/>
      <c r="H41" s="176"/>
      <c r="I41" s="176"/>
      <c r="J41" s="176"/>
      <c r="K41" s="104" t="str">
        <f t="shared" si="13"/>
        <v/>
      </c>
      <c r="L41" s="90" t="str">
        <f t="shared" si="12"/>
        <v/>
      </c>
      <c r="M41" s="198"/>
      <c r="N41" s="198"/>
      <c r="O41" s="176"/>
      <c r="P41" s="176"/>
      <c r="Q41" s="176"/>
      <c r="R41" s="176"/>
      <c r="S41" s="21" t="str">
        <f t="shared" si="11"/>
        <v/>
      </c>
      <c r="T41" s="157" t="str">
        <f t="shared" si="11"/>
        <v/>
      </c>
      <c r="U41" s="24"/>
    </row>
    <row r="42" spans="1:22" ht="30" customHeight="1" x14ac:dyDescent="0.25">
      <c r="A42" s="24"/>
      <c r="B42" s="92"/>
      <c r="C42" s="92"/>
      <c r="D42" s="254" t="s">
        <v>90</v>
      </c>
      <c r="E42" s="254"/>
      <c r="F42" s="254"/>
      <c r="G42" s="254"/>
      <c r="H42" s="254"/>
      <c r="I42" s="254"/>
      <c r="J42" s="254"/>
      <c r="K42" s="254"/>
      <c r="L42" s="93">
        <f>SUM(L28:L41,L15:L26)</f>
        <v>3600</v>
      </c>
      <c r="M42" s="220" t="s">
        <v>91</v>
      </c>
      <c r="N42" s="221"/>
      <c r="O42" s="221"/>
      <c r="P42" s="222"/>
      <c r="Q42" s="222"/>
      <c r="R42" s="223"/>
      <c r="S42" s="156">
        <f>SUM(S28:S41,S15:S26)</f>
        <v>711.38166894664846</v>
      </c>
      <c r="T42" s="80"/>
      <c r="U42" s="24"/>
    </row>
    <row r="43" spans="1:22" ht="30" customHeight="1" x14ac:dyDescent="0.25">
      <c r="A43" s="24"/>
      <c r="B43" s="15"/>
      <c r="C43" s="15"/>
      <c r="D43" s="15"/>
      <c r="E43" s="15"/>
      <c r="F43" s="15"/>
      <c r="G43" s="15"/>
      <c r="H43" s="15"/>
      <c r="I43" s="15"/>
      <c r="J43" s="15"/>
      <c r="K43" s="15"/>
      <c r="L43" s="96"/>
      <c r="M43" s="210" t="s">
        <v>92</v>
      </c>
      <c r="N43" s="211"/>
      <c r="O43" s="211"/>
      <c r="P43" s="214" t="s">
        <v>93</v>
      </c>
      <c r="Q43" s="215"/>
      <c r="R43" s="216"/>
      <c r="S43" s="94">
        <f>IF(S42=0,0,(L42-S42)/L42)</f>
        <v>0.80239398084815317</v>
      </c>
      <c r="T43" s="80"/>
      <c r="U43" s="24"/>
    </row>
    <row r="44" spans="1:22" ht="30" customHeight="1" x14ac:dyDescent="0.25">
      <c r="A44" s="24"/>
      <c r="B44" s="15"/>
      <c r="C44" s="15"/>
      <c r="D44" s="15"/>
      <c r="E44" s="15"/>
      <c r="F44" s="15"/>
      <c r="G44" s="15"/>
      <c r="H44" s="15"/>
      <c r="I44" s="15"/>
      <c r="J44" s="15"/>
      <c r="K44" s="15"/>
      <c r="L44" s="96"/>
      <c r="M44" s="212"/>
      <c r="N44" s="213"/>
      <c r="O44" s="213"/>
      <c r="P44" s="217" t="s">
        <v>94</v>
      </c>
      <c r="Q44" s="218"/>
      <c r="R44" s="219"/>
      <c r="S44" s="95" t="str">
        <f>IF(S43&gt;=50%,"YES", "NO")</f>
        <v>YES</v>
      </c>
      <c r="T44" s="80"/>
      <c r="U44" s="24"/>
    </row>
    <row r="45" spans="1:22" ht="15" customHeight="1" x14ac:dyDescent="0.25">
      <c r="A45" s="24"/>
      <c r="B45" s="242" t="s">
        <v>95</v>
      </c>
      <c r="C45" s="243"/>
      <c r="D45" s="243"/>
      <c r="E45" s="243"/>
      <c r="F45" s="243"/>
      <c r="G45" s="244"/>
      <c r="H45" s="15"/>
      <c r="I45" s="248" t="s">
        <v>96</v>
      </c>
      <c r="J45" s="249"/>
      <c r="K45" s="249"/>
      <c r="L45" s="250"/>
      <c r="M45" s="24"/>
      <c r="N45" s="24"/>
      <c r="O45" s="24"/>
      <c r="P45" s="24"/>
      <c r="Q45" s="24"/>
      <c r="R45" s="24"/>
      <c r="S45" s="80"/>
      <c r="T45" s="80"/>
      <c r="U45" s="24"/>
    </row>
    <row r="46" spans="1:22" ht="30" customHeight="1" x14ac:dyDescent="0.4">
      <c r="A46" s="24"/>
      <c r="B46" s="245"/>
      <c r="C46" s="246"/>
      <c r="D46" s="246"/>
      <c r="E46" s="246"/>
      <c r="F46" s="246"/>
      <c r="G46" s="247"/>
      <c r="H46" s="24"/>
      <c r="I46" s="251"/>
      <c r="J46" s="252"/>
      <c r="K46" s="252"/>
      <c r="L46" s="253"/>
      <c r="M46" s="24"/>
      <c r="N46" s="234"/>
      <c r="O46" s="234"/>
      <c r="P46" s="234"/>
      <c r="Q46" s="234"/>
      <c r="R46" s="234"/>
      <c r="S46" s="234"/>
      <c r="T46" s="234"/>
      <c r="U46" s="24"/>
      <c r="V46" s="153"/>
    </row>
    <row r="47" spans="1:22" ht="27" x14ac:dyDescent="0.25">
      <c r="A47" s="24"/>
      <c r="B47" s="233" t="s">
        <v>15</v>
      </c>
      <c r="C47" s="233"/>
      <c r="D47" s="233"/>
      <c r="E47" s="181" t="s">
        <v>97</v>
      </c>
      <c r="F47" s="181" t="s">
        <v>98</v>
      </c>
      <c r="G47" s="181" t="s">
        <v>99</v>
      </c>
      <c r="H47" s="24"/>
      <c r="I47" s="181" t="s">
        <v>100</v>
      </c>
      <c r="J47" s="233" t="s">
        <v>101</v>
      </c>
      <c r="K47" s="233"/>
      <c r="L47" s="233"/>
      <c r="M47" s="24"/>
      <c r="N47" s="234"/>
      <c r="O47" s="234"/>
      <c r="P47" s="234"/>
      <c r="Q47" s="234"/>
      <c r="R47" s="234"/>
      <c r="S47" s="234"/>
      <c r="T47" s="234"/>
      <c r="U47" s="24"/>
    </row>
    <row r="48" spans="1:22" ht="15" customHeight="1" x14ac:dyDescent="0.25">
      <c r="A48" s="24"/>
      <c r="B48" s="235" t="s">
        <v>16</v>
      </c>
      <c r="C48" s="235"/>
      <c r="D48" s="235"/>
      <c r="E48" s="97">
        <v>4</v>
      </c>
      <c r="F48" s="23">
        <v>11</v>
      </c>
      <c r="G48" s="97">
        <v>0.93</v>
      </c>
      <c r="H48" s="24"/>
      <c r="I48" s="182"/>
      <c r="J48" s="236"/>
      <c r="K48" s="236"/>
      <c r="L48" s="236"/>
      <c r="M48" s="15"/>
      <c r="N48" s="234"/>
      <c r="O48" s="234"/>
      <c r="P48" s="234"/>
      <c r="Q48" s="234"/>
      <c r="R48" s="234"/>
      <c r="S48" s="234"/>
      <c r="T48" s="234"/>
      <c r="U48" s="24"/>
    </row>
    <row r="49" spans="1:21" ht="15" customHeight="1" x14ac:dyDescent="0.25">
      <c r="A49" s="24"/>
      <c r="B49" s="235" t="s">
        <v>102</v>
      </c>
      <c r="C49" s="235"/>
      <c r="D49" s="235"/>
      <c r="E49" s="97">
        <v>7</v>
      </c>
      <c r="F49" s="97">
        <v>11</v>
      </c>
      <c r="G49" s="97">
        <v>0.93</v>
      </c>
      <c r="H49" s="24"/>
      <c r="I49" s="182"/>
      <c r="J49" s="236"/>
      <c r="K49" s="236"/>
      <c r="L49" s="236"/>
      <c r="M49" s="15"/>
      <c r="N49" s="234"/>
      <c r="O49" s="234"/>
      <c r="P49" s="234"/>
      <c r="Q49" s="234"/>
      <c r="R49" s="234"/>
      <c r="S49" s="234"/>
      <c r="T49" s="234"/>
      <c r="U49" s="24"/>
    </row>
    <row r="50" spans="1:21" ht="15" customHeight="1" x14ac:dyDescent="0.25">
      <c r="A50" s="24"/>
      <c r="B50" s="235" t="s">
        <v>103</v>
      </c>
      <c r="C50" s="235"/>
      <c r="D50" s="235"/>
      <c r="E50" s="97">
        <v>11</v>
      </c>
      <c r="F50" s="97">
        <v>19</v>
      </c>
      <c r="G50" s="97">
        <v>0.68</v>
      </c>
      <c r="H50" s="24"/>
      <c r="I50" s="182"/>
      <c r="J50" s="236"/>
      <c r="K50" s="236"/>
      <c r="L50" s="236"/>
      <c r="M50" s="15"/>
      <c r="N50" s="234"/>
      <c r="O50" s="234"/>
      <c r="P50" s="234"/>
      <c r="Q50" s="234"/>
      <c r="R50" s="234"/>
      <c r="S50" s="234"/>
      <c r="T50" s="234"/>
      <c r="U50" s="24"/>
    </row>
    <row r="51" spans="1:21" ht="15" customHeight="1" x14ac:dyDescent="0.25">
      <c r="A51" s="24"/>
      <c r="B51" s="235" t="s">
        <v>104</v>
      </c>
      <c r="C51" s="235"/>
      <c r="D51" s="235"/>
      <c r="E51" s="97">
        <v>19</v>
      </c>
      <c r="F51" s="98">
        <v>38</v>
      </c>
      <c r="G51" s="99">
        <v>0.55000000000000004</v>
      </c>
      <c r="H51" s="24"/>
      <c r="I51" s="182"/>
      <c r="J51" s="236"/>
      <c r="K51" s="236"/>
      <c r="L51" s="236"/>
      <c r="M51" s="15"/>
      <c r="N51" s="234"/>
      <c r="O51" s="234"/>
      <c r="P51" s="234"/>
      <c r="Q51" s="234"/>
      <c r="R51" s="234"/>
      <c r="S51" s="234"/>
      <c r="T51" s="234"/>
      <c r="U51" s="24"/>
    </row>
    <row r="52" spans="1:21" ht="15" customHeight="1" x14ac:dyDescent="0.25">
      <c r="A52" s="24"/>
      <c r="B52" s="235" t="s">
        <v>105</v>
      </c>
      <c r="C52" s="235"/>
      <c r="D52" s="235"/>
      <c r="E52" s="97">
        <v>19</v>
      </c>
      <c r="F52" s="98">
        <v>20</v>
      </c>
      <c r="G52" s="99">
        <v>0.55000000000000004</v>
      </c>
      <c r="H52" s="24"/>
      <c r="I52" s="182"/>
      <c r="J52" s="236"/>
      <c r="K52" s="236"/>
      <c r="L52" s="236"/>
      <c r="M52" s="15"/>
      <c r="N52" s="234"/>
      <c r="O52" s="234"/>
      <c r="P52" s="234"/>
      <c r="Q52" s="234"/>
      <c r="R52" s="234"/>
      <c r="S52" s="234"/>
      <c r="T52" s="234"/>
      <c r="U52" s="24"/>
    </row>
    <row r="53" spans="1:21" ht="15" customHeight="1" x14ac:dyDescent="0.25">
      <c r="A53" s="15"/>
      <c r="B53" s="232" t="s">
        <v>106</v>
      </c>
      <c r="C53" s="232"/>
      <c r="D53" s="232"/>
      <c r="E53" s="232"/>
      <c r="F53" s="232"/>
      <c r="G53" s="232"/>
      <c r="H53" s="25"/>
      <c r="I53" s="25"/>
      <c r="J53" s="25"/>
      <c r="K53" s="25"/>
      <c r="L53" s="25"/>
      <c r="M53" s="26"/>
      <c r="N53" s="26"/>
      <c r="O53" s="24"/>
      <c r="P53" s="24"/>
      <c r="Q53" s="24"/>
      <c r="R53" s="24"/>
      <c r="S53" s="80"/>
      <c r="T53" s="80"/>
      <c r="U53" s="24"/>
    </row>
    <row r="54" spans="1:21" ht="342" customHeight="1" x14ac:dyDescent="0.25">
      <c r="A54" s="24"/>
      <c r="B54" s="240" t="s">
        <v>107</v>
      </c>
      <c r="C54" s="241"/>
      <c r="D54" s="241"/>
      <c r="E54" s="241"/>
      <c r="F54" s="241"/>
      <c r="G54" s="241"/>
      <c r="H54" s="241"/>
      <c r="I54" s="241"/>
      <c r="J54" s="241"/>
      <c r="K54" s="241"/>
      <c r="L54" s="241"/>
      <c r="M54" s="241"/>
      <c r="N54" s="241"/>
      <c r="O54" s="241"/>
      <c r="P54" s="241"/>
      <c r="Q54" s="241"/>
      <c r="R54" s="241"/>
      <c r="S54" s="241"/>
      <c r="T54" s="241"/>
      <c r="U54" s="24"/>
    </row>
    <row r="55" spans="1:21" x14ac:dyDescent="0.25">
      <c r="A55" s="24"/>
      <c r="B55" s="240"/>
      <c r="C55" s="241"/>
      <c r="D55" s="241"/>
      <c r="E55" s="241"/>
      <c r="F55" s="241"/>
      <c r="G55" s="241"/>
      <c r="H55" s="241"/>
      <c r="I55" s="241"/>
      <c r="J55" s="241"/>
      <c r="K55" s="241"/>
      <c r="L55" s="241"/>
      <c r="M55" s="241"/>
      <c r="N55" s="241"/>
      <c r="O55" s="241"/>
      <c r="P55" s="241"/>
      <c r="Q55" s="241"/>
      <c r="R55" s="241"/>
      <c r="S55" s="241"/>
      <c r="T55" s="241"/>
      <c r="U55" s="24"/>
    </row>
    <row r="56" spans="1:21" x14ac:dyDescent="0.25">
      <c r="A56" s="24"/>
      <c r="B56" s="240"/>
      <c r="C56" s="241"/>
      <c r="D56" s="241"/>
      <c r="E56" s="241"/>
      <c r="F56" s="241"/>
      <c r="G56" s="241"/>
      <c r="H56" s="241"/>
      <c r="I56" s="241"/>
      <c r="J56" s="241"/>
      <c r="K56" s="241"/>
      <c r="L56" s="241"/>
      <c r="M56" s="241"/>
      <c r="N56" s="241"/>
      <c r="O56" s="241"/>
      <c r="P56" s="241"/>
      <c r="Q56" s="241"/>
      <c r="R56" s="241"/>
      <c r="S56" s="241"/>
      <c r="T56" s="241"/>
      <c r="U56" s="24"/>
    </row>
    <row r="57" spans="1:21" x14ac:dyDescent="0.25">
      <c r="A57" s="24"/>
      <c r="B57" s="240"/>
      <c r="C57" s="241"/>
      <c r="D57" s="241"/>
      <c r="E57" s="241"/>
      <c r="F57" s="241"/>
      <c r="G57" s="241"/>
      <c r="H57" s="241"/>
      <c r="I57" s="241"/>
      <c r="J57" s="241"/>
      <c r="K57" s="241"/>
      <c r="L57" s="241"/>
      <c r="M57" s="241"/>
      <c r="N57" s="241"/>
      <c r="O57" s="241"/>
      <c r="P57" s="241"/>
      <c r="Q57" s="241"/>
      <c r="R57" s="241"/>
      <c r="S57" s="241"/>
      <c r="T57" s="241"/>
      <c r="U57" s="24"/>
    </row>
    <row r="58" spans="1:21" ht="13.5" customHeight="1" x14ac:dyDescent="0.25">
      <c r="A58" s="24"/>
      <c r="B58" s="240"/>
      <c r="C58" s="241"/>
      <c r="D58" s="241"/>
      <c r="E58" s="241"/>
      <c r="F58" s="241"/>
      <c r="G58" s="241"/>
      <c r="H58" s="241"/>
      <c r="I58" s="241"/>
      <c r="J58" s="241"/>
      <c r="K58" s="241"/>
      <c r="L58" s="241"/>
      <c r="M58" s="241"/>
      <c r="N58" s="241"/>
      <c r="O58" s="241"/>
      <c r="P58" s="241"/>
      <c r="Q58" s="241"/>
      <c r="R58" s="241"/>
      <c r="S58" s="241"/>
      <c r="T58" s="241"/>
      <c r="U58" s="24"/>
    </row>
    <row r="59" spans="1:21" ht="13.5" customHeight="1" x14ac:dyDescent="0.25">
      <c r="A59" s="24"/>
      <c r="B59" s="240"/>
      <c r="C59" s="241"/>
      <c r="D59" s="241"/>
      <c r="E59" s="241"/>
      <c r="F59" s="241"/>
      <c r="G59" s="241"/>
      <c r="H59" s="241"/>
      <c r="I59" s="241"/>
      <c r="J59" s="241"/>
      <c r="K59" s="241"/>
      <c r="L59" s="241"/>
      <c r="M59" s="241"/>
      <c r="N59" s="241"/>
      <c r="O59" s="241"/>
      <c r="P59" s="241"/>
      <c r="Q59" s="241"/>
      <c r="R59" s="241"/>
      <c r="S59" s="241"/>
      <c r="T59" s="241"/>
      <c r="U59" s="24"/>
    </row>
    <row r="60" spans="1:21" ht="13.5" customHeight="1" x14ac:dyDescent="0.25">
      <c r="A60" s="24"/>
      <c r="B60" s="240"/>
      <c r="C60" s="241"/>
      <c r="D60" s="241"/>
      <c r="E60" s="241"/>
      <c r="F60" s="241"/>
      <c r="G60" s="241"/>
      <c r="H60" s="241"/>
      <c r="I60" s="241"/>
      <c r="J60" s="241"/>
      <c r="K60" s="241"/>
      <c r="L60" s="241"/>
      <c r="M60" s="241"/>
      <c r="N60" s="241"/>
      <c r="O60" s="241"/>
      <c r="P60" s="241"/>
      <c r="Q60" s="241"/>
      <c r="R60" s="241"/>
      <c r="S60" s="241"/>
      <c r="T60" s="241"/>
      <c r="U60" s="24"/>
    </row>
    <row r="61" spans="1:21" ht="15" customHeight="1" x14ac:dyDescent="0.25">
      <c r="A61" s="15"/>
      <c r="B61" s="232"/>
      <c r="C61" s="232"/>
      <c r="D61" s="232"/>
      <c r="E61" s="232"/>
      <c r="F61" s="232"/>
      <c r="G61" s="232"/>
      <c r="H61" s="25"/>
      <c r="I61" s="25"/>
      <c r="J61" s="25"/>
      <c r="K61" s="25"/>
      <c r="L61" s="25"/>
      <c r="M61" s="26"/>
      <c r="N61" s="26"/>
      <c r="O61" s="24"/>
      <c r="P61" s="24"/>
      <c r="Q61" s="24"/>
      <c r="R61" s="24"/>
      <c r="S61" s="80"/>
      <c r="T61" s="80"/>
      <c r="U61" s="24"/>
    </row>
    <row r="79" spans="8:8" ht="15" x14ac:dyDescent="0.25">
      <c r="H79" s="102"/>
    </row>
    <row r="83" spans="2:3" ht="15" x14ac:dyDescent="0.25">
      <c r="B83" s="102"/>
      <c r="C83" s="102"/>
    </row>
    <row r="110" spans="2:3" ht="45" x14ac:dyDescent="0.25">
      <c r="B110" s="102" t="s">
        <v>108</v>
      </c>
      <c r="C110" s="102"/>
    </row>
    <row r="112" spans="2:3" ht="75" x14ac:dyDescent="0.25">
      <c r="B112" s="102" t="s">
        <v>109</v>
      </c>
      <c r="C112" s="102"/>
    </row>
  </sheetData>
  <sheetProtection sheet="1" objects="1" scenarios="1"/>
  <mergeCells count="94">
    <mergeCell ref="M3:N3"/>
    <mergeCell ref="M4:N4"/>
    <mergeCell ref="B54:T60"/>
    <mergeCell ref="B45:G46"/>
    <mergeCell ref="I45:L46"/>
    <mergeCell ref="J47:L47"/>
    <mergeCell ref="D42:K42"/>
    <mergeCell ref="M37:N37"/>
    <mergeCell ref="M36:N36"/>
    <mergeCell ref="B3:H11"/>
    <mergeCell ref="D19:F19"/>
    <mergeCell ref="D26:F26"/>
    <mergeCell ref="I5:K6"/>
    <mergeCell ref="I8:K9"/>
    <mergeCell ref="N46:T52"/>
    <mergeCell ref="O8:T8"/>
    <mergeCell ref="B53:G53"/>
    <mergeCell ref="B48:D48"/>
    <mergeCell ref="M27:N27"/>
    <mergeCell ref="J48:L48"/>
    <mergeCell ref="J49:L49"/>
    <mergeCell ref="J50:L50"/>
    <mergeCell ref="J51:L51"/>
    <mergeCell ref="J52:L52"/>
    <mergeCell ref="M41:N41"/>
    <mergeCell ref="B49:D49"/>
    <mergeCell ref="B50:D50"/>
    <mergeCell ref="B13:C13"/>
    <mergeCell ref="B52:D52"/>
    <mergeCell ref="B51:D51"/>
    <mergeCell ref="D13:L13"/>
    <mergeCell ref="I3:K3"/>
    <mergeCell ref="I4:K4"/>
    <mergeCell ref="I7:K7"/>
    <mergeCell ref="B61:G61"/>
    <mergeCell ref="B47:D47"/>
    <mergeCell ref="D23:F23"/>
    <mergeCell ref="D24:F24"/>
    <mergeCell ref="M15:P15"/>
    <mergeCell ref="M29:N29"/>
    <mergeCell ref="M30:N30"/>
    <mergeCell ref="M17:P17"/>
    <mergeCell ref="M22:P22"/>
    <mergeCell ref="M23:P23"/>
    <mergeCell ref="M24:P24"/>
    <mergeCell ref="M25:P25"/>
    <mergeCell ref="M26:P26"/>
    <mergeCell ref="M28:N28"/>
    <mergeCell ref="D17:F17"/>
    <mergeCell ref="D18:F18"/>
    <mergeCell ref="M31:N31"/>
    <mergeCell ref="M32:N32"/>
    <mergeCell ref="M33:N33"/>
    <mergeCell ref="M43:O44"/>
    <mergeCell ref="P43:R43"/>
    <mergeCell ref="P44:R44"/>
    <mergeCell ref="M34:N34"/>
    <mergeCell ref="M35:N35"/>
    <mergeCell ref="M40:N40"/>
    <mergeCell ref="M42:R42"/>
    <mergeCell ref="M39:N39"/>
    <mergeCell ref="M38:N38"/>
    <mergeCell ref="M2:T2"/>
    <mergeCell ref="Q3:T3"/>
    <mergeCell ref="O4:T4"/>
    <mergeCell ref="M6:N6"/>
    <mergeCell ref="M13:T13"/>
    <mergeCell ref="O5:T5"/>
    <mergeCell ref="O6:T6"/>
    <mergeCell ref="O7:T7"/>
    <mergeCell ref="O9:T9"/>
    <mergeCell ref="O10:T10"/>
    <mergeCell ref="O11:T11"/>
    <mergeCell ref="M7:N7"/>
    <mergeCell ref="M9:N9"/>
    <mergeCell ref="M10:N10"/>
    <mergeCell ref="M11:N11"/>
    <mergeCell ref="O3:P3"/>
    <mergeCell ref="B1:S1"/>
    <mergeCell ref="D22:F22"/>
    <mergeCell ref="D25:F25"/>
    <mergeCell ref="D14:F14"/>
    <mergeCell ref="D15:F15"/>
    <mergeCell ref="D16:F16"/>
    <mergeCell ref="D20:F20"/>
    <mergeCell ref="D21:F21"/>
    <mergeCell ref="M14:P14"/>
    <mergeCell ref="M21:P21"/>
    <mergeCell ref="M20:P20"/>
    <mergeCell ref="M16:P16"/>
    <mergeCell ref="M8:N8"/>
    <mergeCell ref="M19:P19"/>
    <mergeCell ref="M18:P18"/>
    <mergeCell ref="M5:N5"/>
  </mergeCells>
  <conditionalFormatting sqref="I15:I26">
    <cfRule type="containsText" dxfId="1" priority="2" operator="containsText" text="justify">
      <formula>NOT(ISERROR(SEARCH("justify",I15)))</formula>
    </cfRule>
  </conditionalFormatting>
  <conditionalFormatting sqref="K28:K41">
    <cfRule type="containsText" dxfId="0" priority="1" operator="containsText" text="Justify">
      <formula>NOT(ISERROR(SEARCH("Justify",K28)))</formula>
    </cfRule>
  </conditionalFormatting>
  <dataValidations count="3">
    <dataValidation type="list" allowBlank="1" showInputMessage="1" showErrorMessage="1" sqref="Q3" xr:uid="{00000000-0002-0000-0000-000000000000}">
      <formula1>"Applicant, Revision 1, Revision 2, Final"</formula1>
    </dataValidation>
    <dataValidation allowBlank="1" showInputMessage="1" showErrorMessage="1" sqref="M29:N41 I28:I41" xr:uid="{85C94C7C-F35B-4412-AA49-D2AD260E40BF}"/>
    <dataValidation type="list" allowBlank="1" showInputMessage="1" showErrorMessage="1" sqref="O10" xr:uid="{E7DF9863-9150-4CD3-88AC-4FCB4062E16B}">
      <formula1>$B$48:$B$52</formula1>
    </dataValidation>
  </dataValidations>
  <hyperlinks>
    <hyperlink ref="B110" r:id="rId1" xr:uid="{BB0514FC-CD50-4031-8D19-DC508E3105E5}"/>
    <hyperlink ref="B112" r:id="rId2" xr:uid="{F2A3AC57-2A1E-4F97-BF3D-8C66BA436244}"/>
    <hyperlink ref="I8:K9" r:id="rId3" display="https://www.ashrae.org/technical-resources/bookstore/standard-90-1" xr:uid="{F1E36AF7-85B7-411E-8E66-7BC81CF4E357}"/>
    <hyperlink ref="I5:K6" r:id="rId4" display="https://www.nyc.gov/assets/buildings/apps/pdf_viewer/viewer.html?file=2020ECC_CHC4.pdf&amp;section=energy_code_2020" xr:uid="{6B31BACF-80E0-40B6-BD73-FFAF229C27C4}"/>
  </hyperlinks>
  <pageMargins left="0.7" right="0.7" top="0.75" bottom="0.75" header="0.3" footer="0.3"/>
  <pageSetup orientation="portrait" r:id="rId5"/>
  <drawing r:id="rId6"/>
  <legacyDrawing r:id="rId7"/>
  <extLst>
    <ext xmlns:x14="http://schemas.microsoft.com/office/spreadsheetml/2009/9/main" uri="{CCE6A557-97BC-4b89-ADB6-D9C93CAAB3DF}">
      <x14:dataValidations xmlns:xm="http://schemas.microsoft.com/office/excel/2006/main" count="3">
        <x14:dataValidation type="list" allowBlank="1" showInputMessage="1" showErrorMessage="1" xr:uid="{90BDA692-9846-4197-8728-F67B8B8F1669}">
          <x14:formula1>
            <xm:f>'2020 NYCECC Tables'!$B$71:$B$75</xm:f>
          </x14:formula1>
          <xm:sqref>F28:F41 P28:P41</xm:sqref>
        </x14:dataValidation>
        <x14:dataValidation type="list" allowBlank="1" showInputMessage="1" showErrorMessage="1" xr:uid="{FB65E1DD-AA23-4385-ABC4-9999BACE5F80}">
          <x14:formula1>
            <xm:f>'2020 NYCECC Tables'!$D$71:$D$75</xm:f>
          </x14:formula1>
          <xm:sqref>G15:G26</xm:sqref>
        </x14:dataValidation>
        <x14:dataValidation type="list" allowBlank="1" showInputMessage="1" showErrorMessage="1" xr:uid="{76FC15CA-C8BB-4C7C-B0E1-EE0E436775BA}">
          <x14:formula1>
            <xm:f>'2020 NYCECC Tables'!$C$71:$C$76</xm:f>
          </x14:formula1>
          <xm:sqref>E28:E41 O28:O41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2A90-3C44-4C84-90BF-C65490342C8D}">
  <dimension ref="A1:T64"/>
  <sheetViews>
    <sheetView tabSelected="1" zoomScale="90" zoomScaleNormal="90" workbookViewId="0">
      <selection activeCell="O10" sqref="O10"/>
    </sheetView>
  </sheetViews>
  <sheetFormatPr defaultRowHeight="15" x14ac:dyDescent="0.25"/>
  <cols>
    <col min="2" max="2" width="15.140625" customWidth="1"/>
    <col min="3" max="3" width="28" customWidth="1"/>
    <col min="4" max="4" width="19" customWidth="1"/>
    <col min="5" max="5" width="20.85546875" customWidth="1"/>
    <col min="6" max="6" width="21.5703125" customWidth="1"/>
    <col min="7" max="7" width="20.5703125" customWidth="1"/>
    <col min="8" max="8" width="21" customWidth="1"/>
    <col min="14" max="14" width="17.42578125" customWidth="1"/>
    <col min="15" max="20" width="13.5703125" customWidth="1"/>
  </cols>
  <sheetData>
    <row r="1" spans="1:20" ht="26.25" x14ac:dyDescent="0.25">
      <c r="A1" s="3"/>
      <c r="B1" s="272" t="s">
        <v>110</v>
      </c>
      <c r="C1" s="272"/>
      <c r="D1" s="272"/>
      <c r="E1" s="272"/>
      <c r="F1" s="272"/>
      <c r="G1" s="272"/>
      <c r="H1" s="272"/>
      <c r="I1" s="272"/>
      <c r="J1" s="272"/>
      <c r="K1" s="272"/>
      <c r="L1" s="272"/>
    </row>
    <row r="2" spans="1:20" x14ac:dyDescent="0.25">
      <c r="A2" s="3"/>
      <c r="B2" s="4"/>
      <c r="C2" s="5"/>
      <c r="D2" s="5"/>
      <c r="E2" s="5"/>
      <c r="F2" s="4"/>
      <c r="G2" s="4"/>
      <c r="H2" s="273"/>
      <c r="I2" s="273"/>
      <c r="J2" s="273"/>
      <c r="K2" s="273"/>
      <c r="L2" s="273"/>
      <c r="N2" s="1"/>
    </row>
    <row r="3" spans="1:20" ht="14.25" customHeight="1" x14ac:dyDescent="0.25">
      <c r="A3" s="3"/>
      <c r="B3" s="103" t="s">
        <v>111</v>
      </c>
      <c r="C3" s="103"/>
      <c r="D3" s="103"/>
      <c r="E3" s="103"/>
      <c r="F3" s="180"/>
      <c r="G3" s="180"/>
      <c r="H3" s="180"/>
      <c r="I3" s="183"/>
      <c r="J3" s="183"/>
      <c r="K3" s="183"/>
      <c r="L3" s="183"/>
      <c r="N3" s="51"/>
      <c r="O3" s="51"/>
      <c r="P3" s="52"/>
      <c r="Q3" s="52"/>
      <c r="R3" s="52"/>
      <c r="S3" s="52"/>
      <c r="T3" s="53"/>
    </row>
    <row r="4" spans="1:20" ht="14.25" customHeight="1" x14ac:dyDescent="0.25">
      <c r="A4" s="3"/>
      <c r="B4" s="258" t="s">
        <v>112</v>
      </c>
      <c r="C4" s="258"/>
      <c r="D4" s="258"/>
      <c r="E4" s="259" t="s">
        <v>113</v>
      </c>
      <c r="F4" s="259"/>
      <c r="G4" s="259"/>
      <c r="H4" s="259"/>
      <c r="I4" s="183"/>
      <c r="J4" s="183"/>
      <c r="K4" s="183"/>
      <c r="L4" s="183"/>
      <c r="N4" s="51"/>
      <c r="O4" s="51"/>
      <c r="P4" s="52"/>
      <c r="Q4" s="52"/>
      <c r="R4" s="52"/>
      <c r="S4" s="52"/>
      <c r="T4" s="53"/>
    </row>
    <row r="5" spans="1:20" ht="14.25" customHeight="1" x14ac:dyDescent="0.25">
      <c r="A5" s="3"/>
      <c r="B5" s="258"/>
      <c r="C5" s="258"/>
      <c r="D5" s="258"/>
      <c r="E5" s="68" t="s">
        <v>114</v>
      </c>
      <c r="F5" s="69" t="s">
        <v>115</v>
      </c>
      <c r="G5" s="69" t="s">
        <v>116</v>
      </c>
      <c r="H5" s="69" t="s">
        <v>117</v>
      </c>
      <c r="I5" s="183"/>
      <c r="J5" s="183"/>
      <c r="K5" s="183"/>
      <c r="L5" s="183"/>
      <c r="N5" s="51"/>
      <c r="O5" s="51"/>
      <c r="P5" s="52"/>
      <c r="Q5" s="52"/>
      <c r="R5" s="52"/>
      <c r="S5" s="52"/>
      <c r="T5" s="53"/>
    </row>
    <row r="6" spans="1:20" ht="14.25" customHeight="1" x14ac:dyDescent="0.25">
      <c r="A6" s="3"/>
      <c r="B6" s="258"/>
      <c r="C6" s="258"/>
      <c r="D6" s="258"/>
      <c r="E6" s="64" t="s">
        <v>118</v>
      </c>
      <c r="F6" s="65" t="s">
        <v>119</v>
      </c>
      <c r="G6" s="66">
        <v>0.25</v>
      </c>
      <c r="H6" s="66">
        <f>1-G6</f>
        <v>0.75</v>
      </c>
      <c r="I6" s="183"/>
      <c r="J6" s="183"/>
      <c r="K6" s="183"/>
      <c r="L6" s="183"/>
      <c r="N6" s="51"/>
      <c r="O6" s="51"/>
      <c r="P6" s="52"/>
      <c r="Q6" s="52"/>
      <c r="R6" s="52"/>
      <c r="S6" s="52"/>
      <c r="T6" s="53"/>
    </row>
    <row r="7" spans="1:20" ht="14.25" customHeight="1" x14ac:dyDescent="0.25">
      <c r="A7" s="3"/>
      <c r="B7" s="258"/>
      <c r="C7" s="258"/>
      <c r="D7" s="258"/>
      <c r="E7" s="64"/>
      <c r="F7" s="65" t="s">
        <v>120</v>
      </c>
      <c r="G7" s="66">
        <v>0.22</v>
      </c>
      <c r="H7" s="66">
        <f t="shared" ref="H7:H10" si="0">1-G7</f>
        <v>0.78</v>
      </c>
      <c r="I7" s="183"/>
      <c r="J7" s="183"/>
      <c r="K7" s="183"/>
      <c r="L7" s="183"/>
      <c r="N7" s="51"/>
      <c r="O7" s="51"/>
      <c r="P7" s="52"/>
      <c r="Q7" s="52"/>
      <c r="R7" s="52"/>
      <c r="S7" s="52"/>
      <c r="T7" s="53"/>
    </row>
    <row r="8" spans="1:20" ht="14.25" customHeight="1" x14ac:dyDescent="0.25">
      <c r="A8" s="3"/>
      <c r="B8" s="258"/>
      <c r="C8" s="258"/>
      <c r="D8" s="258"/>
      <c r="E8" s="64" t="s">
        <v>121</v>
      </c>
      <c r="F8" s="65" t="s">
        <v>119</v>
      </c>
      <c r="G8" s="67">
        <v>0.1</v>
      </c>
      <c r="H8" s="66">
        <f t="shared" si="0"/>
        <v>0.9</v>
      </c>
      <c r="I8" s="183"/>
      <c r="J8" s="183"/>
      <c r="K8" s="183"/>
      <c r="L8" s="183"/>
      <c r="N8" s="51"/>
      <c r="O8" s="51"/>
      <c r="P8" s="52"/>
      <c r="Q8" s="52"/>
      <c r="R8" s="52"/>
      <c r="S8" s="52"/>
      <c r="T8" s="53"/>
    </row>
    <row r="9" spans="1:20" ht="14.25" customHeight="1" x14ac:dyDescent="0.25">
      <c r="A9" s="3"/>
      <c r="B9" s="258"/>
      <c r="C9" s="258"/>
      <c r="D9" s="258"/>
      <c r="E9" s="64"/>
      <c r="F9" s="65" t="s">
        <v>120</v>
      </c>
      <c r="G9" s="67">
        <v>7.0000000000000007E-2</v>
      </c>
      <c r="H9" s="66">
        <f t="shared" si="0"/>
        <v>0.92999999999999994</v>
      </c>
      <c r="I9" s="183"/>
      <c r="J9" s="183"/>
      <c r="K9" s="183"/>
      <c r="L9" s="183"/>
      <c r="N9" s="51"/>
      <c r="O9" s="51"/>
      <c r="P9" s="52"/>
      <c r="Q9" s="52"/>
      <c r="R9" s="52"/>
      <c r="S9" s="52"/>
      <c r="T9" s="53"/>
    </row>
    <row r="10" spans="1:20" ht="14.25" customHeight="1" x14ac:dyDescent="0.25">
      <c r="A10" s="3"/>
      <c r="B10" s="258"/>
      <c r="C10" s="258"/>
      <c r="D10" s="258"/>
      <c r="E10" s="64"/>
      <c r="F10" s="65" t="s">
        <v>122</v>
      </c>
      <c r="G10" s="67">
        <v>0.04</v>
      </c>
      <c r="H10" s="66">
        <f t="shared" si="0"/>
        <v>0.96</v>
      </c>
      <c r="I10" s="183"/>
      <c r="J10" s="183"/>
      <c r="K10" s="183"/>
      <c r="L10" s="183"/>
      <c r="N10" s="51"/>
      <c r="O10" s="51"/>
      <c r="P10" s="52"/>
      <c r="Q10" s="52"/>
      <c r="R10" s="52"/>
      <c r="S10" s="52"/>
      <c r="T10" s="53"/>
    </row>
    <row r="11" spans="1:20" ht="14.25" customHeight="1" x14ac:dyDescent="0.25">
      <c r="A11" s="3"/>
      <c r="B11" s="258"/>
      <c r="C11" s="258"/>
      <c r="D11" s="258"/>
      <c r="E11" s="62" t="s">
        <v>123</v>
      </c>
      <c r="F11" s="63" t="s">
        <v>115</v>
      </c>
      <c r="G11" s="63" t="s">
        <v>116</v>
      </c>
      <c r="H11" s="63" t="s">
        <v>117</v>
      </c>
      <c r="I11" s="183"/>
      <c r="J11" s="183"/>
      <c r="K11" s="183"/>
      <c r="L11" s="183"/>
      <c r="N11" s="51"/>
      <c r="O11" s="51"/>
      <c r="P11" s="52"/>
      <c r="Q11" s="52"/>
      <c r="R11" s="52"/>
      <c r="S11" s="52"/>
      <c r="T11" s="53"/>
    </row>
    <row r="12" spans="1:20" ht="14.25" customHeight="1" x14ac:dyDescent="0.25">
      <c r="A12" s="3"/>
      <c r="B12" s="258"/>
      <c r="C12" s="258"/>
      <c r="D12" s="258"/>
      <c r="E12" s="64" t="s">
        <v>124</v>
      </c>
      <c r="F12" s="65" t="s">
        <v>119</v>
      </c>
      <c r="G12" s="65" t="s">
        <v>125</v>
      </c>
      <c r="H12" s="66">
        <f>'Derate Calculator - Hide'!E12</f>
        <v>0.43833333333333335</v>
      </c>
      <c r="I12" s="183"/>
      <c r="J12" s="183"/>
      <c r="K12" s="183"/>
      <c r="L12" s="183"/>
      <c r="N12" s="51"/>
      <c r="O12" s="51"/>
      <c r="P12" s="52"/>
      <c r="Q12" s="52"/>
      <c r="R12" s="52"/>
      <c r="S12" s="52"/>
      <c r="T12" s="53"/>
    </row>
    <row r="13" spans="1:20" ht="14.25" customHeight="1" x14ac:dyDescent="0.25">
      <c r="A13" s="3"/>
      <c r="B13" s="258"/>
      <c r="C13" s="258"/>
      <c r="D13" s="258"/>
      <c r="E13" s="64" t="s">
        <v>124</v>
      </c>
      <c r="F13" s="65" t="s">
        <v>120</v>
      </c>
      <c r="G13" s="65" t="s">
        <v>125</v>
      </c>
      <c r="H13" s="66">
        <f>'Derate Calculator - Hide'!E13</f>
        <v>0.53692307692307695</v>
      </c>
      <c r="I13" s="183"/>
      <c r="J13" s="183"/>
      <c r="K13" s="183"/>
      <c r="L13" s="183"/>
      <c r="N13" s="51"/>
      <c r="O13" s="51"/>
      <c r="P13" s="52"/>
      <c r="Q13" s="52"/>
      <c r="R13" s="52"/>
      <c r="S13" s="52"/>
      <c r="T13" s="53"/>
    </row>
    <row r="14" spans="1:20" ht="14.25" customHeight="1" x14ac:dyDescent="0.25">
      <c r="A14" s="3"/>
      <c r="B14" s="258"/>
      <c r="C14" s="258"/>
      <c r="D14" s="258"/>
      <c r="E14" s="64" t="s">
        <v>126</v>
      </c>
      <c r="F14" s="65" t="s">
        <v>119</v>
      </c>
      <c r="G14" s="65" t="s">
        <v>125</v>
      </c>
      <c r="H14" s="66">
        <f>'Derate Calculator - Hide'!E14</f>
        <v>0.3630325814536341</v>
      </c>
      <c r="I14" s="183"/>
      <c r="J14" s="183"/>
      <c r="K14" s="183"/>
      <c r="L14" s="183"/>
      <c r="N14" s="51"/>
      <c r="O14" s="51"/>
      <c r="P14" s="52"/>
      <c r="Q14" s="52"/>
      <c r="R14" s="52"/>
      <c r="S14" s="52"/>
      <c r="T14" s="53"/>
    </row>
    <row r="15" spans="1:20" ht="14.25" customHeight="1" x14ac:dyDescent="0.25">
      <c r="A15" s="3"/>
      <c r="B15" s="258"/>
      <c r="C15" s="258"/>
      <c r="D15" s="258"/>
      <c r="E15" s="64" t="s">
        <v>126</v>
      </c>
      <c r="F15" s="65" t="s">
        <v>120</v>
      </c>
      <c r="G15" s="65" t="s">
        <v>125</v>
      </c>
      <c r="H15" s="66">
        <f>'Derate Calculator - Hide'!E15</f>
        <v>0.44060150375939844</v>
      </c>
      <c r="I15" s="183"/>
      <c r="J15" s="183"/>
      <c r="K15" s="183"/>
      <c r="L15" s="183"/>
      <c r="N15" s="51"/>
      <c r="O15" s="51"/>
      <c r="P15" s="52"/>
      <c r="Q15" s="52"/>
      <c r="R15" s="52"/>
      <c r="S15" s="52"/>
      <c r="T15" s="53"/>
    </row>
    <row r="16" spans="1:20" ht="14.25" customHeight="1" x14ac:dyDescent="0.25">
      <c r="A16" s="3"/>
      <c r="B16" s="258"/>
      <c r="C16" s="258"/>
      <c r="D16" s="258"/>
      <c r="E16" s="64" t="s">
        <v>127</v>
      </c>
      <c r="F16" s="65" t="s">
        <v>119</v>
      </c>
      <c r="G16" s="65" t="s">
        <v>125</v>
      </c>
      <c r="H16" s="66">
        <f>'Derate Calculator - Hide'!E16</f>
        <v>0.91</v>
      </c>
      <c r="I16" s="183"/>
      <c r="J16" s="183"/>
      <c r="K16" s="183"/>
      <c r="L16" s="183"/>
      <c r="N16" s="51"/>
      <c r="O16" s="51"/>
      <c r="P16" s="52"/>
      <c r="Q16" s="52"/>
      <c r="R16" s="52"/>
      <c r="S16" s="52"/>
      <c r="T16" s="53"/>
    </row>
    <row r="17" spans="1:20" ht="14.25" customHeight="1" x14ac:dyDescent="0.25">
      <c r="A17" s="3"/>
      <c r="B17" s="258"/>
      <c r="C17" s="258"/>
      <c r="D17" s="258"/>
      <c r="E17" s="64" t="s">
        <v>128</v>
      </c>
      <c r="F17" s="65" t="s">
        <v>120</v>
      </c>
      <c r="G17" s="65" t="s">
        <v>125</v>
      </c>
      <c r="H17" s="66">
        <f>'Derate Calculator - Hide'!E17</f>
        <v>0.86052631578947381</v>
      </c>
      <c r="I17" s="183"/>
      <c r="J17" s="183"/>
      <c r="K17" s="183"/>
      <c r="L17" s="183"/>
      <c r="N17" s="51"/>
      <c r="O17" s="51"/>
      <c r="P17" s="52"/>
      <c r="Q17" s="52"/>
      <c r="R17" s="52"/>
      <c r="S17" s="52"/>
      <c r="T17" s="53"/>
    </row>
    <row r="18" spans="1:20" ht="14.25" customHeight="1" x14ac:dyDescent="0.25">
      <c r="A18" s="3"/>
      <c r="B18" s="258"/>
      <c r="C18" s="258"/>
      <c r="D18" s="258"/>
      <c r="E18" s="64" t="s">
        <v>129</v>
      </c>
      <c r="F18" s="65" t="s">
        <v>122</v>
      </c>
      <c r="G18" s="65" t="s">
        <v>125</v>
      </c>
      <c r="H18" s="66">
        <f>'Derate Calculator - Hide'!E18</f>
        <v>0.74</v>
      </c>
      <c r="I18" s="183"/>
      <c r="J18" s="183"/>
      <c r="K18" s="183"/>
      <c r="L18" s="183"/>
      <c r="N18" s="51"/>
      <c r="O18" s="51"/>
      <c r="P18" s="52"/>
      <c r="Q18" s="52"/>
      <c r="R18" s="52"/>
      <c r="S18" s="52"/>
      <c r="T18" s="53"/>
    </row>
    <row r="19" spans="1:20" x14ac:dyDescent="0.25">
      <c r="A19" s="9"/>
      <c r="B19" s="5"/>
      <c r="C19" s="5"/>
      <c r="D19" s="5"/>
      <c r="E19" s="5"/>
      <c r="F19" s="13"/>
      <c r="G19" s="12"/>
      <c r="H19" s="184"/>
      <c r="I19" s="274"/>
      <c r="J19" s="274"/>
      <c r="K19" s="274"/>
      <c r="L19" s="274"/>
      <c r="N19" s="54"/>
      <c r="O19" s="54"/>
      <c r="P19" s="55"/>
      <c r="Q19" s="56"/>
      <c r="R19" s="55"/>
      <c r="S19" s="56"/>
    </row>
    <row r="20" spans="1:20" x14ac:dyDescent="0.25">
      <c r="A20" s="9"/>
      <c r="B20" s="186" t="s">
        <v>130</v>
      </c>
      <c r="C20" s="187"/>
      <c r="D20" s="187"/>
      <c r="E20" s="187"/>
      <c r="F20" s="70" t="s">
        <v>131</v>
      </c>
      <c r="G20" s="270" t="s">
        <v>132</v>
      </c>
      <c r="H20" s="270"/>
      <c r="I20" s="9"/>
      <c r="J20" s="9"/>
      <c r="K20" s="9"/>
      <c r="L20" s="9"/>
      <c r="N20" s="51"/>
      <c r="O20" s="51"/>
      <c r="P20" s="52"/>
      <c r="Q20" s="52"/>
      <c r="R20" s="52"/>
      <c r="S20" s="52"/>
      <c r="T20" s="53"/>
    </row>
    <row r="21" spans="1:20" ht="50.65" customHeight="1" x14ac:dyDescent="0.25">
      <c r="A21" s="9"/>
      <c r="B21" s="271" t="s">
        <v>133</v>
      </c>
      <c r="C21" s="271"/>
      <c r="D21" s="188" t="s">
        <v>134</v>
      </c>
      <c r="E21" s="189" t="s">
        <v>135</v>
      </c>
      <c r="F21" s="190" t="s">
        <v>136</v>
      </c>
      <c r="G21" s="191" t="s">
        <v>137</v>
      </c>
      <c r="H21" s="192" t="s">
        <v>138</v>
      </c>
      <c r="I21" s="9"/>
      <c r="J21" s="9"/>
      <c r="K21" s="9"/>
      <c r="L21" s="9"/>
      <c r="N21" s="54"/>
      <c r="O21" s="54"/>
      <c r="P21" s="55"/>
      <c r="Q21" s="56"/>
      <c r="R21" s="55"/>
      <c r="S21" s="56"/>
    </row>
    <row r="22" spans="1:20" x14ac:dyDescent="0.25">
      <c r="A22" s="9"/>
      <c r="B22" s="262" t="s">
        <v>139</v>
      </c>
      <c r="C22" s="263"/>
      <c r="D22" s="167">
        <f>0.2</f>
        <v>0.2</v>
      </c>
      <c r="E22" s="168">
        <v>12</v>
      </c>
      <c r="F22" s="193">
        <f>E22*D22</f>
        <v>2.4000000000000004</v>
      </c>
      <c r="G22" s="169">
        <v>1</v>
      </c>
      <c r="H22" s="193">
        <f>G22*F22</f>
        <v>2.4000000000000004</v>
      </c>
      <c r="I22" s="9"/>
      <c r="J22" s="9"/>
      <c r="K22" s="9"/>
      <c r="L22" s="9"/>
      <c r="N22" s="54"/>
      <c r="O22" s="54"/>
      <c r="P22" s="55"/>
      <c r="Q22" s="56"/>
      <c r="R22" s="55"/>
      <c r="S22" s="56"/>
    </row>
    <row r="23" spans="1:20" x14ac:dyDescent="0.25">
      <c r="A23" s="9"/>
      <c r="B23" s="264" t="s">
        <v>140</v>
      </c>
      <c r="C23" s="265"/>
      <c r="D23" s="167">
        <v>3.57</v>
      </c>
      <c r="E23" s="168">
        <v>3.5</v>
      </c>
      <c r="F23" s="193">
        <f t="shared" ref="F23:F26" si="1">E23*D23</f>
        <v>12.494999999999999</v>
      </c>
      <c r="G23" s="169">
        <v>0.75</v>
      </c>
      <c r="H23" s="193">
        <f>G23*F23</f>
        <v>9.3712499999999999</v>
      </c>
      <c r="I23" s="9"/>
      <c r="J23" s="9"/>
      <c r="K23" s="9"/>
      <c r="L23" s="9"/>
      <c r="N23" s="54"/>
      <c r="O23" s="54"/>
      <c r="P23" s="55"/>
      <c r="Q23" s="56"/>
      <c r="R23" s="55"/>
      <c r="S23" s="56"/>
    </row>
    <row r="24" spans="1:20" x14ac:dyDescent="0.25">
      <c r="A24" s="9"/>
      <c r="B24" s="266" t="s">
        <v>141</v>
      </c>
      <c r="C24" s="267"/>
      <c r="D24" s="167">
        <v>4</v>
      </c>
      <c r="E24" s="168">
        <v>1</v>
      </c>
      <c r="F24" s="193">
        <f t="shared" si="1"/>
        <v>4</v>
      </c>
      <c r="G24" s="169">
        <v>1</v>
      </c>
      <c r="H24" s="193">
        <f>G24*F24</f>
        <v>4</v>
      </c>
      <c r="I24" s="9"/>
      <c r="J24" s="9"/>
      <c r="K24" s="9"/>
      <c r="L24" s="9"/>
      <c r="N24" s="51"/>
      <c r="O24" s="51"/>
      <c r="P24" s="52"/>
      <c r="Q24" s="52"/>
      <c r="R24" s="52"/>
      <c r="S24" s="52"/>
      <c r="T24" s="53"/>
    </row>
    <row r="25" spans="1:20" x14ac:dyDescent="0.25">
      <c r="A25" s="9"/>
      <c r="B25" s="268" t="s">
        <v>142</v>
      </c>
      <c r="C25" s="269"/>
      <c r="D25" s="167">
        <f>0.9</f>
        <v>0.9</v>
      </c>
      <c r="E25" s="168">
        <v>1</v>
      </c>
      <c r="F25" s="193">
        <f t="shared" si="1"/>
        <v>0.9</v>
      </c>
      <c r="G25" s="169">
        <v>1</v>
      </c>
      <c r="H25" s="193">
        <f>G25*F25</f>
        <v>0.9</v>
      </c>
      <c r="I25" s="9"/>
      <c r="J25" s="9"/>
      <c r="K25" s="9"/>
      <c r="L25" s="9"/>
      <c r="N25" s="54"/>
      <c r="O25" s="54"/>
      <c r="P25" s="55"/>
      <c r="Q25" s="56"/>
      <c r="R25" s="55"/>
      <c r="S25" s="56"/>
    </row>
    <row r="26" spans="1:20" x14ac:dyDescent="0.25">
      <c r="A26" s="9"/>
      <c r="B26" s="268"/>
      <c r="C26" s="269"/>
      <c r="D26" s="167"/>
      <c r="E26" s="168"/>
      <c r="F26" s="193">
        <f t="shared" si="1"/>
        <v>0</v>
      </c>
      <c r="G26" s="169"/>
      <c r="H26" s="193">
        <f>G26*F26</f>
        <v>0</v>
      </c>
      <c r="I26" s="9"/>
      <c r="J26" s="9"/>
      <c r="K26" s="9"/>
      <c r="L26" s="9"/>
      <c r="N26" s="54"/>
      <c r="O26" s="54"/>
      <c r="P26" s="55"/>
      <c r="Q26" s="56"/>
      <c r="R26" s="55"/>
      <c r="S26" s="56"/>
    </row>
    <row r="27" spans="1:20" x14ac:dyDescent="0.25">
      <c r="A27" s="9"/>
      <c r="B27" s="260" t="s">
        <v>143</v>
      </c>
      <c r="C27" s="261"/>
      <c r="D27" s="71"/>
      <c r="E27" s="194"/>
      <c r="F27" s="194"/>
      <c r="G27" s="194"/>
      <c r="H27" s="194">
        <f>SUM(H22:H26)</f>
        <v>16.671250000000001</v>
      </c>
      <c r="I27" s="9" t="s">
        <v>144</v>
      </c>
      <c r="J27" s="9"/>
      <c r="K27" s="9"/>
      <c r="L27" s="9"/>
      <c r="N27" s="54"/>
      <c r="O27" s="54"/>
      <c r="P27" s="55"/>
      <c r="Q27" s="56"/>
      <c r="R27" s="55"/>
      <c r="S27" s="56"/>
    </row>
    <row r="28" spans="1:20" x14ac:dyDescent="0.25">
      <c r="A28" s="9"/>
      <c r="B28" s="32"/>
      <c r="C28" s="9"/>
      <c r="D28" s="72"/>
      <c r="E28" s="9"/>
      <c r="F28" s="9"/>
      <c r="G28" s="9"/>
      <c r="H28" s="31"/>
      <c r="I28" s="31"/>
      <c r="J28" s="31"/>
      <c r="K28" s="31"/>
      <c r="L28" s="31"/>
    </row>
    <row r="29" spans="1:20" x14ac:dyDescent="0.25">
      <c r="A29" s="9"/>
      <c r="B29" s="186" t="s">
        <v>145</v>
      </c>
      <c r="C29" s="187"/>
      <c r="D29" s="73"/>
      <c r="E29" s="187"/>
      <c r="F29" s="70" t="s">
        <v>131</v>
      </c>
      <c r="G29" s="270" t="s">
        <v>146</v>
      </c>
      <c r="H29" s="270"/>
      <c r="I29" s="9"/>
      <c r="J29" s="9"/>
      <c r="K29" s="31"/>
      <c r="L29" s="31"/>
    </row>
    <row r="30" spans="1:20" ht="45.75" customHeight="1" x14ac:dyDescent="0.25">
      <c r="A30" s="9"/>
      <c r="B30" s="271" t="s">
        <v>133</v>
      </c>
      <c r="C30" s="271"/>
      <c r="D30" s="74" t="s">
        <v>134</v>
      </c>
      <c r="E30" s="189" t="s">
        <v>135</v>
      </c>
      <c r="F30" s="190" t="s">
        <v>136</v>
      </c>
      <c r="G30" s="191" t="s">
        <v>137</v>
      </c>
      <c r="H30" s="192" t="s">
        <v>138</v>
      </c>
      <c r="I30" s="9"/>
      <c r="J30" s="9"/>
      <c r="K30" s="31"/>
      <c r="L30" s="31"/>
    </row>
    <row r="31" spans="1:20" ht="14.25" customHeight="1" x14ac:dyDescent="0.25">
      <c r="A31" s="9"/>
      <c r="B31" s="262" t="s">
        <v>147</v>
      </c>
      <c r="C31" s="263"/>
      <c r="D31" s="167">
        <v>0</v>
      </c>
      <c r="E31" s="168"/>
      <c r="F31" s="193">
        <f>E31*D31</f>
        <v>0</v>
      </c>
      <c r="G31" s="169">
        <v>1</v>
      </c>
      <c r="H31" s="193">
        <f>G31*F31</f>
        <v>0</v>
      </c>
      <c r="I31" s="9"/>
      <c r="J31" s="9"/>
      <c r="K31" s="31"/>
      <c r="L31" s="31"/>
    </row>
    <row r="32" spans="1:20" ht="15" customHeight="1" x14ac:dyDescent="0.25">
      <c r="A32" s="9"/>
      <c r="B32" s="264" t="s">
        <v>148</v>
      </c>
      <c r="C32" s="265"/>
      <c r="D32" s="167">
        <v>6.45</v>
      </c>
      <c r="E32" s="168">
        <v>2</v>
      </c>
      <c r="F32" s="193">
        <f t="shared" ref="F32:F35" si="2">E32*D32</f>
        <v>12.9</v>
      </c>
      <c r="G32" s="169">
        <v>1</v>
      </c>
      <c r="H32" s="193">
        <f>G32*F32</f>
        <v>12.9</v>
      </c>
      <c r="I32" s="9"/>
      <c r="J32" s="9"/>
      <c r="K32" s="31"/>
      <c r="L32" s="31"/>
    </row>
    <row r="33" spans="1:20" x14ac:dyDescent="0.25">
      <c r="A33" s="9"/>
      <c r="B33" s="266" t="s">
        <v>149</v>
      </c>
      <c r="C33" s="267"/>
      <c r="D33" s="167">
        <v>0.9</v>
      </c>
      <c r="E33" s="168">
        <v>1</v>
      </c>
      <c r="F33" s="193">
        <f t="shared" si="2"/>
        <v>0.9</v>
      </c>
      <c r="G33" s="169">
        <v>1</v>
      </c>
      <c r="H33" s="193">
        <f>G33*F33</f>
        <v>0.9</v>
      </c>
      <c r="I33" s="9"/>
      <c r="J33" s="9"/>
      <c r="K33" s="31"/>
      <c r="L33" s="31"/>
    </row>
    <row r="34" spans="1:20" x14ac:dyDescent="0.25">
      <c r="A34" s="9"/>
      <c r="B34" s="268" t="s">
        <v>150</v>
      </c>
      <c r="C34" s="269"/>
      <c r="D34" s="167">
        <v>2.7</v>
      </c>
      <c r="E34" s="168">
        <v>12</v>
      </c>
      <c r="F34" s="193">
        <f t="shared" si="2"/>
        <v>32.400000000000006</v>
      </c>
      <c r="G34" s="169">
        <v>0.9</v>
      </c>
      <c r="H34" s="193">
        <f>G34*F34</f>
        <v>29.160000000000007</v>
      </c>
      <c r="I34" s="9"/>
      <c r="J34" s="9"/>
      <c r="K34" s="31"/>
      <c r="L34" s="31"/>
    </row>
    <row r="35" spans="1:20" ht="15.75" customHeight="1" x14ac:dyDescent="0.25">
      <c r="A35" s="9"/>
      <c r="B35" s="268" t="s">
        <v>142</v>
      </c>
      <c r="C35" s="269"/>
      <c r="D35" s="167"/>
      <c r="E35" s="168"/>
      <c r="F35" s="193">
        <f t="shared" si="2"/>
        <v>0</v>
      </c>
      <c r="G35" s="169">
        <v>1</v>
      </c>
      <c r="H35" s="193">
        <f>G35*F35</f>
        <v>0</v>
      </c>
      <c r="I35" s="9"/>
      <c r="J35" s="9"/>
      <c r="K35" s="31"/>
      <c r="L35" s="31"/>
    </row>
    <row r="36" spans="1:20" x14ac:dyDescent="0.25">
      <c r="A36" s="9"/>
      <c r="B36" s="260" t="s">
        <v>143</v>
      </c>
      <c r="C36" s="261"/>
      <c r="D36" s="71"/>
      <c r="E36" s="194"/>
      <c r="F36" s="194"/>
      <c r="G36" s="194"/>
      <c r="H36" s="194">
        <f>SUM(H31:H35)</f>
        <v>42.960000000000008</v>
      </c>
      <c r="I36" s="9" t="s">
        <v>144</v>
      </c>
      <c r="J36" s="9"/>
      <c r="K36" s="31"/>
      <c r="L36" s="31"/>
    </row>
    <row r="37" spans="1:20" x14ac:dyDescent="0.25">
      <c r="A37" s="9"/>
      <c r="B37" s="31"/>
      <c r="C37" s="31"/>
      <c r="D37" s="75"/>
      <c r="E37" s="31"/>
      <c r="F37" s="31"/>
      <c r="G37" s="31"/>
      <c r="H37" s="31"/>
      <c r="I37" s="31"/>
      <c r="J37" s="31"/>
      <c r="K37" s="31"/>
      <c r="L37" s="31"/>
    </row>
    <row r="38" spans="1:20" x14ac:dyDescent="0.25">
      <c r="A38" s="9"/>
      <c r="B38" s="186" t="s">
        <v>151</v>
      </c>
      <c r="C38" s="187"/>
      <c r="D38" s="73"/>
      <c r="E38" s="187"/>
      <c r="F38" s="70" t="s">
        <v>131</v>
      </c>
      <c r="G38" s="270"/>
      <c r="H38" s="270"/>
      <c r="I38" s="31"/>
      <c r="J38" s="31"/>
      <c r="K38" s="31"/>
      <c r="L38" s="31"/>
    </row>
    <row r="39" spans="1:20" ht="45.75" customHeight="1" x14ac:dyDescent="0.25">
      <c r="A39" s="9"/>
      <c r="B39" s="271" t="s">
        <v>133</v>
      </c>
      <c r="C39" s="271"/>
      <c r="D39" s="74" t="s">
        <v>134</v>
      </c>
      <c r="E39" s="189" t="s">
        <v>135</v>
      </c>
      <c r="F39" s="190" t="s">
        <v>136</v>
      </c>
      <c r="G39" s="191" t="s">
        <v>137</v>
      </c>
      <c r="H39" s="192" t="s">
        <v>138</v>
      </c>
      <c r="I39" s="31"/>
      <c r="J39" s="31"/>
      <c r="K39" s="31"/>
      <c r="L39" s="31"/>
      <c r="N39" s="54"/>
      <c r="O39" s="54"/>
      <c r="P39" s="54"/>
      <c r="Q39" s="56"/>
      <c r="R39" s="55"/>
      <c r="S39" s="56"/>
      <c r="T39" s="55"/>
    </row>
    <row r="40" spans="1:20" x14ac:dyDescent="0.25">
      <c r="A40" s="9"/>
      <c r="B40" s="262"/>
      <c r="C40" s="263"/>
      <c r="D40" s="167"/>
      <c r="E40" s="168"/>
      <c r="F40" s="193">
        <f>E40*D40</f>
        <v>0</v>
      </c>
      <c r="G40" s="169"/>
      <c r="H40" s="193">
        <f>G40*F40</f>
        <v>0</v>
      </c>
      <c r="I40" s="31"/>
      <c r="J40" s="31"/>
      <c r="K40" s="31"/>
      <c r="L40" s="31"/>
      <c r="N40" s="57"/>
      <c r="O40" s="57"/>
      <c r="P40" s="57"/>
      <c r="Q40" s="57"/>
      <c r="R40" s="58"/>
      <c r="S40" s="57"/>
      <c r="T40" s="58"/>
    </row>
    <row r="41" spans="1:20" ht="15" customHeight="1" x14ac:dyDescent="0.25">
      <c r="A41" s="9"/>
      <c r="B41" s="264"/>
      <c r="C41" s="265"/>
      <c r="D41" s="167"/>
      <c r="E41" s="168"/>
      <c r="F41" s="193">
        <f t="shared" ref="F41:F44" si="3">E41*D41</f>
        <v>0</v>
      </c>
      <c r="G41" s="169"/>
      <c r="H41" s="193">
        <f>G41*F41</f>
        <v>0</v>
      </c>
      <c r="I41" s="31"/>
      <c r="J41" s="31"/>
      <c r="K41" s="31"/>
      <c r="L41" s="31"/>
      <c r="N41" s="53"/>
      <c r="O41" s="57"/>
      <c r="P41" s="57"/>
      <c r="Q41" s="57"/>
      <c r="R41" s="58"/>
      <c r="S41" s="57"/>
      <c r="T41" s="58"/>
    </row>
    <row r="42" spans="1:20" x14ac:dyDescent="0.25">
      <c r="A42" s="9"/>
      <c r="B42" s="266"/>
      <c r="C42" s="267"/>
      <c r="D42" s="167"/>
      <c r="E42" s="168"/>
      <c r="F42" s="193">
        <f t="shared" si="3"/>
        <v>0</v>
      </c>
      <c r="G42" s="169"/>
      <c r="H42" s="193">
        <f>G42*F42</f>
        <v>0</v>
      </c>
      <c r="I42" s="31"/>
      <c r="J42" s="31"/>
      <c r="K42" s="31"/>
      <c r="L42" s="31"/>
      <c r="N42" s="57"/>
      <c r="O42" s="57"/>
      <c r="P42" s="57"/>
      <c r="Q42" s="57"/>
      <c r="R42" s="58"/>
      <c r="S42" s="57"/>
      <c r="T42" s="58"/>
    </row>
    <row r="43" spans="1:20" x14ac:dyDescent="0.25">
      <c r="A43" s="9"/>
      <c r="B43" s="268"/>
      <c r="C43" s="269"/>
      <c r="D43" s="167"/>
      <c r="E43" s="168"/>
      <c r="F43" s="193">
        <f t="shared" si="3"/>
        <v>0</v>
      </c>
      <c r="G43" s="169"/>
      <c r="H43" s="193">
        <f>G43*F43</f>
        <v>0</v>
      </c>
      <c r="I43" s="31"/>
      <c r="J43" s="31"/>
      <c r="K43" s="31"/>
      <c r="L43" s="31"/>
      <c r="N43" s="53"/>
      <c r="O43" s="59"/>
      <c r="P43" s="59"/>
      <c r="Q43" s="59"/>
      <c r="R43" s="59"/>
      <c r="S43" s="59"/>
      <c r="T43" s="59"/>
    </row>
    <row r="44" spans="1:20" ht="15.75" customHeight="1" x14ac:dyDescent="0.25">
      <c r="A44" s="9"/>
      <c r="B44" s="268"/>
      <c r="C44" s="269"/>
      <c r="D44" s="167"/>
      <c r="E44" s="168"/>
      <c r="F44" s="193">
        <f t="shared" si="3"/>
        <v>0</v>
      </c>
      <c r="G44" s="169"/>
      <c r="H44" s="193">
        <f>G44*F44</f>
        <v>0</v>
      </c>
      <c r="I44" s="31"/>
      <c r="J44" s="31"/>
      <c r="K44" s="31"/>
      <c r="L44" s="31"/>
      <c r="N44" s="1"/>
    </row>
    <row r="45" spans="1:20" x14ac:dyDescent="0.25">
      <c r="A45" s="9"/>
      <c r="B45" s="260" t="s">
        <v>143</v>
      </c>
      <c r="C45" s="261"/>
      <c r="D45" s="71"/>
      <c r="E45" s="194"/>
      <c r="F45" s="194"/>
      <c r="G45" s="194"/>
      <c r="H45" s="194">
        <f>SUM(H40:H44)</f>
        <v>0</v>
      </c>
      <c r="I45" s="9" t="s">
        <v>144</v>
      </c>
      <c r="J45" s="31"/>
      <c r="K45" s="31"/>
      <c r="L45" s="31"/>
      <c r="N45" s="60"/>
      <c r="O45" s="60"/>
      <c r="P45" s="60"/>
      <c r="Q45" s="60"/>
      <c r="R45" s="60"/>
      <c r="S45" s="60"/>
      <c r="T45" s="60"/>
    </row>
    <row r="46" spans="1:20" x14ac:dyDescent="0.25">
      <c r="A46" s="9"/>
      <c r="B46" s="30"/>
      <c r="C46" s="9"/>
      <c r="D46" s="9"/>
      <c r="E46" s="9"/>
      <c r="F46" s="14"/>
      <c r="G46" s="9"/>
      <c r="H46" s="31"/>
      <c r="I46" s="31"/>
      <c r="J46" s="31"/>
      <c r="K46" s="31"/>
      <c r="L46" s="31"/>
      <c r="N46" s="51"/>
      <c r="O46" s="61"/>
      <c r="P46" s="61"/>
      <c r="Q46" s="52"/>
      <c r="R46" s="61"/>
      <c r="S46" s="52"/>
      <c r="T46" s="61"/>
    </row>
    <row r="47" spans="1:20" x14ac:dyDescent="0.25">
      <c r="A47" s="9"/>
      <c r="B47" s="186" t="s">
        <v>152</v>
      </c>
      <c r="C47" s="187"/>
      <c r="D47" s="73"/>
      <c r="E47" s="187"/>
      <c r="F47" s="70" t="s">
        <v>131</v>
      </c>
      <c r="G47" s="270"/>
      <c r="H47" s="270"/>
      <c r="I47" s="31"/>
      <c r="J47" s="31"/>
      <c r="K47" s="31"/>
      <c r="L47" s="31"/>
      <c r="N47" s="54"/>
      <c r="O47" s="54"/>
      <c r="P47" s="54"/>
      <c r="Q47" s="54"/>
      <c r="R47" s="55"/>
      <c r="S47" s="54"/>
      <c r="T47" s="55"/>
    </row>
    <row r="48" spans="1:20" ht="50.65" customHeight="1" x14ac:dyDescent="0.25">
      <c r="A48" s="9"/>
      <c r="B48" s="271" t="s">
        <v>133</v>
      </c>
      <c r="C48" s="271"/>
      <c r="D48" s="74" t="s">
        <v>134</v>
      </c>
      <c r="E48" s="189" t="s">
        <v>135</v>
      </c>
      <c r="F48" s="190" t="s">
        <v>136</v>
      </c>
      <c r="G48" s="191" t="s">
        <v>137</v>
      </c>
      <c r="H48" s="192" t="s">
        <v>138</v>
      </c>
      <c r="I48" s="31"/>
      <c r="J48" s="31"/>
      <c r="K48" s="31"/>
      <c r="L48" s="31"/>
      <c r="N48" s="54"/>
      <c r="O48" s="54"/>
      <c r="P48" s="54"/>
      <c r="Q48" s="54"/>
      <c r="R48" s="55"/>
      <c r="S48" s="54"/>
      <c r="T48" s="55"/>
    </row>
    <row r="49" spans="1:20" x14ac:dyDescent="0.25">
      <c r="A49" s="9"/>
      <c r="B49" s="262"/>
      <c r="C49" s="263"/>
      <c r="D49" s="167"/>
      <c r="E49" s="168"/>
      <c r="F49" s="193">
        <f>E49*D49</f>
        <v>0</v>
      </c>
      <c r="G49" s="169"/>
      <c r="H49" s="193">
        <f>G49*F49</f>
        <v>0</v>
      </c>
      <c r="I49" s="31"/>
      <c r="J49" s="31"/>
      <c r="K49" s="31"/>
      <c r="L49" s="31"/>
      <c r="N49" s="54"/>
      <c r="O49" s="54"/>
      <c r="P49" s="54"/>
      <c r="Q49" s="54"/>
      <c r="R49" s="55"/>
      <c r="S49" s="54"/>
      <c r="T49" s="55"/>
    </row>
    <row r="50" spans="1:20" x14ac:dyDescent="0.25">
      <c r="A50" s="9"/>
      <c r="B50" s="264"/>
      <c r="C50" s="265"/>
      <c r="D50" s="167"/>
      <c r="E50" s="168"/>
      <c r="F50" s="193">
        <f t="shared" ref="F50:F53" si="4">E50*D50</f>
        <v>0</v>
      </c>
      <c r="G50" s="169"/>
      <c r="H50" s="193">
        <f>G50*F50</f>
        <v>0</v>
      </c>
      <c r="I50" s="31"/>
      <c r="J50" s="31"/>
      <c r="K50" s="31"/>
      <c r="L50" s="31"/>
      <c r="N50" s="51"/>
      <c r="O50" s="61"/>
      <c r="P50" s="61"/>
      <c r="Q50" s="52"/>
      <c r="R50" s="61"/>
      <c r="S50" s="52"/>
      <c r="T50" s="61"/>
    </row>
    <row r="51" spans="1:20" x14ac:dyDescent="0.25">
      <c r="A51" s="9"/>
      <c r="B51" s="266"/>
      <c r="C51" s="267"/>
      <c r="D51" s="167"/>
      <c r="E51" s="168"/>
      <c r="F51" s="193">
        <f t="shared" si="4"/>
        <v>0</v>
      </c>
      <c r="G51" s="169"/>
      <c r="H51" s="193">
        <f>G51*F51</f>
        <v>0</v>
      </c>
      <c r="I51" s="31"/>
      <c r="J51" s="31"/>
      <c r="K51" s="31"/>
      <c r="L51" s="31"/>
      <c r="N51" s="54"/>
      <c r="O51" s="54"/>
      <c r="P51" s="54"/>
      <c r="Q51" s="56"/>
      <c r="R51" s="55"/>
      <c r="S51" s="56"/>
      <c r="T51" s="55"/>
    </row>
    <row r="52" spans="1:20" x14ac:dyDescent="0.25">
      <c r="A52" s="9"/>
      <c r="B52" s="268"/>
      <c r="C52" s="269"/>
      <c r="D52" s="167"/>
      <c r="E52" s="168"/>
      <c r="F52" s="193">
        <f t="shared" si="4"/>
        <v>0</v>
      </c>
      <c r="G52" s="169"/>
      <c r="H52" s="193">
        <f>G52*F52</f>
        <v>0</v>
      </c>
      <c r="I52" s="31"/>
      <c r="J52" s="31"/>
      <c r="K52" s="31"/>
      <c r="L52" s="31"/>
      <c r="N52" s="54"/>
      <c r="O52" s="54"/>
      <c r="P52" s="54"/>
      <c r="Q52" s="56"/>
      <c r="R52" s="55"/>
      <c r="S52" s="56"/>
      <c r="T52" s="55"/>
    </row>
    <row r="53" spans="1:20" x14ac:dyDescent="0.25">
      <c r="A53" s="9"/>
      <c r="B53" s="268"/>
      <c r="C53" s="269"/>
      <c r="D53" s="167"/>
      <c r="E53" s="168"/>
      <c r="F53" s="193">
        <f t="shared" si="4"/>
        <v>0</v>
      </c>
      <c r="G53" s="169"/>
      <c r="H53" s="193">
        <f>G53*F53</f>
        <v>0</v>
      </c>
      <c r="I53" s="31"/>
      <c r="J53" s="31"/>
      <c r="K53" s="31"/>
      <c r="L53" s="31"/>
      <c r="N53" s="54"/>
      <c r="O53" s="54"/>
      <c r="P53" s="54"/>
      <c r="Q53" s="56"/>
      <c r="R53" s="55"/>
      <c r="S53" s="56"/>
      <c r="T53" s="55"/>
    </row>
    <row r="54" spans="1:20" x14ac:dyDescent="0.25">
      <c r="A54" s="9"/>
      <c r="B54" s="260" t="s">
        <v>143</v>
      </c>
      <c r="C54" s="261"/>
      <c r="D54" s="71"/>
      <c r="E54" s="194"/>
      <c r="F54" s="194"/>
      <c r="G54" s="194"/>
      <c r="H54" s="194">
        <f>SUM(H49:H53)</f>
        <v>0</v>
      </c>
      <c r="I54" s="9" t="s">
        <v>144</v>
      </c>
      <c r="J54" s="31"/>
      <c r="K54" s="31"/>
      <c r="L54" s="31"/>
    </row>
    <row r="55" spans="1:20" x14ac:dyDescent="0.25">
      <c r="A55" s="9"/>
      <c r="B55" s="30"/>
      <c r="C55" s="9"/>
      <c r="D55" s="9"/>
      <c r="E55" s="9"/>
      <c r="F55" s="14"/>
      <c r="G55" s="9"/>
      <c r="H55" s="31"/>
      <c r="I55" s="31"/>
      <c r="J55" s="31"/>
      <c r="K55" s="31"/>
      <c r="L55" s="31"/>
    </row>
    <row r="56" spans="1:20" x14ac:dyDescent="0.25">
      <c r="A56" s="9"/>
      <c r="B56" s="186" t="s">
        <v>153</v>
      </c>
      <c r="C56" s="187"/>
      <c r="D56" s="73"/>
      <c r="E56" s="187"/>
      <c r="F56" s="70" t="s">
        <v>131</v>
      </c>
      <c r="G56" s="270"/>
      <c r="H56" s="270"/>
      <c r="I56" s="31"/>
      <c r="J56" s="31"/>
      <c r="K56" s="31"/>
      <c r="L56" s="31"/>
    </row>
    <row r="57" spans="1:20" ht="49.5" customHeight="1" x14ac:dyDescent="0.25">
      <c r="A57" s="9"/>
      <c r="B57" s="271" t="s">
        <v>133</v>
      </c>
      <c r="C57" s="271"/>
      <c r="D57" s="74" t="s">
        <v>134</v>
      </c>
      <c r="E57" s="189" t="s">
        <v>135</v>
      </c>
      <c r="F57" s="190" t="s">
        <v>136</v>
      </c>
      <c r="G57" s="191" t="s">
        <v>137</v>
      </c>
      <c r="H57" s="192" t="s">
        <v>138</v>
      </c>
      <c r="I57" s="31"/>
      <c r="J57" s="31"/>
      <c r="K57" s="31"/>
      <c r="L57" s="31"/>
    </row>
    <row r="58" spans="1:20" x14ac:dyDescent="0.25">
      <c r="A58" s="9"/>
      <c r="B58" s="262"/>
      <c r="C58" s="263"/>
      <c r="D58" s="167"/>
      <c r="E58" s="168"/>
      <c r="F58" s="193">
        <f>E58*D58</f>
        <v>0</v>
      </c>
      <c r="G58" s="169"/>
      <c r="H58" s="193">
        <f>G58*F58</f>
        <v>0</v>
      </c>
      <c r="I58" s="31"/>
      <c r="J58" s="31"/>
      <c r="K58" s="31"/>
      <c r="L58" s="31"/>
    </row>
    <row r="59" spans="1:20" x14ac:dyDescent="0.25">
      <c r="A59" s="9"/>
      <c r="B59" s="264"/>
      <c r="C59" s="265"/>
      <c r="D59" s="167"/>
      <c r="E59" s="168"/>
      <c r="F59" s="193">
        <f t="shared" ref="F59:F62" si="5">E59*D59</f>
        <v>0</v>
      </c>
      <c r="G59" s="169"/>
      <c r="H59" s="193">
        <f>G59*F59</f>
        <v>0</v>
      </c>
      <c r="I59" s="31"/>
      <c r="J59" s="31"/>
      <c r="K59" s="31"/>
      <c r="L59" s="31"/>
    </row>
    <row r="60" spans="1:20" x14ac:dyDescent="0.25">
      <c r="A60" s="9"/>
      <c r="B60" s="266"/>
      <c r="C60" s="267"/>
      <c r="D60" s="167"/>
      <c r="E60" s="168"/>
      <c r="F60" s="193">
        <f t="shared" si="5"/>
        <v>0</v>
      </c>
      <c r="G60" s="169"/>
      <c r="H60" s="193">
        <f>G60*F60</f>
        <v>0</v>
      </c>
      <c r="I60" s="31"/>
      <c r="J60" s="31"/>
      <c r="K60" s="31"/>
      <c r="L60" s="31"/>
    </row>
    <row r="61" spans="1:20" x14ac:dyDescent="0.25">
      <c r="A61" s="9"/>
      <c r="B61" s="268"/>
      <c r="C61" s="269"/>
      <c r="D61" s="167"/>
      <c r="E61" s="168"/>
      <c r="F61" s="193">
        <f t="shared" si="5"/>
        <v>0</v>
      </c>
      <c r="G61" s="169"/>
      <c r="H61" s="193">
        <f>G61*F61</f>
        <v>0</v>
      </c>
      <c r="I61" s="31"/>
      <c r="J61" s="31"/>
      <c r="K61" s="31"/>
      <c r="L61" s="31"/>
    </row>
    <row r="62" spans="1:20" x14ac:dyDescent="0.25">
      <c r="A62" s="9"/>
      <c r="B62" s="268"/>
      <c r="C62" s="269"/>
      <c r="D62" s="167"/>
      <c r="E62" s="168"/>
      <c r="F62" s="193">
        <f t="shared" si="5"/>
        <v>0</v>
      </c>
      <c r="G62" s="169"/>
      <c r="H62" s="193">
        <f>G62*F62</f>
        <v>0</v>
      </c>
      <c r="I62" s="31"/>
      <c r="J62" s="31"/>
      <c r="K62" s="31"/>
      <c r="L62" s="31"/>
    </row>
    <row r="63" spans="1:20" x14ac:dyDescent="0.25">
      <c r="A63" s="9"/>
      <c r="B63" s="260" t="s">
        <v>143</v>
      </c>
      <c r="C63" s="261"/>
      <c r="D63" s="71"/>
      <c r="E63" s="194"/>
      <c r="F63" s="194"/>
      <c r="G63" s="194"/>
      <c r="H63" s="194">
        <f>SUM(H58:H62)</f>
        <v>0</v>
      </c>
      <c r="I63" s="9" t="s">
        <v>144</v>
      </c>
      <c r="J63" s="31"/>
      <c r="K63" s="31"/>
      <c r="L63" s="31"/>
    </row>
    <row r="64" spans="1:20" x14ac:dyDescent="0.25">
      <c r="A64" s="9"/>
      <c r="B64" s="30"/>
      <c r="C64" s="9"/>
      <c r="D64" s="9"/>
      <c r="E64" s="9"/>
      <c r="F64" s="14"/>
      <c r="G64" s="9"/>
      <c r="H64" s="31"/>
      <c r="I64" s="31"/>
      <c r="J64" s="31"/>
      <c r="K64" s="31"/>
      <c r="L64" s="31"/>
    </row>
  </sheetData>
  <sheetProtection algorithmName="SHA-512" hashValue="sUym4q2ErImvLTGU9dZbgBg3aa+9j2mPforzOYQDue94Q38MfSi/urqHLJryNLv5hRmYMB+1VUKXJIMekRWHEg==" saltValue="NuMyqhbDdtfTcn7LSzrJPg==" spinCount="100000" sheet="1" objects="1" formatRows="0" deleteColumns="0"/>
  <mergeCells count="45">
    <mergeCell ref="G29:H29"/>
    <mergeCell ref="B30:C30"/>
    <mergeCell ref="B34:C34"/>
    <mergeCell ref="B33:C33"/>
    <mergeCell ref="B45:C45"/>
    <mergeCell ref="B44:C44"/>
    <mergeCell ref="B43:C43"/>
    <mergeCell ref="B41:C41"/>
    <mergeCell ref="B31:C31"/>
    <mergeCell ref="B40:C40"/>
    <mergeCell ref="B36:C36"/>
    <mergeCell ref="B35:C35"/>
    <mergeCell ref="B42:C42"/>
    <mergeCell ref="B50:C50"/>
    <mergeCell ref="B51:C51"/>
    <mergeCell ref="B1:L1"/>
    <mergeCell ref="H2:L2"/>
    <mergeCell ref="G20:H20"/>
    <mergeCell ref="I19:L19"/>
    <mergeCell ref="B27:C27"/>
    <mergeCell ref="B21:C21"/>
    <mergeCell ref="B22:C22"/>
    <mergeCell ref="B23:C23"/>
    <mergeCell ref="B24:C24"/>
    <mergeCell ref="B26:C26"/>
    <mergeCell ref="B25:C25"/>
    <mergeCell ref="G38:H38"/>
    <mergeCell ref="B39:C39"/>
    <mergeCell ref="B32:C32"/>
    <mergeCell ref="B4:D18"/>
    <mergeCell ref="E4:H4"/>
    <mergeCell ref="B63:C63"/>
    <mergeCell ref="B58:C58"/>
    <mergeCell ref="B59:C59"/>
    <mergeCell ref="B60:C60"/>
    <mergeCell ref="B61:C61"/>
    <mergeCell ref="B62:C62"/>
    <mergeCell ref="B52:C52"/>
    <mergeCell ref="B53:C53"/>
    <mergeCell ref="B54:C54"/>
    <mergeCell ref="G56:H56"/>
    <mergeCell ref="B57:C57"/>
    <mergeCell ref="G47:H47"/>
    <mergeCell ref="B48:C48"/>
    <mergeCell ref="B49:C49"/>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9764-9675-4219-9CD8-71DBBF58A7CC}">
  <dimension ref="B2:H31"/>
  <sheetViews>
    <sheetView showGridLines="0" workbookViewId="0">
      <selection activeCell="E19" sqref="E19"/>
    </sheetView>
  </sheetViews>
  <sheetFormatPr defaultRowHeight="15" x14ac:dyDescent="0.25"/>
  <cols>
    <col min="2" max="2" width="26.5703125" customWidth="1"/>
    <col min="3" max="3" width="17.42578125" customWidth="1"/>
    <col min="4" max="4" width="17.7109375" hidden="1" customWidth="1"/>
    <col min="5" max="5" width="25.5703125" customWidth="1"/>
    <col min="6" max="6" width="13.42578125" customWidth="1"/>
    <col min="7" max="7" width="15.42578125" customWidth="1"/>
  </cols>
  <sheetData>
    <row r="2" spans="2:6" ht="18.75" x14ac:dyDescent="0.3">
      <c r="B2" s="47" t="s">
        <v>154</v>
      </c>
    </row>
    <row r="3" spans="2:6" ht="18.75" x14ac:dyDescent="0.3">
      <c r="B3" s="47"/>
    </row>
    <row r="4" spans="2:6" ht="15.75" x14ac:dyDescent="0.25">
      <c r="B4" s="259" t="s">
        <v>113</v>
      </c>
      <c r="C4" s="259"/>
      <c r="D4" s="259"/>
      <c r="E4" s="259"/>
    </row>
    <row r="5" spans="2:6" x14ac:dyDescent="0.25">
      <c r="B5" s="68" t="s">
        <v>155</v>
      </c>
      <c r="C5" s="69" t="s">
        <v>115</v>
      </c>
      <c r="D5" s="69" t="s">
        <v>116</v>
      </c>
      <c r="E5" s="69" t="s">
        <v>117</v>
      </c>
      <c r="F5" s="49" t="s">
        <v>156</v>
      </c>
    </row>
    <row r="6" spans="2:6" x14ac:dyDescent="0.25">
      <c r="B6" s="64" t="s">
        <v>118</v>
      </c>
      <c r="C6" s="65" t="s">
        <v>119</v>
      </c>
      <c r="D6" s="66">
        <v>0.25</v>
      </c>
      <c r="E6" s="66">
        <f>1-D6</f>
        <v>0.75</v>
      </c>
      <c r="F6" s="50"/>
    </row>
    <row r="7" spans="2:6" x14ac:dyDescent="0.25">
      <c r="B7" s="64"/>
      <c r="C7" s="65" t="s">
        <v>120</v>
      </c>
      <c r="D7" s="66">
        <v>0.22</v>
      </c>
      <c r="E7" s="66">
        <f t="shared" ref="E7:E10" si="0">1-D7</f>
        <v>0.78</v>
      </c>
      <c r="F7" s="50"/>
    </row>
    <row r="8" spans="2:6" x14ac:dyDescent="0.25">
      <c r="B8" s="64" t="s">
        <v>121</v>
      </c>
      <c r="C8" s="65" t="s">
        <v>119</v>
      </c>
      <c r="D8" s="67">
        <v>0.1</v>
      </c>
      <c r="E8" s="66">
        <f t="shared" si="0"/>
        <v>0.9</v>
      </c>
      <c r="F8" s="50"/>
    </row>
    <row r="9" spans="2:6" x14ac:dyDescent="0.25">
      <c r="B9" s="64"/>
      <c r="C9" s="65" t="s">
        <v>120</v>
      </c>
      <c r="D9" s="67">
        <v>7.0000000000000007E-2</v>
      </c>
      <c r="E9" s="66">
        <f t="shared" si="0"/>
        <v>0.92999999999999994</v>
      </c>
      <c r="F9" s="50"/>
    </row>
    <row r="10" spans="2:6" x14ac:dyDescent="0.25">
      <c r="B10" s="64"/>
      <c r="C10" s="65" t="s">
        <v>122</v>
      </c>
      <c r="D10" s="67">
        <v>0.04</v>
      </c>
      <c r="E10" s="66">
        <f t="shared" si="0"/>
        <v>0.96</v>
      </c>
      <c r="F10" s="50"/>
    </row>
    <row r="11" spans="2:6" x14ac:dyDescent="0.25">
      <c r="B11" s="62" t="s">
        <v>157</v>
      </c>
      <c r="C11" s="63" t="s">
        <v>115</v>
      </c>
      <c r="D11" s="63" t="s">
        <v>116</v>
      </c>
      <c r="E11" s="63" t="s">
        <v>117</v>
      </c>
      <c r="F11" s="48" t="s">
        <v>158</v>
      </c>
    </row>
    <row r="12" spans="2:6" x14ac:dyDescent="0.25">
      <c r="B12" s="64" t="s">
        <v>124</v>
      </c>
      <c r="C12" s="65" t="s">
        <v>119</v>
      </c>
      <c r="D12" s="65" t="s">
        <v>125</v>
      </c>
      <c r="E12" s="66">
        <f>AVERAGE(D24:D25)</f>
        <v>0.43833333333333335</v>
      </c>
      <c r="F12" s="50"/>
    </row>
    <row r="13" spans="2:6" x14ac:dyDescent="0.25">
      <c r="B13" s="64" t="s">
        <v>124</v>
      </c>
      <c r="C13" s="65" t="s">
        <v>120</v>
      </c>
      <c r="D13" s="65" t="s">
        <v>125</v>
      </c>
      <c r="E13" s="66">
        <f>AVERAGE(F24:F25)</f>
        <v>0.53692307692307695</v>
      </c>
      <c r="F13" s="50"/>
    </row>
    <row r="14" spans="2:6" x14ac:dyDescent="0.25">
      <c r="B14" s="64" t="s">
        <v>126</v>
      </c>
      <c r="C14" s="65" t="s">
        <v>119</v>
      </c>
      <c r="D14" s="65" t="s">
        <v>125</v>
      </c>
      <c r="E14" s="67">
        <f>AVERAGE(D26:D27)</f>
        <v>0.3630325814536341</v>
      </c>
      <c r="F14" s="50"/>
    </row>
    <row r="15" spans="2:6" x14ac:dyDescent="0.25">
      <c r="B15" s="64" t="s">
        <v>126</v>
      </c>
      <c r="C15" s="65" t="s">
        <v>120</v>
      </c>
      <c r="D15" s="65" t="s">
        <v>125</v>
      </c>
      <c r="E15" s="67">
        <f>AVERAGE(F26:F27)</f>
        <v>0.44060150375939844</v>
      </c>
    </row>
    <row r="16" spans="2:6" x14ac:dyDescent="0.25">
      <c r="B16" s="64" t="s">
        <v>127</v>
      </c>
      <c r="C16" s="65" t="s">
        <v>119</v>
      </c>
      <c r="D16" s="65" t="s">
        <v>125</v>
      </c>
      <c r="E16" s="67">
        <f>F29</f>
        <v>0.91</v>
      </c>
    </row>
    <row r="17" spans="2:8" x14ac:dyDescent="0.25">
      <c r="B17" s="64" t="s">
        <v>128</v>
      </c>
      <c r="C17" s="65" t="s">
        <v>120</v>
      </c>
      <c r="D17" s="65" t="s">
        <v>125</v>
      </c>
      <c r="E17" s="67">
        <f>F30</f>
        <v>0.86052631578947381</v>
      </c>
    </row>
    <row r="18" spans="2:8" x14ac:dyDescent="0.25">
      <c r="B18" s="64" t="s">
        <v>129</v>
      </c>
      <c r="C18" s="65" t="s">
        <v>122</v>
      </c>
      <c r="D18" s="65" t="s">
        <v>125</v>
      </c>
      <c r="E18" s="67">
        <f>F31</f>
        <v>0.74</v>
      </c>
    </row>
    <row r="22" spans="2:8" x14ac:dyDescent="0.25">
      <c r="B22" s="1" t="s">
        <v>159</v>
      </c>
    </row>
    <row r="23" spans="2:8" x14ac:dyDescent="0.25">
      <c r="B23" s="34" t="s">
        <v>160</v>
      </c>
      <c r="C23" s="41" t="s">
        <v>161</v>
      </c>
      <c r="D23" s="33" t="s">
        <v>162</v>
      </c>
      <c r="E23" s="33" t="s">
        <v>162</v>
      </c>
      <c r="F23" s="33" t="s">
        <v>163</v>
      </c>
      <c r="G23" s="33" t="s">
        <v>163</v>
      </c>
      <c r="H23" s="29" t="s">
        <v>164</v>
      </c>
    </row>
    <row r="24" spans="2:8" x14ac:dyDescent="0.25">
      <c r="B24" s="42" t="s">
        <v>165</v>
      </c>
      <c r="C24" s="35">
        <v>13</v>
      </c>
      <c r="D24" s="36">
        <v>0.45</v>
      </c>
      <c r="E24" s="35">
        <v>6</v>
      </c>
      <c r="F24" s="36">
        <f>G24/C24</f>
        <v>0.55384615384615388</v>
      </c>
      <c r="G24" s="35">
        <v>7.2</v>
      </c>
    </row>
    <row r="25" spans="2:8" x14ac:dyDescent="0.25">
      <c r="B25" s="42" t="s">
        <v>165</v>
      </c>
      <c r="C25" s="35">
        <v>15</v>
      </c>
      <c r="D25" s="36">
        <f>E25/C25</f>
        <v>0.42666666666666669</v>
      </c>
      <c r="E25" s="35">
        <v>6.4</v>
      </c>
      <c r="F25" s="36">
        <f>G25/C25</f>
        <v>0.52</v>
      </c>
      <c r="G25" s="35">
        <v>7.8</v>
      </c>
    </row>
    <row r="26" spans="2:8" x14ac:dyDescent="0.25">
      <c r="B26" s="42" t="s">
        <v>166</v>
      </c>
      <c r="C26" s="35">
        <v>19</v>
      </c>
      <c r="D26" s="36">
        <f>E26/C26</f>
        <v>0.37368421052631579</v>
      </c>
      <c r="E26" s="35">
        <v>7.1</v>
      </c>
      <c r="F26" s="36">
        <f>G26/C26</f>
        <v>0.45263157894736838</v>
      </c>
      <c r="G26" s="35">
        <v>8.6</v>
      </c>
    </row>
    <row r="27" spans="2:8" x14ac:dyDescent="0.25">
      <c r="B27" s="42" t="s">
        <v>166</v>
      </c>
      <c r="C27" s="35">
        <v>21</v>
      </c>
      <c r="D27" s="45">
        <f>E27/C27</f>
        <v>0.35238095238095241</v>
      </c>
      <c r="E27" s="40">
        <v>7.4</v>
      </c>
      <c r="F27" s="36">
        <f>G27/C27</f>
        <v>0.42857142857142855</v>
      </c>
      <c r="G27" s="35">
        <v>9</v>
      </c>
    </row>
    <row r="28" spans="2:8" x14ac:dyDescent="0.25">
      <c r="B28" s="37" t="s">
        <v>167</v>
      </c>
      <c r="C28" s="41" t="s">
        <v>161</v>
      </c>
      <c r="D28" s="46"/>
      <c r="E28" s="46"/>
      <c r="F28" s="33" t="s">
        <v>168</v>
      </c>
      <c r="G28" s="33" t="s">
        <v>168</v>
      </c>
      <c r="H28" s="29" t="s">
        <v>164</v>
      </c>
    </row>
    <row r="29" spans="2:8" x14ac:dyDescent="0.25">
      <c r="B29" s="42" t="s">
        <v>169</v>
      </c>
      <c r="C29" s="43">
        <v>11</v>
      </c>
      <c r="D29" s="42"/>
      <c r="E29" s="42"/>
      <c r="F29" s="44">
        <f>G29/C29</f>
        <v>0.91</v>
      </c>
      <c r="G29" s="38">
        <v>10.01</v>
      </c>
    </row>
    <row r="30" spans="2:8" x14ac:dyDescent="0.25">
      <c r="B30" s="42" t="s">
        <v>170</v>
      </c>
      <c r="C30" s="43">
        <v>19</v>
      </c>
      <c r="D30" s="42"/>
      <c r="E30" s="42"/>
      <c r="F30" s="44">
        <f>G30/C30</f>
        <v>0.86052631578947381</v>
      </c>
      <c r="G30" s="38">
        <v>16.350000000000001</v>
      </c>
    </row>
    <row r="31" spans="2:8" x14ac:dyDescent="0.25">
      <c r="B31" s="42" t="s">
        <v>171</v>
      </c>
      <c r="C31" s="43">
        <v>38</v>
      </c>
      <c r="D31" s="42"/>
      <c r="E31" s="42"/>
      <c r="F31" s="44">
        <f>G31/C31</f>
        <v>0.74</v>
      </c>
      <c r="G31" s="38">
        <v>28.12</v>
      </c>
    </row>
  </sheetData>
  <mergeCells count="1">
    <mergeCell ref="B4:E4"/>
  </mergeCells>
  <hyperlinks>
    <hyperlink ref="H23" r:id="rId1" xr:uid="{73BB143E-1F11-4720-82B4-F16E83638B5C}"/>
    <hyperlink ref="H28" r:id="rId2" xr:uid="{F7CEF69A-A979-4F6A-962D-16BC1A6764EC}"/>
    <hyperlink ref="F5" r:id="rId3" xr:uid="{002D75A5-5DBD-45D2-A0FA-2605FB3E4181}"/>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24AD0-71D3-4F85-BD3F-786591434BFD}">
  <dimension ref="A1:AA47"/>
  <sheetViews>
    <sheetView workbookViewId="0">
      <selection activeCell="V15" sqref="V15:AA21"/>
    </sheetView>
  </sheetViews>
  <sheetFormatPr defaultRowHeight="15" x14ac:dyDescent="0.25"/>
  <cols>
    <col min="2" max="2" width="15.140625" customWidth="1"/>
    <col min="3" max="3" width="23.28515625" customWidth="1"/>
  </cols>
  <sheetData>
    <row r="1" spans="1:27" ht="26.25" x14ac:dyDescent="0.25">
      <c r="A1" s="3"/>
      <c r="B1" s="272" t="s">
        <v>110</v>
      </c>
      <c r="C1" s="272"/>
      <c r="D1" s="272"/>
      <c r="E1" s="272"/>
      <c r="F1" s="272"/>
      <c r="G1" s="272"/>
      <c r="H1" s="272"/>
      <c r="I1" s="272"/>
      <c r="J1" s="272"/>
      <c r="K1" s="272"/>
      <c r="L1" s="272"/>
      <c r="M1" s="272"/>
      <c r="N1" s="272"/>
      <c r="O1" s="272"/>
      <c r="P1" s="272"/>
      <c r="Q1" s="272"/>
    </row>
    <row r="2" spans="1:27" x14ac:dyDescent="0.25">
      <c r="A2" s="3"/>
      <c r="B2" s="4"/>
      <c r="C2" s="5"/>
      <c r="D2" s="5"/>
      <c r="E2" s="5"/>
      <c r="F2" s="5"/>
      <c r="G2" s="5"/>
      <c r="H2" s="4"/>
      <c r="I2" s="4"/>
      <c r="J2" s="4"/>
      <c r="K2" s="6"/>
      <c r="L2" s="273"/>
      <c r="M2" s="273"/>
      <c r="N2" s="273"/>
      <c r="O2" s="273"/>
      <c r="P2" s="273"/>
      <c r="Q2" s="273"/>
    </row>
    <row r="3" spans="1:27" x14ac:dyDescent="0.25">
      <c r="A3" s="3"/>
      <c r="B3" s="255" t="s">
        <v>172</v>
      </c>
      <c r="C3" s="255"/>
      <c r="D3" s="255"/>
      <c r="E3" s="255"/>
      <c r="F3" s="255"/>
      <c r="G3" s="255"/>
      <c r="H3" s="273"/>
      <c r="I3" s="273"/>
      <c r="J3" s="273"/>
      <c r="K3" s="7"/>
      <c r="L3" s="275"/>
      <c r="M3" s="275"/>
      <c r="N3" s="276"/>
      <c r="O3" s="276"/>
      <c r="P3" s="274"/>
      <c r="Q3" s="274"/>
    </row>
    <row r="4" spans="1:27" x14ac:dyDescent="0.25">
      <c r="A4" s="3"/>
      <c r="B4" s="255"/>
      <c r="C4" s="255"/>
      <c r="D4" s="255"/>
      <c r="E4" s="255"/>
      <c r="F4" s="255"/>
      <c r="G4" s="255"/>
      <c r="H4" s="277"/>
      <c r="I4" s="277"/>
      <c r="J4" s="277"/>
      <c r="K4" s="8"/>
      <c r="L4" s="275"/>
      <c r="M4" s="275"/>
      <c r="N4" s="274"/>
      <c r="O4" s="274"/>
      <c r="P4" s="274"/>
      <c r="Q4" s="274"/>
    </row>
    <row r="5" spans="1:27" x14ac:dyDescent="0.25">
      <c r="A5" s="9"/>
      <c r="B5" s="255"/>
      <c r="C5" s="255"/>
      <c r="D5" s="255"/>
      <c r="E5" s="255"/>
      <c r="F5" s="255"/>
      <c r="G5" s="255"/>
      <c r="H5" s="278"/>
      <c r="I5" s="278"/>
      <c r="J5" s="278"/>
      <c r="K5" s="10"/>
      <c r="L5" s="275"/>
      <c r="M5" s="275"/>
      <c r="N5" s="274"/>
      <c r="O5" s="274"/>
      <c r="P5" s="274"/>
      <c r="Q5" s="274"/>
    </row>
    <row r="6" spans="1:27" x14ac:dyDescent="0.25">
      <c r="A6" s="9"/>
      <c r="B6" s="255"/>
      <c r="C6" s="255"/>
      <c r="D6" s="255"/>
      <c r="E6" s="255"/>
      <c r="F6" s="255"/>
      <c r="G6" s="255"/>
      <c r="H6" s="278"/>
      <c r="I6" s="278"/>
      <c r="J6" s="278"/>
      <c r="K6" s="10"/>
      <c r="L6" s="275"/>
      <c r="M6" s="275"/>
      <c r="N6" s="274"/>
      <c r="O6" s="274"/>
      <c r="P6" s="274"/>
      <c r="Q6" s="274"/>
    </row>
    <row r="7" spans="1:27" x14ac:dyDescent="0.25">
      <c r="A7" s="9"/>
      <c r="B7" s="255"/>
      <c r="C7" s="255"/>
      <c r="D7" s="255"/>
      <c r="E7" s="255"/>
      <c r="F7" s="255"/>
      <c r="G7" s="255"/>
      <c r="H7" s="279"/>
      <c r="I7" s="279"/>
      <c r="J7" s="279"/>
      <c r="K7" s="10"/>
      <c r="L7" s="275"/>
      <c r="M7" s="275"/>
      <c r="N7" s="280" t="s">
        <v>173</v>
      </c>
      <c r="O7" s="280"/>
      <c r="P7" s="280"/>
      <c r="Q7" s="280"/>
    </row>
    <row r="8" spans="1:27" ht="36" customHeight="1" x14ac:dyDescent="0.25">
      <c r="A8" s="9"/>
      <c r="B8" s="255"/>
      <c r="C8" s="255"/>
      <c r="D8" s="255"/>
      <c r="E8" s="255"/>
      <c r="F8" s="255"/>
      <c r="G8" s="255"/>
      <c r="H8" s="278"/>
      <c r="I8" s="278"/>
      <c r="J8" s="278"/>
      <c r="K8" s="10"/>
      <c r="L8" s="275"/>
      <c r="M8" s="275"/>
      <c r="N8" s="274"/>
      <c r="O8" s="274"/>
      <c r="P8" s="274"/>
      <c r="Q8" s="274"/>
    </row>
    <row r="9" spans="1:27" ht="30.75" customHeight="1" x14ac:dyDescent="0.25">
      <c r="A9" s="9"/>
      <c r="B9" s="255"/>
      <c r="C9" s="255"/>
      <c r="D9" s="255"/>
      <c r="E9" s="255"/>
      <c r="F9" s="255"/>
      <c r="G9" s="255"/>
      <c r="H9" s="278"/>
      <c r="I9" s="278"/>
      <c r="J9" s="278"/>
      <c r="K9" s="10"/>
      <c r="L9" s="275"/>
      <c r="M9" s="275"/>
      <c r="N9" s="184"/>
      <c r="O9" s="14" t="s">
        <v>174</v>
      </c>
      <c r="P9" s="183"/>
      <c r="Q9" s="183"/>
    </row>
    <row r="10" spans="1:27" x14ac:dyDescent="0.25">
      <c r="A10" s="9"/>
      <c r="B10" s="180"/>
      <c r="C10" s="180"/>
      <c r="D10" s="180"/>
      <c r="E10" s="180"/>
      <c r="F10" s="180"/>
      <c r="G10" s="180"/>
      <c r="H10" s="185"/>
      <c r="I10" s="185"/>
      <c r="J10" s="185"/>
      <c r="K10" s="10"/>
      <c r="L10" s="184"/>
      <c r="M10" s="184"/>
      <c r="N10" s="183"/>
      <c r="O10" s="183"/>
      <c r="P10" s="183"/>
      <c r="Q10" s="183"/>
    </row>
    <row r="11" spans="1:27" x14ac:dyDescent="0.25">
      <c r="A11" s="9"/>
      <c r="B11" s="180"/>
      <c r="C11" s="180"/>
      <c r="D11" s="180"/>
      <c r="E11" s="180"/>
      <c r="F11" s="180"/>
      <c r="G11" s="180"/>
      <c r="H11" s="185"/>
      <c r="I11" s="185"/>
      <c r="J11" s="185"/>
      <c r="K11" s="10"/>
      <c r="L11" s="184"/>
      <c r="M11" s="184"/>
      <c r="N11" s="183"/>
      <c r="O11" s="183"/>
      <c r="P11" s="183"/>
      <c r="Q11" s="183"/>
    </row>
    <row r="12" spans="1:27" x14ac:dyDescent="0.25">
      <c r="A12" s="9"/>
      <c r="B12" s="5"/>
      <c r="C12" s="5"/>
      <c r="D12" s="5"/>
      <c r="E12" s="5"/>
      <c r="F12" s="5"/>
      <c r="G12" s="5"/>
      <c r="H12" s="11"/>
      <c r="I12" s="11"/>
      <c r="J12" s="12"/>
      <c r="K12" s="10"/>
      <c r="L12" s="275"/>
      <c r="M12" s="275"/>
      <c r="N12" s="274"/>
      <c r="O12" s="274"/>
      <c r="P12" s="274"/>
      <c r="Q12" s="274"/>
    </row>
    <row r="13" spans="1:27" x14ac:dyDescent="0.25">
      <c r="A13" s="9"/>
      <c r="B13" s="5"/>
      <c r="C13" s="5"/>
      <c r="D13" s="5"/>
      <c r="E13" s="5"/>
      <c r="F13" s="5"/>
      <c r="G13" s="5"/>
      <c r="H13" s="13"/>
      <c r="I13" s="13"/>
      <c r="J13" s="12"/>
      <c r="K13" s="10"/>
      <c r="L13" s="275"/>
      <c r="M13" s="275"/>
      <c r="N13" s="274"/>
      <c r="O13" s="274"/>
      <c r="P13" s="274"/>
      <c r="Q13" s="274"/>
    </row>
    <row r="14" spans="1:27" ht="13.5" customHeight="1" x14ac:dyDescent="0.25">
      <c r="A14" s="9"/>
      <c r="B14" s="281" t="s">
        <v>175</v>
      </c>
      <c r="C14" s="282"/>
      <c r="D14" s="282"/>
      <c r="E14" s="282"/>
      <c r="F14" s="282"/>
      <c r="G14" s="282"/>
      <c r="H14" s="282"/>
      <c r="I14" s="283" t="s">
        <v>46</v>
      </c>
      <c r="J14" s="283"/>
      <c r="K14" s="283"/>
      <c r="L14" s="283"/>
      <c r="M14" s="283"/>
      <c r="N14" s="9"/>
      <c r="O14" s="9"/>
      <c r="P14" s="9"/>
      <c r="Q14" s="9"/>
    </row>
    <row r="15" spans="1:27" ht="39.75" customHeight="1" x14ac:dyDescent="0.25">
      <c r="A15" s="9"/>
      <c r="B15" s="271" t="s">
        <v>133</v>
      </c>
      <c r="C15" s="271"/>
      <c r="D15" s="284" t="s">
        <v>134</v>
      </c>
      <c r="E15" s="285"/>
      <c r="F15" s="286" t="s">
        <v>176</v>
      </c>
      <c r="G15" s="287"/>
      <c r="H15" s="288" t="s">
        <v>177</v>
      </c>
      <c r="I15" s="289"/>
      <c r="J15" s="290" t="s">
        <v>178</v>
      </c>
      <c r="K15" s="291"/>
      <c r="L15" s="292" t="s">
        <v>179</v>
      </c>
      <c r="M15" s="293"/>
      <c r="N15" s="9"/>
      <c r="O15" s="9"/>
      <c r="P15" s="9"/>
      <c r="Q15" s="9"/>
      <c r="V15" s="255" t="s">
        <v>172</v>
      </c>
      <c r="W15" s="255"/>
      <c r="X15" s="255"/>
      <c r="Y15" s="255"/>
      <c r="Z15" s="255"/>
      <c r="AA15" s="255"/>
    </row>
    <row r="16" spans="1:27" x14ac:dyDescent="0.25">
      <c r="A16" s="9"/>
      <c r="B16" s="235" t="s">
        <v>180</v>
      </c>
      <c r="C16" s="298"/>
      <c r="D16" s="296">
        <f>0.2</f>
        <v>0.2</v>
      </c>
      <c r="E16" s="296"/>
      <c r="F16" s="296">
        <v>12</v>
      </c>
      <c r="G16" s="296"/>
      <c r="H16" s="297">
        <f>F16*D16</f>
        <v>2.4000000000000004</v>
      </c>
      <c r="I16" s="297"/>
      <c r="J16" s="296">
        <v>1</v>
      </c>
      <c r="K16" s="296"/>
      <c r="L16" s="297">
        <f>J16*H16</f>
        <v>2.4000000000000004</v>
      </c>
      <c r="M16" s="297"/>
      <c r="N16" s="9"/>
      <c r="O16" s="9"/>
      <c r="P16" s="9"/>
      <c r="Q16" s="9"/>
      <c r="V16" s="255"/>
      <c r="W16" s="255"/>
      <c r="X16" s="255"/>
      <c r="Y16" s="255"/>
      <c r="Z16" s="255"/>
      <c r="AA16" s="255"/>
    </row>
    <row r="17" spans="1:27" x14ac:dyDescent="0.25">
      <c r="A17" s="9"/>
      <c r="B17" s="294" t="s">
        <v>181</v>
      </c>
      <c r="C17" s="295"/>
      <c r="D17" s="296"/>
      <c r="E17" s="296"/>
      <c r="F17" s="296"/>
      <c r="G17" s="296"/>
      <c r="H17" s="297">
        <v>13</v>
      </c>
      <c r="I17" s="297"/>
      <c r="J17" s="296">
        <v>0.8</v>
      </c>
      <c r="K17" s="296"/>
      <c r="L17" s="297">
        <f t="shared" ref="L17:L19" si="0">J17*H17</f>
        <v>10.4</v>
      </c>
      <c r="M17" s="297"/>
      <c r="N17" s="9"/>
      <c r="O17" s="9"/>
      <c r="P17" s="9"/>
      <c r="Q17" s="9"/>
      <c r="V17" s="255"/>
      <c r="W17" s="255"/>
      <c r="X17" s="255"/>
      <c r="Y17" s="255"/>
      <c r="Z17" s="255"/>
      <c r="AA17" s="255"/>
    </row>
    <row r="18" spans="1:27" x14ac:dyDescent="0.25">
      <c r="A18" s="9"/>
      <c r="B18" s="301" t="s">
        <v>182</v>
      </c>
      <c r="C18" s="302"/>
      <c r="D18" s="296">
        <v>4</v>
      </c>
      <c r="E18" s="296"/>
      <c r="F18" s="296">
        <v>1</v>
      </c>
      <c r="G18" s="296"/>
      <c r="H18" s="297">
        <f t="shared" ref="H18:H19" si="1">F18*D18</f>
        <v>4</v>
      </c>
      <c r="I18" s="297"/>
      <c r="J18" s="296">
        <v>1</v>
      </c>
      <c r="K18" s="296"/>
      <c r="L18" s="297">
        <f t="shared" si="0"/>
        <v>4</v>
      </c>
      <c r="M18" s="297"/>
      <c r="N18" s="9"/>
      <c r="O18" s="9"/>
      <c r="P18" s="9"/>
      <c r="Q18" s="9"/>
      <c r="V18" s="255"/>
      <c r="W18" s="255"/>
      <c r="X18" s="255"/>
      <c r="Y18" s="255"/>
      <c r="Z18" s="255"/>
      <c r="AA18" s="255"/>
    </row>
    <row r="19" spans="1:27" x14ac:dyDescent="0.25">
      <c r="A19" s="9"/>
      <c r="B19" s="299" t="s">
        <v>183</v>
      </c>
      <c r="C19" s="300"/>
      <c r="D19" s="296">
        <f>0.9</f>
        <v>0.9</v>
      </c>
      <c r="E19" s="296"/>
      <c r="F19" s="296">
        <v>0.625</v>
      </c>
      <c r="G19" s="296"/>
      <c r="H19" s="297">
        <f t="shared" si="1"/>
        <v>0.5625</v>
      </c>
      <c r="I19" s="297"/>
      <c r="J19" s="296">
        <v>1</v>
      </c>
      <c r="K19" s="296"/>
      <c r="L19" s="297">
        <f t="shared" si="0"/>
        <v>0.5625</v>
      </c>
      <c r="M19" s="297"/>
      <c r="N19" s="9"/>
      <c r="O19" s="9"/>
      <c r="P19" s="9"/>
      <c r="Q19" s="9"/>
      <c r="V19" s="255"/>
      <c r="W19" s="255"/>
      <c r="X19" s="255"/>
      <c r="Y19" s="255"/>
      <c r="Z19" s="255"/>
      <c r="AA19" s="255"/>
    </row>
    <row r="20" spans="1:27" x14ac:dyDescent="0.25">
      <c r="A20" s="9"/>
      <c r="B20" s="304"/>
      <c r="C20" s="305"/>
      <c r="D20" s="306"/>
      <c r="E20" s="306"/>
      <c r="F20" s="306"/>
      <c r="G20" s="306"/>
      <c r="H20" s="307"/>
      <c r="I20" s="307"/>
      <c r="J20" s="306"/>
      <c r="K20" s="306"/>
      <c r="L20" s="307"/>
      <c r="M20" s="307"/>
      <c r="N20" s="9"/>
      <c r="O20" s="9"/>
      <c r="P20" s="9"/>
      <c r="Q20" s="9"/>
      <c r="V20" s="255"/>
      <c r="W20" s="255"/>
      <c r="X20" s="255"/>
      <c r="Y20" s="255"/>
      <c r="Z20" s="255"/>
      <c r="AA20" s="255"/>
    </row>
    <row r="21" spans="1:27" x14ac:dyDescent="0.25">
      <c r="A21" s="9"/>
      <c r="B21" s="260" t="s">
        <v>143</v>
      </c>
      <c r="C21" s="261"/>
      <c r="D21" s="303"/>
      <c r="E21" s="303"/>
      <c r="F21" s="303"/>
      <c r="G21" s="303"/>
      <c r="H21" s="303">
        <f>SUM(H16:I20)</f>
        <v>19.962499999999999</v>
      </c>
      <c r="I21" s="303"/>
      <c r="J21" s="303"/>
      <c r="K21" s="303"/>
      <c r="L21" s="303">
        <f>SUM(L16:M20)</f>
        <v>17.362500000000001</v>
      </c>
      <c r="M21" s="303"/>
      <c r="N21" s="9" t="s">
        <v>144</v>
      </c>
      <c r="O21" s="9"/>
      <c r="P21" s="9"/>
      <c r="Q21" s="9"/>
      <c r="V21" s="255"/>
      <c r="W21" s="255"/>
      <c r="X21" s="255"/>
      <c r="Y21" s="255"/>
      <c r="Z21" s="255"/>
      <c r="AA21" s="255"/>
    </row>
    <row r="22" spans="1:27" x14ac:dyDescent="0.25">
      <c r="A22" s="9"/>
      <c r="B22" s="30" t="s">
        <v>184</v>
      </c>
      <c r="C22" s="9"/>
      <c r="D22" s="9"/>
      <c r="E22" s="9"/>
      <c r="F22" s="9"/>
      <c r="G22" s="9"/>
      <c r="H22" s="14"/>
      <c r="I22" s="9"/>
      <c r="J22" s="9"/>
      <c r="K22" s="10"/>
      <c r="L22" s="31"/>
      <c r="M22" s="31"/>
      <c r="N22" s="31"/>
      <c r="O22" s="31"/>
      <c r="P22" s="31"/>
      <c r="Q22" s="31"/>
    </row>
    <row r="23" spans="1:27" x14ac:dyDescent="0.25">
      <c r="A23" s="9"/>
      <c r="B23" s="32" t="s">
        <v>185</v>
      </c>
      <c r="C23" s="9"/>
      <c r="D23" s="9"/>
      <c r="E23" s="9"/>
      <c r="F23" s="9"/>
      <c r="G23" s="9"/>
      <c r="H23" s="9"/>
      <c r="I23" s="9"/>
      <c r="J23" s="9"/>
      <c r="K23" s="10"/>
      <c r="L23" s="31"/>
      <c r="M23" s="31"/>
      <c r="N23" s="31"/>
      <c r="O23" s="31"/>
      <c r="P23" s="31"/>
      <c r="Q23" s="31"/>
    </row>
    <row r="24" spans="1:27" x14ac:dyDescent="0.25">
      <c r="A24" s="9"/>
      <c r="B24" s="32"/>
      <c r="C24" s="9"/>
      <c r="D24" s="9"/>
      <c r="E24" s="9"/>
      <c r="F24" s="9"/>
      <c r="G24" s="9"/>
      <c r="H24" s="9"/>
      <c r="I24" s="9"/>
      <c r="J24" s="9"/>
      <c r="K24" s="10"/>
      <c r="L24" s="31"/>
      <c r="M24" s="31"/>
      <c r="N24" s="31"/>
      <c r="O24" s="31"/>
      <c r="P24" s="31"/>
      <c r="Q24" s="31"/>
    </row>
    <row r="25" spans="1:27" x14ac:dyDescent="0.25">
      <c r="A25" s="9"/>
      <c r="B25" s="9"/>
      <c r="C25" s="9"/>
      <c r="D25" s="9"/>
      <c r="E25" s="9"/>
      <c r="F25" s="9"/>
      <c r="G25" s="9"/>
      <c r="H25" s="9"/>
      <c r="I25" s="9"/>
      <c r="J25" s="9"/>
      <c r="K25" s="10"/>
      <c r="L25" s="31"/>
      <c r="M25" s="31"/>
      <c r="N25" s="31"/>
      <c r="O25" s="31"/>
      <c r="P25" s="31"/>
      <c r="Q25" s="31"/>
    </row>
    <row r="26" spans="1:27" ht="14.25" customHeight="1" x14ac:dyDescent="0.25">
      <c r="A26" s="9"/>
      <c r="B26" s="281" t="s">
        <v>175</v>
      </c>
      <c r="C26" s="282"/>
      <c r="D26" s="282"/>
      <c r="E26" s="282"/>
      <c r="F26" s="282"/>
      <c r="G26" s="282"/>
      <c r="H26" s="282"/>
      <c r="I26" s="283" t="s">
        <v>51</v>
      </c>
      <c r="J26" s="283"/>
      <c r="K26" s="283"/>
      <c r="L26" s="283"/>
      <c r="M26" s="283"/>
      <c r="N26" s="9"/>
      <c r="O26" s="9"/>
      <c r="P26" s="31"/>
      <c r="Q26" s="31"/>
    </row>
    <row r="27" spans="1:27" ht="42.95" customHeight="1" x14ac:dyDescent="0.25">
      <c r="A27" s="9"/>
      <c r="B27" s="271" t="s">
        <v>133</v>
      </c>
      <c r="C27" s="271"/>
      <c r="D27" s="284" t="s">
        <v>134</v>
      </c>
      <c r="E27" s="285"/>
      <c r="F27" s="286" t="s">
        <v>176</v>
      </c>
      <c r="G27" s="287"/>
      <c r="H27" s="288" t="s">
        <v>177</v>
      </c>
      <c r="I27" s="289"/>
      <c r="J27" s="290" t="s">
        <v>178</v>
      </c>
      <c r="K27" s="291"/>
      <c r="L27" s="292" t="s">
        <v>179</v>
      </c>
      <c r="M27" s="293"/>
      <c r="N27" s="9"/>
      <c r="O27" s="9"/>
      <c r="P27" s="31"/>
      <c r="Q27" s="31"/>
    </row>
    <row r="28" spans="1:27" ht="14.25" customHeight="1" x14ac:dyDescent="0.25">
      <c r="A28" s="9"/>
      <c r="B28" s="301" t="s">
        <v>186</v>
      </c>
      <c r="C28" s="302"/>
      <c r="D28" s="296">
        <v>4</v>
      </c>
      <c r="E28" s="296"/>
      <c r="F28" s="296">
        <v>2</v>
      </c>
      <c r="G28" s="296"/>
      <c r="H28" s="297">
        <f t="shared" ref="H28" si="2">F28*D28</f>
        <v>8</v>
      </c>
      <c r="I28" s="297"/>
      <c r="J28" s="296">
        <v>1</v>
      </c>
      <c r="K28" s="296"/>
      <c r="L28" s="297">
        <f t="shared" ref="L28" si="3">J28*H28</f>
        <v>8</v>
      </c>
      <c r="M28" s="297"/>
      <c r="N28" s="9"/>
      <c r="O28" s="9"/>
      <c r="P28" s="31"/>
      <c r="Q28" s="31"/>
    </row>
    <row r="29" spans="1:27" x14ac:dyDescent="0.25">
      <c r="A29" s="9"/>
      <c r="B29" s="235" t="s">
        <v>180</v>
      </c>
      <c r="C29" s="298"/>
      <c r="D29" s="296">
        <f>0.2</f>
        <v>0.2</v>
      </c>
      <c r="E29" s="296"/>
      <c r="F29" s="296">
        <v>12</v>
      </c>
      <c r="G29" s="296"/>
      <c r="H29" s="297">
        <f>F29*D29</f>
        <v>2.4000000000000004</v>
      </c>
      <c r="I29" s="297"/>
      <c r="J29" s="296">
        <v>1</v>
      </c>
      <c r="K29" s="296"/>
      <c r="L29" s="297">
        <f>J29*H29</f>
        <v>2.4000000000000004</v>
      </c>
      <c r="M29" s="297"/>
      <c r="N29" s="9"/>
      <c r="O29" s="9"/>
      <c r="P29" s="31"/>
      <c r="Q29" s="31"/>
    </row>
    <row r="30" spans="1:27" x14ac:dyDescent="0.25">
      <c r="A30" s="9"/>
      <c r="B30" s="294" t="s">
        <v>181</v>
      </c>
      <c r="C30" s="295"/>
      <c r="D30" s="296"/>
      <c r="E30" s="296"/>
      <c r="F30" s="296"/>
      <c r="G30" s="296"/>
      <c r="H30" s="297">
        <v>11</v>
      </c>
      <c r="I30" s="297"/>
      <c r="J30" s="296">
        <v>0.85</v>
      </c>
      <c r="K30" s="296"/>
      <c r="L30" s="297">
        <f t="shared" ref="L30:L31" si="4">J30*H30</f>
        <v>9.35</v>
      </c>
      <c r="M30" s="297"/>
      <c r="N30" s="9"/>
      <c r="O30" s="9"/>
      <c r="P30" s="31"/>
      <c r="Q30" s="31"/>
    </row>
    <row r="31" spans="1:27" x14ac:dyDescent="0.25">
      <c r="A31" s="9"/>
      <c r="B31" s="299" t="s">
        <v>183</v>
      </c>
      <c r="C31" s="300"/>
      <c r="D31" s="296">
        <f>0.9</f>
        <v>0.9</v>
      </c>
      <c r="E31" s="296"/>
      <c r="F31" s="296">
        <v>0.625</v>
      </c>
      <c r="G31" s="296"/>
      <c r="H31" s="297">
        <f t="shared" ref="H31" si="5">F31*D31</f>
        <v>0.5625</v>
      </c>
      <c r="I31" s="297"/>
      <c r="J31" s="296">
        <v>1</v>
      </c>
      <c r="K31" s="296"/>
      <c r="L31" s="297">
        <f t="shared" si="4"/>
        <v>0.5625</v>
      </c>
      <c r="M31" s="297"/>
      <c r="N31" s="9"/>
      <c r="O31" s="9"/>
      <c r="P31" s="31"/>
      <c r="Q31" s="31"/>
    </row>
    <row r="32" spans="1:27" x14ac:dyDescent="0.25">
      <c r="A32" s="9"/>
      <c r="B32" s="304"/>
      <c r="C32" s="305"/>
      <c r="D32" s="306"/>
      <c r="E32" s="306"/>
      <c r="F32" s="306"/>
      <c r="G32" s="306"/>
      <c r="H32" s="307"/>
      <c r="I32" s="307"/>
      <c r="J32" s="306"/>
      <c r="K32" s="306"/>
      <c r="L32" s="307"/>
      <c r="M32" s="307"/>
      <c r="N32" s="9"/>
      <c r="O32" s="9"/>
      <c r="P32" s="31"/>
      <c r="Q32" s="31"/>
    </row>
    <row r="33" spans="1:17" x14ac:dyDescent="0.25">
      <c r="A33" s="9"/>
      <c r="B33" s="260" t="s">
        <v>143</v>
      </c>
      <c r="C33" s="261"/>
      <c r="D33" s="303"/>
      <c r="E33" s="303"/>
      <c r="F33" s="303"/>
      <c r="G33" s="303"/>
      <c r="H33" s="303">
        <f>SUM(H28:I32)</f>
        <v>21.962499999999999</v>
      </c>
      <c r="I33" s="303"/>
      <c r="J33" s="303"/>
      <c r="K33" s="303"/>
      <c r="L33" s="303">
        <f>SUM(L28:M32)</f>
        <v>20.3125</v>
      </c>
      <c r="M33" s="303"/>
      <c r="N33" s="9" t="s">
        <v>144</v>
      </c>
      <c r="O33" s="9"/>
      <c r="P33" s="31"/>
      <c r="Q33" s="31"/>
    </row>
    <row r="34" spans="1:17" x14ac:dyDescent="0.25">
      <c r="A34" s="9"/>
      <c r="B34" s="30" t="s">
        <v>184</v>
      </c>
      <c r="C34" s="9"/>
      <c r="D34" s="9"/>
      <c r="E34" s="9"/>
      <c r="F34" s="9"/>
      <c r="G34" s="9"/>
      <c r="H34" s="14"/>
      <c r="I34" s="9"/>
      <c r="J34" s="9"/>
      <c r="K34" s="10"/>
      <c r="L34" s="31"/>
      <c r="M34" s="31"/>
      <c r="N34" s="31"/>
      <c r="O34" s="31"/>
      <c r="P34" s="31"/>
      <c r="Q34" s="31"/>
    </row>
    <row r="35" spans="1:17" x14ac:dyDescent="0.25">
      <c r="A35" s="9"/>
      <c r="B35" s="32" t="s">
        <v>185</v>
      </c>
      <c r="C35" s="9"/>
      <c r="D35" s="9"/>
      <c r="E35" s="9"/>
      <c r="F35" s="9"/>
      <c r="G35" s="9"/>
      <c r="H35" s="9"/>
      <c r="I35" s="9"/>
      <c r="J35" s="9"/>
      <c r="K35" s="10"/>
      <c r="L35" s="31"/>
      <c r="M35" s="31"/>
      <c r="N35" s="31"/>
      <c r="O35" s="31"/>
      <c r="P35" s="31"/>
      <c r="Q35" s="31"/>
    </row>
    <row r="36" spans="1:17" x14ac:dyDescent="0.25">
      <c r="A36" s="9"/>
      <c r="B36" s="31"/>
      <c r="C36" s="31"/>
      <c r="D36" s="31"/>
      <c r="E36" s="31"/>
      <c r="F36" s="31"/>
      <c r="G36" s="31"/>
      <c r="H36" s="31"/>
      <c r="I36" s="31"/>
      <c r="J36" s="31"/>
      <c r="K36" s="31"/>
      <c r="L36" s="31"/>
      <c r="M36" s="31"/>
      <c r="N36" s="31"/>
      <c r="O36" s="31"/>
      <c r="P36" s="31"/>
      <c r="Q36" s="31"/>
    </row>
    <row r="37" spans="1:17" x14ac:dyDescent="0.25">
      <c r="A37" s="9"/>
      <c r="B37" s="31"/>
      <c r="C37" s="31"/>
      <c r="D37" s="31"/>
      <c r="E37" s="31"/>
      <c r="F37" s="31"/>
      <c r="G37" s="31"/>
      <c r="H37" s="31"/>
      <c r="I37" s="31"/>
      <c r="J37" s="31"/>
      <c r="K37" s="31"/>
      <c r="L37" s="31"/>
      <c r="M37" s="31"/>
      <c r="N37" s="31"/>
      <c r="O37" s="31"/>
      <c r="P37" s="31"/>
      <c r="Q37" s="31"/>
    </row>
    <row r="38" spans="1:17" ht="14.25" customHeight="1" x14ac:dyDescent="0.25">
      <c r="A38" s="9"/>
      <c r="B38" s="281" t="s">
        <v>175</v>
      </c>
      <c r="C38" s="282"/>
      <c r="D38" s="282"/>
      <c r="E38" s="282"/>
      <c r="F38" s="282"/>
      <c r="G38" s="282"/>
      <c r="H38" s="282"/>
      <c r="I38" s="283" t="s">
        <v>35</v>
      </c>
      <c r="J38" s="283"/>
      <c r="K38" s="283"/>
      <c r="L38" s="283"/>
      <c r="M38" s="283"/>
      <c r="N38" s="31"/>
      <c r="O38" s="31"/>
      <c r="P38" s="31"/>
      <c r="Q38" s="31"/>
    </row>
    <row r="39" spans="1:17" ht="42.4" customHeight="1" x14ac:dyDescent="0.25">
      <c r="A39" s="9"/>
      <c r="B39" s="271" t="s">
        <v>133</v>
      </c>
      <c r="C39" s="271"/>
      <c r="D39" s="284" t="s">
        <v>134</v>
      </c>
      <c r="E39" s="285"/>
      <c r="F39" s="286" t="s">
        <v>176</v>
      </c>
      <c r="G39" s="287"/>
      <c r="H39" s="288" t="s">
        <v>177</v>
      </c>
      <c r="I39" s="289"/>
      <c r="J39" s="290" t="s">
        <v>178</v>
      </c>
      <c r="K39" s="291"/>
      <c r="L39" s="292" t="s">
        <v>179</v>
      </c>
      <c r="M39" s="293"/>
      <c r="N39" s="31"/>
      <c r="O39" s="31"/>
      <c r="P39" s="31"/>
      <c r="Q39" s="31"/>
    </row>
    <row r="40" spans="1:17" ht="14.25" customHeight="1" x14ac:dyDescent="0.25">
      <c r="A40" s="9"/>
      <c r="B40" s="301" t="s">
        <v>187</v>
      </c>
      <c r="C40" s="302"/>
      <c r="D40" s="296">
        <v>4</v>
      </c>
      <c r="E40" s="296"/>
      <c r="F40" s="296">
        <v>4</v>
      </c>
      <c r="G40" s="296"/>
      <c r="H40" s="297">
        <f t="shared" ref="H40" si="6">F40*D40</f>
        <v>16</v>
      </c>
      <c r="I40" s="297"/>
      <c r="J40" s="296">
        <v>1</v>
      </c>
      <c r="K40" s="296"/>
      <c r="L40" s="297">
        <f t="shared" ref="L40:L43" si="7">J40*H40</f>
        <v>16</v>
      </c>
      <c r="M40" s="297"/>
      <c r="N40" s="31"/>
      <c r="O40" s="31"/>
      <c r="P40" s="31"/>
      <c r="Q40" s="31"/>
    </row>
    <row r="41" spans="1:17" ht="14.25" customHeight="1" x14ac:dyDescent="0.25">
      <c r="A41" s="9"/>
      <c r="B41" s="301" t="s">
        <v>188</v>
      </c>
      <c r="C41" s="302"/>
      <c r="D41" s="296"/>
      <c r="E41" s="296"/>
      <c r="F41" s="296"/>
      <c r="G41" s="296"/>
      <c r="H41" s="297">
        <v>0.94</v>
      </c>
      <c r="I41" s="297"/>
      <c r="J41" s="296">
        <v>1</v>
      </c>
      <c r="K41" s="296"/>
      <c r="L41" s="297">
        <f t="shared" si="7"/>
        <v>0.94</v>
      </c>
      <c r="M41" s="297"/>
      <c r="N41" s="31"/>
      <c r="O41" s="31"/>
      <c r="P41" s="31"/>
      <c r="Q41" s="31"/>
    </row>
    <row r="42" spans="1:17" x14ac:dyDescent="0.25">
      <c r="A42" s="9"/>
      <c r="B42" s="294" t="s">
        <v>189</v>
      </c>
      <c r="C42" s="295"/>
      <c r="D42" s="296"/>
      <c r="E42" s="296"/>
      <c r="F42" s="296"/>
      <c r="G42" s="296"/>
      <c r="H42" s="297">
        <v>38</v>
      </c>
      <c r="I42" s="297"/>
      <c r="J42" s="308">
        <v>0.75</v>
      </c>
      <c r="K42" s="308"/>
      <c r="L42" s="297">
        <f t="shared" si="7"/>
        <v>28.5</v>
      </c>
      <c r="M42" s="297"/>
      <c r="N42" s="31"/>
      <c r="O42" s="31"/>
      <c r="P42" s="31"/>
      <c r="Q42" s="31"/>
    </row>
    <row r="43" spans="1:17" x14ac:dyDescent="0.25">
      <c r="A43" s="9"/>
      <c r="B43" s="299" t="s">
        <v>183</v>
      </c>
      <c r="C43" s="300"/>
      <c r="D43" s="296">
        <f>0.9</f>
        <v>0.9</v>
      </c>
      <c r="E43" s="296"/>
      <c r="F43" s="296">
        <v>0.625</v>
      </c>
      <c r="G43" s="296"/>
      <c r="H43" s="297">
        <f t="shared" ref="H43" si="8">F43*D43</f>
        <v>0.5625</v>
      </c>
      <c r="I43" s="297"/>
      <c r="J43" s="296">
        <v>1</v>
      </c>
      <c r="K43" s="296"/>
      <c r="L43" s="297">
        <f t="shared" si="7"/>
        <v>0.5625</v>
      </c>
      <c r="M43" s="297"/>
      <c r="N43" s="31"/>
      <c r="O43" s="31"/>
      <c r="P43" s="31"/>
      <c r="Q43" s="31"/>
    </row>
    <row r="44" spans="1:17" x14ac:dyDescent="0.25">
      <c r="A44" s="9"/>
      <c r="B44" s="304"/>
      <c r="C44" s="305"/>
      <c r="D44" s="306"/>
      <c r="E44" s="306"/>
      <c r="F44" s="306"/>
      <c r="G44" s="306"/>
      <c r="H44" s="307"/>
      <c r="I44" s="307"/>
      <c r="J44" s="306"/>
      <c r="K44" s="306"/>
      <c r="L44" s="307"/>
      <c r="M44" s="307"/>
      <c r="N44" s="31"/>
      <c r="O44" s="31"/>
      <c r="P44" s="31"/>
      <c r="Q44" s="31"/>
    </row>
    <row r="45" spans="1:17" x14ac:dyDescent="0.25">
      <c r="A45" s="9"/>
      <c r="B45" s="260" t="s">
        <v>143</v>
      </c>
      <c r="C45" s="261"/>
      <c r="D45" s="303"/>
      <c r="E45" s="303"/>
      <c r="F45" s="303"/>
      <c r="G45" s="303"/>
      <c r="H45" s="303">
        <f>SUM(H40:I44)</f>
        <v>55.502499999999998</v>
      </c>
      <c r="I45" s="303"/>
      <c r="J45" s="303"/>
      <c r="K45" s="303"/>
      <c r="L45" s="303">
        <f>SUM(L40:M44)</f>
        <v>46.002499999999998</v>
      </c>
      <c r="M45" s="303"/>
      <c r="N45" s="9" t="s">
        <v>144</v>
      </c>
      <c r="O45" s="31"/>
      <c r="P45" s="31"/>
      <c r="Q45" s="31"/>
    </row>
    <row r="46" spans="1:17" x14ac:dyDescent="0.25">
      <c r="A46" s="9"/>
      <c r="B46" s="30" t="s">
        <v>184</v>
      </c>
      <c r="C46" s="9"/>
      <c r="D46" s="9"/>
      <c r="E46" s="9"/>
      <c r="F46" s="9"/>
      <c r="G46" s="9"/>
      <c r="H46" s="14"/>
      <c r="I46" s="9"/>
      <c r="J46" s="9"/>
      <c r="K46" s="10"/>
      <c r="L46" s="31"/>
      <c r="M46" s="31"/>
      <c r="N46" s="31"/>
      <c r="O46" s="31"/>
      <c r="P46" s="31"/>
      <c r="Q46" s="31"/>
    </row>
    <row r="47" spans="1:17" x14ac:dyDescent="0.25">
      <c r="A47" s="9"/>
      <c r="B47" s="32" t="s">
        <v>190</v>
      </c>
      <c r="C47" s="9"/>
      <c r="D47" s="9"/>
      <c r="E47" s="9"/>
      <c r="F47" s="9"/>
      <c r="G47" s="9"/>
      <c r="H47" s="9"/>
      <c r="I47" s="9"/>
      <c r="J47" s="9"/>
      <c r="K47" s="10"/>
      <c r="L47" s="31"/>
      <c r="M47" s="31"/>
      <c r="N47" s="31"/>
      <c r="O47" s="31"/>
      <c r="P47" s="31"/>
      <c r="Q47" s="31"/>
    </row>
  </sheetData>
  <mergeCells count="159">
    <mergeCell ref="V15:AA21"/>
    <mergeCell ref="B45:C45"/>
    <mergeCell ref="D45:E45"/>
    <mergeCell ref="F45:G45"/>
    <mergeCell ref="H45:I45"/>
    <mergeCell ref="J45:K45"/>
    <mergeCell ref="L45:M45"/>
    <mergeCell ref="B44:C44"/>
    <mergeCell ref="D44:E44"/>
    <mergeCell ref="F44:G44"/>
    <mergeCell ref="H44:I44"/>
    <mergeCell ref="J44:K44"/>
    <mergeCell ref="L44:M44"/>
    <mergeCell ref="B43:C43"/>
    <mergeCell ref="D43:E43"/>
    <mergeCell ref="F43:G43"/>
    <mergeCell ref="H43:I43"/>
    <mergeCell ref="J43:K43"/>
    <mergeCell ref="L43:M43"/>
    <mergeCell ref="B42:C42"/>
    <mergeCell ref="D42:E42"/>
    <mergeCell ref="F42:G42"/>
    <mergeCell ref="H42:I42"/>
    <mergeCell ref="J42:K42"/>
    <mergeCell ref="L42:M42"/>
    <mergeCell ref="B41:C41"/>
    <mergeCell ref="D41:E41"/>
    <mergeCell ref="F41:G41"/>
    <mergeCell ref="H41:I41"/>
    <mergeCell ref="J41:K41"/>
    <mergeCell ref="L41:M41"/>
    <mergeCell ref="B40:C40"/>
    <mergeCell ref="D40:E40"/>
    <mergeCell ref="F40:G40"/>
    <mergeCell ref="H40:I40"/>
    <mergeCell ref="J40:K40"/>
    <mergeCell ref="L40:M40"/>
    <mergeCell ref="B38:H38"/>
    <mergeCell ref="I38:M38"/>
    <mergeCell ref="B39:C39"/>
    <mergeCell ref="D39:E39"/>
    <mergeCell ref="F39:G39"/>
    <mergeCell ref="H39:I39"/>
    <mergeCell ref="J39:K39"/>
    <mergeCell ref="L39:M39"/>
    <mergeCell ref="B33:C33"/>
    <mergeCell ref="D33:E33"/>
    <mergeCell ref="F33:G33"/>
    <mergeCell ref="H33:I33"/>
    <mergeCell ref="J33:K33"/>
    <mergeCell ref="L33:M33"/>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B26:H26"/>
    <mergeCell ref="I26:M26"/>
    <mergeCell ref="B27:C27"/>
    <mergeCell ref="D27:E27"/>
    <mergeCell ref="F27:G27"/>
    <mergeCell ref="H27:I27"/>
    <mergeCell ref="J27:K27"/>
    <mergeCell ref="L27:M27"/>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B17:C17"/>
    <mergeCell ref="D17:E17"/>
    <mergeCell ref="F17:G17"/>
    <mergeCell ref="H17:I17"/>
    <mergeCell ref="J17:K17"/>
    <mergeCell ref="L17:M17"/>
    <mergeCell ref="B16:C16"/>
    <mergeCell ref="D16:E16"/>
    <mergeCell ref="F16:G16"/>
    <mergeCell ref="H16:I16"/>
    <mergeCell ref="J16:K16"/>
    <mergeCell ref="L16:M16"/>
    <mergeCell ref="L13:M13"/>
    <mergeCell ref="N13:Q13"/>
    <mergeCell ref="B14:H14"/>
    <mergeCell ref="I14:M14"/>
    <mergeCell ref="B15:C15"/>
    <mergeCell ref="D15:E15"/>
    <mergeCell ref="F15:G15"/>
    <mergeCell ref="H15:I15"/>
    <mergeCell ref="J15:K15"/>
    <mergeCell ref="L15:M15"/>
    <mergeCell ref="L12:M12"/>
    <mergeCell ref="N12:Q12"/>
    <mergeCell ref="H5:J6"/>
    <mergeCell ref="L5:M5"/>
    <mergeCell ref="N5:Q5"/>
    <mergeCell ref="L6:M6"/>
    <mergeCell ref="N6:Q6"/>
    <mergeCell ref="H7:J7"/>
    <mergeCell ref="L7:M7"/>
    <mergeCell ref="N7:Q7"/>
    <mergeCell ref="B1:Q1"/>
    <mergeCell ref="L2:Q2"/>
    <mergeCell ref="B3:G9"/>
    <mergeCell ref="H3:J3"/>
    <mergeCell ref="L3:M3"/>
    <mergeCell ref="N3:O3"/>
    <mergeCell ref="P3:Q3"/>
    <mergeCell ref="H4:J4"/>
    <mergeCell ref="L4:M4"/>
    <mergeCell ref="N4:Q4"/>
    <mergeCell ref="H8:J9"/>
    <mergeCell ref="L8:M8"/>
    <mergeCell ref="N8:Q8"/>
    <mergeCell ref="L9:M9"/>
  </mergeCells>
  <dataValidations count="2">
    <dataValidation type="list" allowBlank="1" showInputMessage="1" showErrorMessage="1" sqref="P3" xr:uid="{4E6A9481-D508-44BA-95CD-9DF90E116C8F}">
      <formula1>"Applicant, Revision 1, Revision 2, Final"</formula1>
    </dataValidation>
    <dataValidation type="list" allowBlank="1" showInputMessage="1" showErrorMessage="1" sqref="N12" xr:uid="{2C2D5B13-C946-439C-AA4D-0DB4A66D47A5}">
      <formula1>$B$49:$B$53</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E5D0-C329-4094-B042-7BF8F3776418}">
  <dimension ref="B1:N131"/>
  <sheetViews>
    <sheetView showGridLines="0" zoomScale="75" zoomScaleNormal="75" workbookViewId="0">
      <pane ySplit="4" topLeftCell="A27" activePane="bottomLeft" state="frozen"/>
      <selection pane="bottomLeft" activeCell="B96" sqref="B96"/>
    </sheetView>
  </sheetViews>
  <sheetFormatPr defaultRowHeight="15" customHeight="1" x14ac:dyDescent="0.25"/>
  <cols>
    <col min="2" max="2" width="73.85546875" bestFit="1" customWidth="1"/>
    <col min="3" max="3" width="17.5703125" bestFit="1" customWidth="1"/>
    <col min="4" max="4" width="23.28515625" customWidth="1"/>
    <col min="5" max="5" width="5.7109375" customWidth="1"/>
    <col min="6" max="6" width="21.140625" customWidth="1"/>
    <col min="7" max="7" width="24.140625" customWidth="1"/>
    <col min="8" max="8" width="6.5703125" customWidth="1"/>
    <col min="14" max="14" width="12.5703125" bestFit="1" customWidth="1"/>
  </cols>
  <sheetData>
    <row r="1" spans="2:14" ht="16.5" customHeight="1" x14ac:dyDescent="0.25"/>
    <row r="2" spans="2:14" ht="16.5" customHeight="1" x14ac:dyDescent="0.35">
      <c r="B2" s="130" t="s">
        <v>191</v>
      </c>
      <c r="C2" s="130"/>
    </row>
    <row r="3" spans="2:14" ht="16.5" customHeight="1" x14ac:dyDescent="0.25">
      <c r="D3" s="309" t="s">
        <v>192</v>
      </c>
      <c r="E3" s="310"/>
      <c r="F3" s="311"/>
      <c r="G3" s="57"/>
      <c r="H3" s="151"/>
    </row>
    <row r="4" spans="2:14" ht="37.5" customHeight="1" x14ac:dyDescent="0.25">
      <c r="B4" s="129" t="s">
        <v>193</v>
      </c>
      <c r="C4" s="135" t="s">
        <v>194</v>
      </c>
      <c r="D4" s="133" t="s">
        <v>195</v>
      </c>
      <c r="E4" s="131"/>
      <c r="F4" s="133" t="s">
        <v>195</v>
      </c>
    </row>
    <row r="5" spans="2:14" ht="20.45" customHeight="1" x14ac:dyDescent="0.25">
      <c r="B5" s="316" t="s">
        <v>196</v>
      </c>
      <c r="C5" s="317"/>
      <c r="D5" s="317"/>
      <c r="E5" s="318"/>
      <c r="F5" s="318"/>
    </row>
    <row r="6" spans="2:14" ht="15" customHeight="1" x14ac:dyDescent="0.25">
      <c r="B6" s="117" t="s">
        <v>197</v>
      </c>
      <c r="C6" s="118"/>
      <c r="D6" s="165">
        <f>(1/0.2)</f>
        <v>5</v>
      </c>
      <c r="E6" s="108" t="s">
        <v>198</v>
      </c>
      <c r="F6" s="108"/>
    </row>
    <row r="7" spans="2:14" ht="15" customHeight="1" x14ac:dyDescent="0.25">
      <c r="B7" s="117" t="s">
        <v>197</v>
      </c>
      <c r="C7" s="123">
        <v>3.5</v>
      </c>
      <c r="D7" s="165">
        <f>1/0.28</f>
        <v>3.5714285714285712</v>
      </c>
      <c r="E7" s="108" t="s">
        <v>198</v>
      </c>
      <c r="F7" s="107">
        <f>C7*D7</f>
        <v>12.5</v>
      </c>
      <c r="N7" s="39"/>
    </row>
    <row r="8" spans="2:14" ht="15" customHeight="1" x14ac:dyDescent="0.25">
      <c r="B8" s="117" t="s">
        <v>197</v>
      </c>
      <c r="C8" s="123">
        <v>3.625</v>
      </c>
      <c r="D8" s="165">
        <f>1/0.28</f>
        <v>3.5714285714285712</v>
      </c>
      <c r="E8" s="108" t="s">
        <v>198</v>
      </c>
      <c r="F8" s="107">
        <f t="shared" ref="F8:F19" si="0">C8*D8</f>
        <v>12.946428571428571</v>
      </c>
    </row>
    <row r="9" spans="2:14" ht="15" customHeight="1" x14ac:dyDescent="0.25">
      <c r="B9" s="117" t="s">
        <v>199</v>
      </c>
      <c r="C9" s="123">
        <v>3.5</v>
      </c>
      <c r="D9" s="165">
        <f>1/0.23</f>
        <v>4.3478260869565215</v>
      </c>
      <c r="E9" s="108" t="s">
        <v>198</v>
      </c>
      <c r="F9" s="107">
        <f t="shared" si="0"/>
        <v>15.217391304347824</v>
      </c>
    </row>
    <row r="10" spans="2:14" ht="15" customHeight="1" x14ac:dyDescent="0.25">
      <c r="B10" s="117" t="s">
        <v>197</v>
      </c>
      <c r="C10" s="123">
        <v>6.5</v>
      </c>
      <c r="D10" s="165">
        <v>3.5714285714285712</v>
      </c>
      <c r="E10" s="108" t="s">
        <v>198</v>
      </c>
      <c r="F10" s="107">
        <f t="shared" si="0"/>
        <v>23.214285714285712</v>
      </c>
    </row>
    <row r="11" spans="2:14" ht="15" customHeight="1" x14ac:dyDescent="0.25">
      <c r="B11" s="117" t="s">
        <v>199</v>
      </c>
      <c r="C11" s="123">
        <v>5.25</v>
      </c>
      <c r="D11" s="165">
        <v>4.3478260869565215</v>
      </c>
      <c r="E11" s="108" t="s">
        <v>198</v>
      </c>
      <c r="F11" s="107">
        <f t="shared" si="0"/>
        <v>22.826086956521738</v>
      </c>
    </row>
    <row r="12" spans="2:14" ht="15" customHeight="1" x14ac:dyDescent="0.25">
      <c r="B12" s="117" t="s">
        <v>197</v>
      </c>
      <c r="C12" s="123">
        <v>8</v>
      </c>
      <c r="D12" s="165">
        <v>3.5714285714285712</v>
      </c>
      <c r="E12" s="108" t="s">
        <v>198</v>
      </c>
      <c r="F12" s="107">
        <f t="shared" si="0"/>
        <v>28.571428571428569</v>
      </c>
    </row>
    <row r="13" spans="2:14" ht="15" customHeight="1" x14ac:dyDescent="0.25">
      <c r="B13" s="117" t="s">
        <v>199</v>
      </c>
      <c r="C13" s="123">
        <v>8</v>
      </c>
      <c r="D13" s="165">
        <v>4.3478260869565215</v>
      </c>
      <c r="E13" s="108" t="s">
        <v>198</v>
      </c>
      <c r="F13" s="107">
        <f t="shared" si="0"/>
        <v>34.782608695652172</v>
      </c>
    </row>
    <row r="14" spans="2:14" ht="15" customHeight="1" x14ac:dyDescent="0.25">
      <c r="B14" s="117" t="s">
        <v>197</v>
      </c>
      <c r="C14" s="123">
        <v>9.5</v>
      </c>
      <c r="D14" s="165">
        <v>3.5714285714285712</v>
      </c>
      <c r="E14" s="108" t="s">
        <v>198</v>
      </c>
      <c r="F14" s="107">
        <f t="shared" si="0"/>
        <v>33.928571428571423</v>
      </c>
    </row>
    <row r="15" spans="2:14" ht="15" customHeight="1" x14ac:dyDescent="0.25">
      <c r="B15" s="117" t="s">
        <v>197</v>
      </c>
      <c r="C15" s="123">
        <v>12</v>
      </c>
      <c r="D15" s="165">
        <v>3.5714285714285712</v>
      </c>
      <c r="E15" s="108" t="s">
        <v>198</v>
      </c>
      <c r="F15" s="107">
        <f t="shared" si="0"/>
        <v>42.857142857142854</v>
      </c>
    </row>
    <row r="16" spans="2:14" ht="15" customHeight="1" x14ac:dyDescent="0.25">
      <c r="B16" s="117" t="s">
        <v>200</v>
      </c>
      <c r="C16" s="136" t="s">
        <v>201</v>
      </c>
      <c r="D16" s="165">
        <f>1/0.37</f>
        <v>2.7027027027027026</v>
      </c>
      <c r="E16" s="108" t="s">
        <v>198</v>
      </c>
      <c r="F16" s="107">
        <f t="shared" si="0"/>
        <v>10.810810810810811</v>
      </c>
      <c r="G16" s="159"/>
      <c r="H16" s="39"/>
      <c r="I16" s="151"/>
    </row>
    <row r="17" spans="2:14" ht="15" customHeight="1" x14ac:dyDescent="0.25">
      <c r="B17" s="117" t="s">
        <v>202</v>
      </c>
      <c r="C17" s="136" t="s">
        <v>203</v>
      </c>
      <c r="D17" s="165">
        <f>1/0.37</f>
        <v>2.7027027027027026</v>
      </c>
      <c r="E17" s="108" t="s">
        <v>198</v>
      </c>
      <c r="F17" s="107">
        <f t="shared" si="0"/>
        <v>32.432432432432435</v>
      </c>
      <c r="G17" s="159"/>
      <c r="H17" s="39"/>
      <c r="I17" s="151"/>
    </row>
    <row r="18" spans="2:14" ht="15" customHeight="1" x14ac:dyDescent="0.25">
      <c r="B18" s="117" t="s">
        <v>204</v>
      </c>
      <c r="C18" s="136" t="s">
        <v>203</v>
      </c>
      <c r="D18" s="165">
        <f>1/0.35</f>
        <v>2.8571428571428572</v>
      </c>
      <c r="E18" s="108" t="s">
        <v>198</v>
      </c>
      <c r="F18" s="107">
        <f t="shared" si="0"/>
        <v>34.285714285714285</v>
      </c>
      <c r="G18" s="159"/>
      <c r="I18" s="151"/>
    </row>
    <row r="19" spans="2:14" ht="15" customHeight="1" x14ac:dyDescent="0.25">
      <c r="B19" s="117"/>
      <c r="C19" s="136" t="s">
        <v>205</v>
      </c>
      <c r="D19" s="165">
        <f>1/0.35</f>
        <v>2.8571428571428572</v>
      </c>
      <c r="E19" s="108" t="s">
        <v>198</v>
      </c>
      <c r="F19" s="107">
        <f t="shared" si="0"/>
        <v>62.857142857142861</v>
      </c>
      <c r="G19" s="159"/>
      <c r="I19" s="151"/>
    </row>
    <row r="20" spans="2:14" ht="15" customHeight="1" x14ac:dyDescent="0.25">
      <c r="B20" s="117" t="s">
        <v>206</v>
      </c>
      <c r="C20" s="123"/>
      <c r="D20" s="107">
        <f>1/0.245</f>
        <v>4.0816326530612246</v>
      </c>
      <c r="E20" s="166" t="s">
        <v>198</v>
      </c>
      <c r="F20" s="164"/>
      <c r="N20" s="39"/>
    </row>
    <row r="21" spans="2:14" ht="15" customHeight="1" x14ac:dyDescent="0.25">
      <c r="B21" s="117" t="s">
        <v>207</v>
      </c>
      <c r="C21" s="123"/>
      <c r="D21" s="107">
        <f>1/0.2</f>
        <v>5</v>
      </c>
      <c r="E21" s="120" t="s">
        <v>198</v>
      </c>
      <c r="F21" s="108"/>
      <c r="N21" s="39"/>
    </row>
    <row r="22" spans="2:14" ht="15" customHeight="1" x14ac:dyDescent="0.25">
      <c r="B22" s="117" t="s">
        <v>208</v>
      </c>
      <c r="C22" s="136" t="s">
        <v>209</v>
      </c>
      <c r="D22" s="107">
        <f>1/0.34</f>
        <v>2.9411764705882351</v>
      </c>
      <c r="E22" s="120" t="s">
        <v>198</v>
      </c>
      <c r="F22" s="107">
        <f>C22*D22</f>
        <v>10.294117647058822</v>
      </c>
      <c r="G22" s="159"/>
      <c r="H22" s="160"/>
      <c r="I22" s="151"/>
      <c r="N22" s="39"/>
    </row>
    <row r="23" spans="2:14" ht="15" customHeight="1" x14ac:dyDescent="0.25">
      <c r="B23" s="117" t="s">
        <v>210</v>
      </c>
      <c r="C23" s="136" t="s">
        <v>211</v>
      </c>
      <c r="D23" s="107">
        <f t="shared" ref="D23:D25" si="1">1/0.34</f>
        <v>2.9411764705882351</v>
      </c>
      <c r="E23" s="120" t="s">
        <v>198</v>
      </c>
      <c r="F23" s="107">
        <f t="shared" ref="F23:F25" si="2">C23*D23</f>
        <v>13.235294117647058</v>
      </c>
      <c r="G23" s="159"/>
      <c r="H23" s="160"/>
      <c r="I23" s="151"/>
      <c r="N23" s="39"/>
    </row>
    <row r="24" spans="2:14" ht="15" customHeight="1" x14ac:dyDescent="0.25">
      <c r="B24" s="117" t="s">
        <v>212</v>
      </c>
      <c r="C24" s="136" t="s">
        <v>213</v>
      </c>
      <c r="D24" s="107">
        <f t="shared" si="1"/>
        <v>2.9411764705882351</v>
      </c>
      <c r="E24" s="120" t="s">
        <v>198</v>
      </c>
      <c r="F24" s="107">
        <f t="shared" si="2"/>
        <v>14.705882352941176</v>
      </c>
      <c r="G24" s="159"/>
      <c r="H24" s="160"/>
      <c r="I24" s="151"/>
      <c r="N24" s="39"/>
    </row>
    <row r="25" spans="2:14" ht="15" customHeight="1" x14ac:dyDescent="0.25">
      <c r="B25" s="117" t="s">
        <v>214</v>
      </c>
      <c r="C25" s="136" t="s">
        <v>215</v>
      </c>
      <c r="D25" s="107">
        <f t="shared" si="1"/>
        <v>2.9411764705882351</v>
      </c>
      <c r="E25" s="120" t="s">
        <v>198</v>
      </c>
      <c r="F25" s="162">
        <f t="shared" si="2"/>
        <v>49.999999999999993</v>
      </c>
      <c r="G25" s="159"/>
      <c r="H25" s="160"/>
      <c r="I25" s="151"/>
      <c r="N25" s="39"/>
    </row>
    <row r="26" spans="2:14" ht="15" customHeight="1" x14ac:dyDescent="0.25">
      <c r="B26" s="117" t="s">
        <v>216</v>
      </c>
      <c r="C26" s="123"/>
      <c r="D26" s="107">
        <f>1/0.285</f>
        <v>3.5087719298245617</v>
      </c>
      <c r="E26" s="120" t="s">
        <v>198</v>
      </c>
      <c r="F26" s="108"/>
    </row>
    <row r="27" spans="2:14" ht="15" customHeight="1" x14ac:dyDescent="0.25">
      <c r="B27" s="117" t="s">
        <v>217</v>
      </c>
      <c r="C27" s="123" t="s">
        <v>218</v>
      </c>
      <c r="D27" s="107"/>
      <c r="E27" s="108"/>
      <c r="F27" s="161">
        <f>(1/0.315)*4</f>
        <v>12.698412698412698</v>
      </c>
    </row>
    <row r="28" spans="2:14" ht="15" customHeight="1" x14ac:dyDescent="0.25">
      <c r="B28" s="117" t="s">
        <v>217</v>
      </c>
      <c r="C28" s="123" t="s">
        <v>219</v>
      </c>
      <c r="D28" s="107"/>
      <c r="E28" s="108"/>
      <c r="F28" s="114">
        <f>(1/0.275)*4</f>
        <v>14.545454545454545</v>
      </c>
    </row>
    <row r="29" spans="2:14" ht="15" customHeight="1" x14ac:dyDescent="0.25">
      <c r="B29" s="117" t="s">
        <v>220</v>
      </c>
      <c r="C29" s="117"/>
      <c r="D29" s="107">
        <f>1/0.275</f>
        <v>3.6363636363636362</v>
      </c>
      <c r="E29" s="108" t="s">
        <v>198</v>
      </c>
      <c r="F29" s="113"/>
    </row>
    <row r="30" spans="2:14" ht="15" customHeight="1" x14ac:dyDescent="0.25">
      <c r="B30" s="117" t="s">
        <v>221</v>
      </c>
      <c r="C30" s="117"/>
      <c r="D30" s="107">
        <f>1/0.47</f>
        <v>2.1276595744680851</v>
      </c>
      <c r="E30" s="108" t="s">
        <v>198</v>
      </c>
      <c r="F30" s="113"/>
      <c r="N30" s="39"/>
    </row>
    <row r="31" spans="2:14" ht="15" customHeight="1" x14ac:dyDescent="0.25">
      <c r="B31" s="117" t="s">
        <v>222</v>
      </c>
      <c r="C31" s="117"/>
      <c r="D31" s="107">
        <f>1/1.4</f>
        <v>0.7142857142857143</v>
      </c>
      <c r="E31" s="108" t="s">
        <v>198</v>
      </c>
      <c r="F31" s="113"/>
      <c r="N31" s="39"/>
    </row>
    <row r="32" spans="2:14" ht="15" customHeight="1" x14ac:dyDescent="0.25">
      <c r="B32" s="117" t="s">
        <v>223</v>
      </c>
      <c r="C32" s="117"/>
      <c r="D32" s="107">
        <f>1/0.25</f>
        <v>4</v>
      </c>
      <c r="E32" s="108" t="s">
        <v>198</v>
      </c>
      <c r="F32" s="113"/>
    </row>
    <row r="33" spans="2:14" ht="15" customHeight="1" x14ac:dyDescent="0.25">
      <c r="B33" s="117" t="s">
        <v>224</v>
      </c>
      <c r="C33" s="117"/>
      <c r="D33" s="107">
        <f>1/0.23</f>
        <v>4.3478260869565215</v>
      </c>
      <c r="E33" s="108" t="s">
        <v>198</v>
      </c>
      <c r="F33" s="113"/>
    </row>
    <row r="34" spans="2:14" ht="15" customHeight="1" x14ac:dyDescent="0.25">
      <c r="B34" s="117" t="s">
        <v>225</v>
      </c>
      <c r="C34" s="117"/>
      <c r="D34" s="107">
        <f>1/0.24</f>
        <v>4.166666666666667</v>
      </c>
      <c r="E34" s="108" t="s">
        <v>198</v>
      </c>
      <c r="F34" s="113"/>
    </row>
    <row r="35" spans="2:14" ht="15" customHeight="1" x14ac:dyDescent="0.25">
      <c r="B35" s="117" t="s">
        <v>226</v>
      </c>
      <c r="C35" s="117"/>
      <c r="D35" s="107">
        <f>1/0.2</f>
        <v>5</v>
      </c>
      <c r="E35" s="108" t="s">
        <v>198</v>
      </c>
      <c r="F35" s="113"/>
    </row>
    <row r="36" spans="2:14" ht="15" customHeight="1" x14ac:dyDescent="0.25">
      <c r="B36" s="117" t="s">
        <v>227</v>
      </c>
      <c r="C36" s="117"/>
      <c r="D36" s="107">
        <f>1/0.275</f>
        <v>3.6363636363636362</v>
      </c>
      <c r="E36" s="108" t="s">
        <v>198</v>
      </c>
      <c r="F36" s="113"/>
    </row>
    <row r="37" spans="2:14" ht="15" customHeight="1" x14ac:dyDescent="0.25">
      <c r="B37" s="117" t="s">
        <v>228</v>
      </c>
      <c r="C37" s="117"/>
      <c r="D37" s="107">
        <f>1/0.17</f>
        <v>5.8823529411764701</v>
      </c>
      <c r="E37" s="108" t="s">
        <v>198</v>
      </c>
      <c r="F37" s="113"/>
    </row>
    <row r="38" spans="2:14" ht="15" customHeight="1" x14ac:dyDescent="0.25">
      <c r="B38" s="117" t="s">
        <v>229</v>
      </c>
      <c r="C38" s="138"/>
      <c r="D38" s="107">
        <f>1/0.165</f>
        <v>6.0606060606060606</v>
      </c>
      <c r="E38" s="108" t="s">
        <v>198</v>
      </c>
      <c r="F38" s="113"/>
      <c r="N38" s="39"/>
    </row>
    <row r="39" spans="2:14" ht="15" customHeight="1" x14ac:dyDescent="0.25">
      <c r="B39" s="137" t="s">
        <v>230</v>
      </c>
      <c r="C39" s="124"/>
      <c r="D39" s="134">
        <f>1/0.155</f>
        <v>6.4516129032258069</v>
      </c>
      <c r="E39" s="108" t="s">
        <v>198</v>
      </c>
      <c r="F39" s="132"/>
      <c r="N39" s="39"/>
    </row>
    <row r="40" spans="2:14" ht="15" customHeight="1" x14ac:dyDescent="0.25">
      <c r="B40" s="319" t="s">
        <v>231</v>
      </c>
      <c r="C40" s="315"/>
      <c r="D40" s="313"/>
      <c r="E40" s="313"/>
      <c r="F40" s="314"/>
      <c r="N40" s="39"/>
    </row>
    <row r="41" spans="2:14" ht="15" customHeight="1" x14ac:dyDescent="0.25">
      <c r="B41" s="124" t="s">
        <v>232</v>
      </c>
      <c r="C41" s="126">
        <v>4</v>
      </c>
      <c r="D41" s="42">
        <f>1.28/8</f>
        <v>0.16</v>
      </c>
      <c r="E41" s="42" t="s">
        <v>198</v>
      </c>
      <c r="F41" s="42">
        <f>D41*C41</f>
        <v>0.64</v>
      </c>
    </row>
    <row r="42" spans="2:14" ht="15" customHeight="1" x14ac:dyDescent="0.25">
      <c r="B42" s="124" t="s">
        <v>232</v>
      </c>
      <c r="C42" s="126">
        <v>8</v>
      </c>
      <c r="D42" s="42">
        <f>1.1/8</f>
        <v>0.13750000000000001</v>
      </c>
      <c r="E42" s="119" t="s">
        <v>198</v>
      </c>
      <c r="F42" s="119">
        <f>D42*C42</f>
        <v>1.1000000000000001</v>
      </c>
    </row>
    <row r="43" spans="2:14" ht="15" customHeight="1" x14ac:dyDescent="0.25">
      <c r="B43" s="124" t="s">
        <v>232</v>
      </c>
      <c r="C43" s="126">
        <v>12</v>
      </c>
      <c r="D43" s="42">
        <f>1.23/12</f>
        <v>0.10249999999999999</v>
      </c>
      <c r="E43" s="113" t="s">
        <v>198</v>
      </c>
      <c r="F43" s="119">
        <f>D43*C43</f>
        <v>1.23</v>
      </c>
    </row>
    <row r="44" spans="2:14" ht="15" customHeight="1" x14ac:dyDescent="0.25">
      <c r="B44" s="42" t="s">
        <v>233</v>
      </c>
      <c r="C44" s="42"/>
      <c r="D44" s="42">
        <v>0.2</v>
      </c>
      <c r="E44" s="113" t="s">
        <v>198</v>
      </c>
      <c r="F44" s="113">
        <f>D44*4</f>
        <v>0.8</v>
      </c>
    </row>
    <row r="45" spans="2:14" ht="15" customHeight="1" x14ac:dyDescent="0.25">
      <c r="B45" s="42" t="s">
        <v>234</v>
      </c>
      <c r="C45" s="42"/>
      <c r="D45" s="42"/>
      <c r="E45" s="113"/>
      <c r="F45" s="113"/>
    </row>
    <row r="46" spans="2:14" ht="15" customHeight="1" x14ac:dyDescent="0.25">
      <c r="B46" s="42" t="s">
        <v>235</v>
      </c>
      <c r="C46" s="42"/>
      <c r="D46" s="42">
        <v>7.4999999999999997E-2</v>
      </c>
      <c r="E46" s="113" t="s">
        <v>198</v>
      </c>
      <c r="F46" s="113"/>
    </row>
    <row r="47" spans="2:14" ht="15" customHeight="1" x14ac:dyDescent="0.25">
      <c r="B47" s="42" t="s">
        <v>236</v>
      </c>
      <c r="C47" s="42"/>
      <c r="D47" s="125">
        <f>1/0.85</f>
        <v>1.1764705882352942</v>
      </c>
      <c r="E47" s="113" t="s">
        <v>198</v>
      </c>
      <c r="F47" s="113"/>
    </row>
    <row r="48" spans="2:14" ht="15" customHeight="1" x14ac:dyDescent="0.25">
      <c r="B48" s="42" t="s">
        <v>236</v>
      </c>
      <c r="C48" s="127">
        <v>1.5</v>
      </c>
      <c r="D48" s="42"/>
      <c r="E48" s="113"/>
      <c r="F48" s="114">
        <f>D47*1.5</f>
        <v>1.7647058823529411</v>
      </c>
    </row>
    <row r="49" spans="2:6" ht="15" customHeight="1" x14ac:dyDescent="0.25">
      <c r="B49" s="42" t="s">
        <v>236</v>
      </c>
      <c r="C49" s="127">
        <v>3.5</v>
      </c>
      <c r="D49" s="42"/>
      <c r="E49" s="113"/>
      <c r="F49" s="114">
        <f>D47*3.5</f>
        <v>4.1176470588235299</v>
      </c>
    </row>
    <row r="50" spans="2:6" ht="15" customHeight="1" x14ac:dyDescent="0.25">
      <c r="B50" s="42" t="s">
        <v>236</v>
      </c>
      <c r="C50" s="127">
        <v>5.5</v>
      </c>
      <c r="D50" s="42"/>
      <c r="E50" s="113"/>
      <c r="F50" s="114">
        <f>D47*5.5</f>
        <v>6.4705882352941178</v>
      </c>
    </row>
    <row r="51" spans="2:6" ht="15" customHeight="1" x14ac:dyDescent="0.25">
      <c r="B51" s="42" t="s">
        <v>237</v>
      </c>
      <c r="C51" s="42"/>
      <c r="D51" s="125"/>
      <c r="E51" s="113"/>
      <c r="F51" s="113"/>
    </row>
    <row r="52" spans="2:6" ht="15" customHeight="1" x14ac:dyDescent="0.25">
      <c r="B52" s="320" t="s">
        <v>238</v>
      </c>
      <c r="C52" s="321"/>
      <c r="D52" s="321"/>
      <c r="E52" s="322"/>
      <c r="F52" s="323"/>
    </row>
    <row r="53" spans="2:6" ht="15" customHeight="1" x14ac:dyDescent="0.25">
      <c r="B53" s="148" t="s">
        <v>239</v>
      </c>
      <c r="C53" s="108"/>
      <c r="D53" s="108">
        <v>1</v>
      </c>
      <c r="E53" s="108" t="s">
        <v>198</v>
      </c>
      <c r="F53" s="113"/>
    </row>
    <row r="54" spans="2:6" ht="15" customHeight="1" x14ac:dyDescent="0.25">
      <c r="B54" s="148" t="s">
        <v>239</v>
      </c>
      <c r="C54" s="127">
        <v>0.25</v>
      </c>
      <c r="D54" s="108">
        <v>1</v>
      </c>
      <c r="E54" s="108" t="s">
        <v>198</v>
      </c>
      <c r="F54" s="113">
        <f>C54*D54</f>
        <v>0.25</v>
      </c>
    </row>
    <row r="55" spans="2:6" ht="15" customHeight="1" x14ac:dyDescent="0.25">
      <c r="B55" s="148" t="s">
        <v>239</v>
      </c>
      <c r="C55" s="127">
        <v>0.375</v>
      </c>
      <c r="D55" s="108">
        <v>1</v>
      </c>
      <c r="E55" s="108" t="s">
        <v>198</v>
      </c>
      <c r="F55" s="113">
        <f>C55*D55</f>
        <v>0.375</v>
      </c>
    </row>
    <row r="56" spans="2:6" ht="15" customHeight="1" x14ac:dyDescent="0.25">
      <c r="B56" s="148" t="s">
        <v>239</v>
      </c>
      <c r="C56" s="127">
        <v>0.5</v>
      </c>
      <c r="D56" s="108">
        <v>1</v>
      </c>
      <c r="E56" s="108" t="s">
        <v>198</v>
      </c>
      <c r="F56" s="113">
        <f>C56*D56</f>
        <v>0.5</v>
      </c>
    </row>
    <row r="57" spans="2:6" ht="15" customHeight="1" x14ac:dyDescent="0.25">
      <c r="B57" s="148" t="s">
        <v>239</v>
      </c>
      <c r="C57" s="127">
        <v>0.625</v>
      </c>
      <c r="D57" s="108">
        <v>1</v>
      </c>
      <c r="E57" s="108" t="s">
        <v>198</v>
      </c>
      <c r="F57" s="113">
        <f>C57*D57</f>
        <v>0.625</v>
      </c>
    </row>
    <row r="58" spans="2:6" ht="15" customHeight="1" x14ac:dyDescent="0.25">
      <c r="B58" s="145" t="s">
        <v>239</v>
      </c>
      <c r="C58" s="127">
        <v>0.75</v>
      </c>
      <c r="D58" s="108">
        <v>1</v>
      </c>
      <c r="E58" s="108" t="s">
        <v>198</v>
      </c>
      <c r="F58" s="113">
        <f>C58*D58</f>
        <v>0.75</v>
      </c>
    </row>
    <row r="59" spans="2:6" ht="15" customHeight="1" x14ac:dyDescent="0.25">
      <c r="B59" s="149" t="s">
        <v>240</v>
      </c>
      <c r="C59" s="123">
        <v>0.5</v>
      </c>
      <c r="D59" s="108"/>
      <c r="E59" s="108"/>
      <c r="F59" s="113"/>
    </row>
    <row r="60" spans="2:6" ht="15" customHeight="1" x14ac:dyDescent="0.25">
      <c r="B60" s="149" t="s">
        <v>240</v>
      </c>
      <c r="C60" s="143">
        <v>0.78125</v>
      </c>
      <c r="D60" s="108"/>
      <c r="E60" s="108"/>
      <c r="F60" s="113"/>
    </row>
    <row r="61" spans="2:6" ht="15" customHeight="1" x14ac:dyDescent="0.25">
      <c r="B61" s="121" t="s">
        <v>241</v>
      </c>
      <c r="C61" s="145"/>
      <c r="D61" s="113"/>
      <c r="E61" s="108"/>
      <c r="F61" s="113">
        <f>1/0.24*3/4</f>
        <v>3.125</v>
      </c>
    </row>
    <row r="62" spans="2:6" ht="15" customHeight="1" x14ac:dyDescent="0.25">
      <c r="B62" s="121" t="s">
        <v>241</v>
      </c>
      <c r="C62" s="144">
        <v>0.75</v>
      </c>
      <c r="D62" s="107">
        <f>1/0.24</f>
        <v>4.166666666666667</v>
      </c>
      <c r="E62" s="108"/>
      <c r="F62" s="113">
        <f>D62*C62</f>
        <v>3.125</v>
      </c>
    </row>
    <row r="63" spans="2:6" ht="15" customHeight="1" x14ac:dyDescent="0.25">
      <c r="B63" s="121" t="s">
        <v>241</v>
      </c>
      <c r="C63" s="123">
        <v>1</v>
      </c>
      <c r="D63" s="107">
        <f>1/0.24</f>
        <v>4.166666666666667</v>
      </c>
      <c r="E63" s="108" t="s">
        <v>198</v>
      </c>
      <c r="F63" s="142">
        <f>D63*C63</f>
        <v>4.166666666666667</v>
      </c>
    </row>
    <row r="64" spans="2:6" ht="15" customHeight="1" x14ac:dyDescent="0.25">
      <c r="B64" s="121" t="s">
        <v>241</v>
      </c>
      <c r="C64" s="123">
        <v>1.5</v>
      </c>
      <c r="D64" s="107">
        <f>1/0.24</f>
        <v>4.166666666666667</v>
      </c>
      <c r="E64" s="108"/>
      <c r="F64" s="113">
        <f>D64*C64</f>
        <v>6.25</v>
      </c>
    </row>
    <row r="65" spans="2:6" ht="15" customHeight="1" x14ac:dyDescent="0.25">
      <c r="B65" s="117" t="s">
        <v>226</v>
      </c>
      <c r="C65" s="117"/>
      <c r="D65" s="108"/>
      <c r="E65" s="108"/>
      <c r="F65" s="114">
        <f>1/0.19*3/4</f>
        <v>3.9473684210526319</v>
      </c>
    </row>
    <row r="66" spans="2:6" ht="15" customHeight="1" x14ac:dyDescent="0.25">
      <c r="B66" s="117" t="s">
        <v>226</v>
      </c>
      <c r="C66" s="123">
        <v>0.75</v>
      </c>
      <c r="D66" s="107">
        <f>1/0.19</f>
        <v>5.2631578947368425</v>
      </c>
      <c r="E66" s="108" t="s">
        <v>198</v>
      </c>
      <c r="F66" s="113"/>
    </row>
    <row r="67" spans="2:6" ht="15" customHeight="1" x14ac:dyDescent="0.25">
      <c r="B67" s="117" t="s">
        <v>226</v>
      </c>
      <c r="C67" s="123">
        <v>1</v>
      </c>
      <c r="D67" s="107">
        <f>1/0.19</f>
        <v>5.2631578947368425</v>
      </c>
      <c r="E67" s="108"/>
      <c r="F67" s="114">
        <f>1/0.19*1.5</f>
        <v>7.8947368421052637</v>
      </c>
    </row>
    <row r="68" spans="2:6" ht="15" customHeight="1" x14ac:dyDescent="0.25">
      <c r="B68" s="117" t="s">
        <v>226</v>
      </c>
      <c r="C68" s="123">
        <v>1.5</v>
      </c>
      <c r="D68" s="108"/>
      <c r="E68" s="108"/>
      <c r="F68" s="114"/>
    </row>
    <row r="69" spans="2:6" ht="15" customHeight="1" x14ac:dyDescent="0.25">
      <c r="B69" s="117" t="s">
        <v>242</v>
      </c>
      <c r="C69" s="117"/>
      <c r="D69" s="108"/>
      <c r="E69" s="108"/>
      <c r="F69" s="114">
        <f>1/0.155*3/4</f>
        <v>4.838709677419355</v>
      </c>
    </row>
    <row r="70" spans="2:6" ht="15" customHeight="1" x14ac:dyDescent="0.25">
      <c r="B70" s="117" t="s">
        <v>242</v>
      </c>
      <c r="C70" s="123">
        <v>0.75</v>
      </c>
      <c r="D70" s="107"/>
      <c r="E70" s="108"/>
      <c r="F70" s="113"/>
    </row>
    <row r="71" spans="2:6" ht="15" customHeight="1" x14ac:dyDescent="0.25">
      <c r="B71" s="117" t="s">
        <v>242</v>
      </c>
      <c r="C71" s="128">
        <v>1</v>
      </c>
      <c r="D71" s="107">
        <f>1/0.155</f>
        <v>6.4516129032258069</v>
      </c>
      <c r="E71" s="108" t="s">
        <v>198</v>
      </c>
      <c r="F71" s="113"/>
    </row>
    <row r="72" spans="2:6" ht="15" customHeight="1" x14ac:dyDescent="0.25">
      <c r="B72" s="117" t="s">
        <v>242</v>
      </c>
      <c r="C72" s="128">
        <v>1.5</v>
      </c>
      <c r="D72" s="108"/>
      <c r="E72" s="108"/>
      <c r="F72" s="114">
        <f>1/0.155*1.5</f>
        <v>9.67741935483871</v>
      </c>
    </row>
    <row r="73" spans="2:6" ht="15" customHeight="1" x14ac:dyDescent="0.25">
      <c r="B73" s="324" t="s">
        <v>243</v>
      </c>
      <c r="C73" s="322"/>
      <c r="D73" s="322"/>
      <c r="E73" s="322"/>
      <c r="F73" s="323"/>
    </row>
    <row r="74" spans="2:6" ht="15" customHeight="1" x14ac:dyDescent="0.25">
      <c r="B74" s="117" t="s">
        <v>244</v>
      </c>
      <c r="C74" s="136">
        <v>0.5</v>
      </c>
      <c r="D74" s="108"/>
      <c r="E74" s="108"/>
      <c r="F74" s="114">
        <f>1/0.75*0.5</f>
        <v>0.66666666666666663</v>
      </c>
    </row>
    <row r="75" spans="2:6" ht="15" customHeight="1" x14ac:dyDescent="0.25">
      <c r="B75" s="117" t="s">
        <v>239</v>
      </c>
      <c r="C75" s="136">
        <v>0.625</v>
      </c>
      <c r="D75" s="108"/>
      <c r="E75" s="108"/>
      <c r="F75" s="113">
        <f>1.08/3*4*5/8</f>
        <v>0.90000000000000013</v>
      </c>
    </row>
    <row r="76" spans="2:6" ht="15" customHeight="1" x14ac:dyDescent="0.25">
      <c r="B76" s="108" t="s">
        <v>239</v>
      </c>
      <c r="C76" s="146">
        <v>0.75</v>
      </c>
      <c r="D76" s="108"/>
      <c r="E76" s="108"/>
      <c r="F76" s="113">
        <v>1.08</v>
      </c>
    </row>
    <row r="77" spans="2:6" ht="15" customHeight="1" x14ac:dyDescent="0.25">
      <c r="B77" s="117" t="s">
        <v>245</v>
      </c>
      <c r="C77" s="117"/>
      <c r="D77" s="108">
        <f>0.8*2</f>
        <v>1.6</v>
      </c>
      <c r="E77" s="108" t="s">
        <v>198</v>
      </c>
      <c r="F77" s="113"/>
    </row>
    <row r="78" spans="2:6" ht="15" customHeight="1" x14ac:dyDescent="0.25">
      <c r="B78" s="117" t="s">
        <v>246</v>
      </c>
      <c r="C78" s="117"/>
      <c r="D78" s="325">
        <v>0.62</v>
      </c>
      <c r="E78" s="326" t="s">
        <v>198</v>
      </c>
      <c r="F78" s="327"/>
    </row>
    <row r="79" spans="2:6" ht="15" customHeight="1" x14ac:dyDescent="0.25">
      <c r="B79" s="128" t="s">
        <v>247</v>
      </c>
      <c r="C79" s="128"/>
      <c r="D79" s="325"/>
      <c r="E79" s="326"/>
      <c r="F79" s="328"/>
    </row>
    <row r="80" spans="2:6" ht="15" customHeight="1" x14ac:dyDescent="0.25">
      <c r="B80" s="108" t="s">
        <v>248</v>
      </c>
      <c r="C80" s="128">
        <v>4</v>
      </c>
      <c r="D80" s="108"/>
      <c r="E80" s="108"/>
      <c r="F80" s="113">
        <f>((1.82-D78)*4/3)+D78</f>
        <v>2.2200000000000002</v>
      </c>
    </row>
    <row r="81" spans="2:10" ht="15" customHeight="1" x14ac:dyDescent="0.25">
      <c r="B81" s="324" t="s">
        <v>249</v>
      </c>
      <c r="C81" s="322"/>
      <c r="D81" s="322"/>
      <c r="E81" s="322"/>
      <c r="F81" s="323"/>
    </row>
    <row r="82" spans="2:10" ht="15" customHeight="1" x14ac:dyDescent="0.25">
      <c r="B82" s="148" t="s">
        <v>250</v>
      </c>
      <c r="C82" s="108"/>
      <c r="D82" s="108">
        <v>0.9</v>
      </c>
      <c r="E82" s="108" t="s">
        <v>198</v>
      </c>
      <c r="F82" s="113"/>
    </row>
    <row r="83" spans="2:10" ht="15" customHeight="1" x14ac:dyDescent="0.25">
      <c r="B83" s="117" t="s">
        <v>250</v>
      </c>
      <c r="C83" s="123">
        <v>0.5</v>
      </c>
      <c r="D83" s="108"/>
      <c r="E83" s="108"/>
      <c r="F83" s="114">
        <f>1/1.1/2</f>
        <v>0.45454545454545453</v>
      </c>
    </row>
    <row r="84" spans="2:10" ht="15" customHeight="1" x14ac:dyDescent="0.25">
      <c r="B84" s="117" t="s">
        <v>250</v>
      </c>
      <c r="C84" s="123">
        <v>0.625</v>
      </c>
      <c r="D84" s="108"/>
      <c r="E84" s="108"/>
      <c r="F84" s="114">
        <f>1/1.1/8*5</f>
        <v>0.56818181818181812</v>
      </c>
    </row>
    <row r="85" spans="2:10" ht="15" customHeight="1" x14ac:dyDescent="0.25">
      <c r="B85" s="108" t="s">
        <v>251</v>
      </c>
      <c r="C85" s="128">
        <v>0.375</v>
      </c>
      <c r="D85" s="108"/>
      <c r="E85" s="108"/>
      <c r="F85" s="113"/>
    </row>
    <row r="86" spans="2:10" ht="60" x14ac:dyDescent="0.25">
      <c r="B86" s="324" t="s">
        <v>252</v>
      </c>
      <c r="C86" s="313"/>
      <c r="D86" s="313"/>
      <c r="E86" s="322"/>
      <c r="F86" s="322"/>
      <c r="G86" s="174" t="s">
        <v>253</v>
      </c>
      <c r="J86" s="151"/>
    </row>
    <row r="87" spans="2:10" ht="15" customHeight="1" x14ac:dyDescent="0.25">
      <c r="B87" s="120" t="s">
        <v>254</v>
      </c>
      <c r="C87" s="163">
        <v>0.125</v>
      </c>
      <c r="D87" s="108"/>
      <c r="E87" s="113"/>
      <c r="F87" s="139">
        <f>1/G87</f>
        <v>0.81300813008130079</v>
      </c>
      <c r="G87" s="108">
        <v>1.23</v>
      </c>
    </row>
    <row r="88" spans="2:10" ht="15" customHeight="1" x14ac:dyDescent="0.25">
      <c r="B88" s="120" t="s">
        <v>255</v>
      </c>
      <c r="C88" s="163">
        <v>0.125</v>
      </c>
      <c r="D88" s="108"/>
      <c r="E88" s="113"/>
      <c r="F88" s="139">
        <f t="shared" ref="F88" si="3">1/G88</f>
        <v>0.89285714285714279</v>
      </c>
      <c r="G88" s="108">
        <v>1.1200000000000001</v>
      </c>
    </row>
    <row r="89" spans="2:10" ht="15" customHeight="1" x14ac:dyDescent="0.25">
      <c r="B89" s="118" t="s">
        <v>256</v>
      </c>
      <c r="C89" s="150"/>
      <c r="D89" s="164"/>
      <c r="E89" s="108"/>
      <c r="F89" s="134"/>
      <c r="G89" s="108"/>
    </row>
    <row r="90" spans="2:10" ht="15" customHeight="1" x14ac:dyDescent="0.25">
      <c r="B90" s="108" t="s">
        <v>257</v>
      </c>
      <c r="C90" s="108"/>
      <c r="D90" s="107"/>
      <c r="E90" s="120"/>
      <c r="F90" s="107"/>
      <c r="G90" s="113"/>
    </row>
    <row r="91" spans="2:10" ht="15" customHeight="1" x14ac:dyDescent="0.25">
      <c r="B91" s="108" t="s">
        <v>258</v>
      </c>
      <c r="C91" s="123">
        <v>0.1875</v>
      </c>
      <c r="D91" s="107"/>
      <c r="E91" s="120"/>
      <c r="F91" s="107"/>
      <c r="G91" s="113"/>
    </row>
    <row r="92" spans="2:10" ht="15" customHeight="1" x14ac:dyDescent="0.25">
      <c r="B92" s="108" t="s">
        <v>259</v>
      </c>
      <c r="C92" s="123">
        <v>0.25</v>
      </c>
      <c r="D92" s="108"/>
      <c r="E92" s="108"/>
      <c r="F92" s="140">
        <f>1/G92</f>
        <v>1.2345679012345678</v>
      </c>
      <c r="G92" s="108">
        <v>0.81</v>
      </c>
    </row>
    <row r="93" spans="2:10" ht="15" customHeight="1" x14ac:dyDescent="0.25">
      <c r="B93" s="108" t="s">
        <v>260</v>
      </c>
      <c r="C93" s="123">
        <v>0.25</v>
      </c>
      <c r="D93" s="108"/>
      <c r="E93" s="108"/>
      <c r="F93" s="140">
        <f t="shared" ref="F93:F95" si="4">1/G93</f>
        <v>1.4705882352941175</v>
      </c>
      <c r="G93" s="108">
        <v>0.68</v>
      </c>
    </row>
    <row r="94" spans="2:10" ht="15" customHeight="1" x14ac:dyDescent="0.25">
      <c r="B94" s="108" t="s">
        <v>261</v>
      </c>
      <c r="C94" s="123">
        <v>0.5</v>
      </c>
      <c r="D94" s="108"/>
      <c r="E94" s="108"/>
      <c r="F94" s="140">
        <f t="shared" si="4"/>
        <v>1.3157894736842106</v>
      </c>
      <c r="G94" s="108">
        <v>0.76</v>
      </c>
    </row>
    <row r="95" spans="2:10" ht="15" customHeight="1" x14ac:dyDescent="0.25">
      <c r="B95" s="108" t="s">
        <v>262</v>
      </c>
      <c r="C95" s="123">
        <v>0.5</v>
      </c>
      <c r="D95" s="108"/>
      <c r="E95" s="108"/>
      <c r="F95" s="140">
        <f t="shared" si="4"/>
        <v>1.6129032258064517</v>
      </c>
      <c r="G95" s="108">
        <v>0.62</v>
      </c>
    </row>
    <row r="96" spans="2:10" ht="15" customHeight="1" x14ac:dyDescent="0.25">
      <c r="B96" s="117" t="s">
        <v>263</v>
      </c>
      <c r="C96" s="123">
        <v>0.5</v>
      </c>
      <c r="D96" s="108"/>
      <c r="E96" s="108"/>
      <c r="F96" s="139">
        <f>1/G96</f>
        <v>1.5384615384615383</v>
      </c>
      <c r="G96" s="108">
        <v>0.65</v>
      </c>
    </row>
    <row r="97" spans="2:7" ht="15" customHeight="1" x14ac:dyDescent="0.25">
      <c r="B97" s="117" t="s">
        <v>264</v>
      </c>
      <c r="C97" s="123">
        <v>0.5</v>
      </c>
      <c r="D97" s="108"/>
      <c r="E97" s="108"/>
      <c r="F97" s="139">
        <f>1/G97</f>
        <v>1.9607843137254901</v>
      </c>
      <c r="G97" s="108">
        <v>0.51</v>
      </c>
    </row>
    <row r="98" spans="2:7" ht="15" customHeight="1" x14ac:dyDescent="0.25">
      <c r="B98" s="117" t="s">
        <v>265</v>
      </c>
      <c r="C98" s="123"/>
      <c r="D98" s="108"/>
      <c r="E98" s="108"/>
      <c r="F98" s="141"/>
      <c r="G98" s="108"/>
    </row>
    <row r="99" spans="2:7" ht="15" customHeight="1" x14ac:dyDescent="0.25">
      <c r="B99" s="117" t="s">
        <v>266</v>
      </c>
      <c r="C99" s="123"/>
      <c r="D99" s="108"/>
      <c r="E99" s="108"/>
      <c r="F99" s="141"/>
      <c r="G99" s="108"/>
    </row>
    <row r="100" spans="2:7" ht="15" customHeight="1" x14ac:dyDescent="0.25">
      <c r="B100" s="117" t="s">
        <v>267</v>
      </c>
      <c r="C100" s="123"/>
      <c r="D100" s="108"/>
      <c r="E100" s="108"/>
      <c r="F100" s="141"/>
      <c r="G100" s="108"/>
    </row>
    <row r="101" spans="2:7" ht="15" customHeight="1" x14ac:dyDescent="0.25">
      <c r="B101" s="117" t="s">
        <v>268</v>
      </c>
      <c r="C101" s="123">
        <v>0.5</v>
      </c>
      <c r="D101" s="122"/>
      <c r="E101" s="108"/>
      <c r="F101" s="139">
        <f>1/G101</f>
        <v>1.7857142857142856</v>
      </c>
      <c r="G101" s="108">
        <v>0.56000000000000005</v>
      </c>
    </row>
    <row r="102" spans="2:7" ht="15" customHeight="1" x14ac:dyDescent="0.25">
      <c r="B102" s="117" t="s">
        <v>269</v>
      </c>
      <c r="C102" s="123">
        <v>0.5</v>
      </c>
      <c r="D102" s="122"/>
      <c r="E102" s="108"/>
      <c r="F102" s="139">
        <f>1/G102</f>
        <v>2.3809523809523809</v>
      </c>
      <c r="G102" s="108">
        <v>0.42</v>
      </c>
    </row>
    <row r="103" spans="2:7" ht="15" customHeight="1" x14ac:dyDescent="0.25">
      <c r="B103" s="111" t="s">
        <v>270</v>
      </c>
      <c r="C103" s="123"/>
      <c r="D103" s="108"/>
      <c r="E103" s="108"/>
      <c r="F103" s="134"/>
      <c r="G103" s="108"/>
    </row>
    <row r="104" spans="2:7" ht="15" customHeight="1" x14ac:dyDescent="0.25">
      <c r="B104" s="108" t="s">
        <v>271</v>
      </c>
      <c r="C104" s="113"/>
      <c r="D104" s="108"/>
      <c r="E104" s="108"/>
      <c r="F104" s="141"/>
      <c r="G104" s="108"/>
    </row>
    <row r="105" spans="2:7" ht="15" customHeight="1" x14ac:dyDescent="0.25">
      <c r="B105" s="312" t="s">
        <v>272</v>
      </c>
      <c r="C105" s="313"/>
      <c r="D105" s="313"/>
      <c r="E105" s="313"/>
      <c r="F105" s="314"/>
    </row>
    <row r="106" spans="2:7" ht="15" customHeight="1" x14ac:dyDescent="0.25">
      <c r="B106" s="108" t="s">
        <v>273</v>
      </c>
      <c r="C106" s="128">
        <v>1.75</v>
      </c>
      <c r="D106" s="108"/>
      <c r="E106" s="120"/>
      <c r="F106" s="42"/>
    </row>
    <row r="107" spans="2:7" ht="15" customHeight="1" x14ac:dyDescent="0.25">
      <c r="B107" s="147" t="s">
        <v>274</v>
      </c>
      <c r="C107" s="128">
        <v>1.75</v>
      </c>
      <c r="D107" s="108"/>
      <c r="E107" s="120"/>
      <c r="F107" s="42"/>
    </row>
    <row r="108" spans="2:7" ht="15" customHeight="1" x14ac:dyDescent="0.25">
      <c r="B108" s="147" t="s">
        <v>274</v>
      </c>
      <c r="C108" s="128">
        <v>2.25</v>
      </c>
      <c r="D108" s="108"/>
      <c r="E108" s="120"/>
      <c r="F108" s="42"/>
    </row>
    <row r="109" spans="2:7" ht="15" customHeight="1" x14ac:dyDescent="0.25">
      <c r="B109" s="147" t="s">
        <v>275</v>
      </c>
      <c r="C109" s="128">
        <v>1.75</v>
      </c>
      <c r="D109" s="108"/>
      <c r="E109" s="120"/>
      <c r="F109" s="42"/>
    </row>
    <row r="110" spans="2:7" ht="15" customHeight="1" x14ac:dyDescent="0.25">
      <c r="B110" s="108" t="s">
        <v>276</v>
      </c>
      <c r="C110" s="108"/>
      <c r="D110" s="108"/>
      <c r="E110" s="120"/>
      <c r="F110" s="42"/>
    </row>
    <row r="111" spans="2:7" ht="15" customHeight="1" x14ac:dyDescent="0.25">
      <c r="B111" s="108" t="s">
        <v>277</v>
      </c>
      <c r="C111" s="128"/>
      <c r="D111" s="108"/>
      <c r="E111" s="120"/>
      <c r="F111" s="42"/>
    </row>
    <row r="112" spans="2:7" ht="15" customHeight="1" x14ac:dyDescent="0.25">
      <c r="B112" s="108" t="s">
        <v>278</v>
      </c>
      <c r="C112" s="108"/>
      <c r="D112" s="108"/>
      <c r="E112" s="120"/>
      <c r="F112" s="42"/>
    </row>
    <row r="113" spans="2:12" ht="15" customHeight="1" x14ac:dyDescent="0.25">
      <c r="B113" s="312" t="s">
        <v>279</v>
      </c>
      <c r="C113" s="315"/>
      <c r="D113" s="315"/>
      <c r="E113" s="315"/>
      <c r="F113" s="315"/>
    </row>
    <row r="114" spans="2:12" ht="15" customHeight="1" x14ac:dyDescent="0.25">
      <c r="B114" s="147" t="s">
        <v>280</v>
      </c>
      <c r="C114" s="128"/>
      <c r="D114" s="108"/>
      <c r="E114" s="120"/>
      <c r="F114" s="42"/>
    </row>
    <row r="115" spans="2:12" ht="15" customHeight="1" x14ac:dyDescent="0.25">
      <c r="B115" s="147" t="s">
        <v>281</v>
      </c>
      <c r="C115" s="128"/>
      <c r="D115" s="108"/>
      <c r="E115" s="120"/>
      <c r="F115" s="42"/>
    </row>
    <row r="116" spans="2:12" ht="15" customHeight="1" x14ac:dyDescent="0.25">
      <c r="B116" s="147" t="s">
        <v>282</v>
      </c>
      <c r="C116" s="128"/>
      <c r="D116" s="108"/>
      <c r="E116" s="120"/>
      <c r="F116" s="42"/>
    </row>
    <row r="117" spans="2:12" ht="15" customHeight="1" x14ac:dyDescent="0.25">
      <c r="B117" s="147" t="s">
        <v>283</v>
      </c>
      <c r="C117" s="128"/>
      <c r="D117" s="108"/>
      <c r="E117" s="120"/>
      <c r="F117" s="42"/>
    </row>
    <row r="118" spans="2:12" ht="15" customHeight="1" x14ac:dyDescent="0.25">
      <c r="B118" s="147" t="s">
        <v>284</v>
      </c>
      <c r="C118" s="128"/>
      <c r="D118" s="108"/>
      <c r="E118" s="120"/>
      <c r="F118" s="42"/>
    </row>
    <row r="119" spans="2:12" ht="15" customHeight="1" x14ac:dyDescent="0.25">
      <c r="B119" s="117" t="s">
        <v>285</v>
      </c>
      <c r="C119" s="123"/>
      <c r="D119" s="108"/>
      <c r="E119" s="120"/>
      <c r="F119" s="42"/>
    </row>
    <row r="120" spans="2:12" ht="15" customHeight="1" x14ac:dyDescent="0.25">
      <c r="B120" s="117" t="s">
        <v>286</v>
      </c>
      <c r="C120" s="123"/>
      <c r="D120" s="108"/>
      <c r="E120" s="120"/>
      <c r="F120" s="42"/>
    </row>
    <row r="121" spans="2:12" ht="15" customHeight="1" x14ac:dyDescent="0.25">
      <c r="B121" s="117" t="s">
        <v>287</v>
      </c>
      <c r="C121" s="123"/>
      <c r="D121" s="108"/>
      <c r="E121" s="120"/>
      <c r="F121" s="42"/>
    </row>
    <row r="122" spans="2:12" ht="15" customHeight="1" x14ac:dyDescent="0.25">
      <c r="B122" s="117" t="s">
        <v>288</v>
      </c>
      <c r="C122" s="123"/>
      <c r="D122" s="108"/>
      <c r="E122" s="120"/>
      <c r="F122" s="42"/>
    </row>
    <row r="123" spans="2:12" ht="15" customHeight="1" x14ac:dyDescent="0.25">
      <c r="B123" s="117" t="s">
        <v>289</v>
      </c>
      <c r="C123" s="123"/>
      <c r="D123" s="108"/>
      <c r="E123" s="120"/>
      <c r="F123" s="42"/>
    </row>
    <row r="124" spans="2:12" ht="15" customHeight="1" x14ac:dyDescent="0.25">
      <c r="B124" s="312" t="s">
        <v>290</v>
      </c>
      <c r="C124" s="315"/>
      <c r="D124" s="315"/>
      <c r="E124" s="315"/>
      <c r="F124" s="315"/>
    </row>
    <row r="125" spans="2:12" ht="15" customHeight="1" x14ac:dyDescent="0.25">
      <c r="B125" s="118" t="s">
        <v>291</v>
      </c>
      <c r="C125" s="123" t="s">
        <v>292</v>
      </c>
      <c r="D125" s="108"/>
      <c r="E125" s="120"/>
      <c r="F125" s="42"/>
    </row>
    <row r="126" spans="2:12" ht="17.25" customHeight="1" x14ac:dyDescent="0.25"/>
    <row r="127" spans="2:12" ht="17.25" customHeight="1" x14ac:dyDescent="0.25">
      <c r="B127" s="1" t="s">
        <v>293</v>
      </c>
      <c r="C127" s="1"/>
      <c r="D127" s="158" t="s">
        <v>294</v>
      </c>
      <c r="H127" s="151"/>
      <c r="I127" s="151"/>
      <c r="J127" s="151"/>
      <c r="K127" s="151"/>
      <c r="L127" s="151"/>
    </row>
    <row r="128" spans="2:12" ht="17.25" customHeight="1" x14ac:dyDescent="0.25"/>
    <row r="129" ht="17.25" customHeight="1" x14ac:dyDescent="0.25"/>
    <row r="130" ht="17.25" customHeight="1" x14ac:dyDescent="0.25"/>
    <row r="131" x14ac:dyDescent="0.25"/>
  </sheetData>
  <sheetProtection sheet="1" objects="1" scenarios="1"/>
  <mergeCells count="13">
    <mergeCell ref="D3:F3"/>
    <mergeCell ref="B105:F105"/>
    <mergeCell ref="B113:F113"/>
    <mergeCell ref="B124:F124"/>
    <mergeCell ref="B5:F5"/>
    <mergeCell ref="B40:F40"/>
    <mergeCell ref="B52:F52"/>
    <mergeCell ref="B73:F73"/>
    <mergeCell ref="D78:D79"/>
    <mergeCell ref="E78:E79"/>
    <mergeCell ref="F78:F79"/>
    <mergeCell ref="B81:F81"/>
    <mergeCell ref="B86:F8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7213C-F4C8-4FF8-8F78-1C5A975A0285}">
  <dimension ref="B1:AF122"/>
  <sheetViews>
    <sheetView showGridLines="0" topLeftCell="A27" zoomScale="110" zoomScaleNormal="110" workbookViewId="0">
      <selection activeCell="C122" sqref="C122"/>
    </sheetView>
  </sheetViews>
  <sheetFormatPr defaultRowHeight="15" customHeight="1" x14ac:dyDescent="0.25"/>
  <cols>
    <col min="19" max="22" width="24.28515625" customWidth="1"/>
    <col min="23" max="23" width="5.7109375" customWidth="1"/>
    <col min="24" max="24" width="17" customWidth="1"/>
    <col min="25" max="25" width="21" customWidth="1"/>
    <col min="32" max="32" width="12.5703125" bestFit="1" customWidth="1"/>
  </cols>
  <sheetData>
    <row r="1" spans="19:32" ht="16.5" customHeight="1" x14ac:dyDescent="0.25"/>
    <row r="2" spans="19:32" ht="16.5" customHeight="1" x14ac:dyDescent="0.25"/>
    <row r="3" spans="19:32" ht="16.5" customHeight="1" x14ac:dyDescent="0.25">
      <c r="S3" s="108"/>
      <c r="T3" s="108"/>
      <c r="U3" s="108"/>
      <c r="V3" s="332" t="s">
        <v>295</v>
      </c>
      <c r="W3" s="332"/>
      <c r="X3" s="333"/>
      <c r="Y3" s="57"/>
    </row>
    <row r="4" spans="19:32" ht="37.5" customHeight="1" x14ac:dyDescent="0.25">
      <c r="S4" s="108"/>
      <c r="T4" s="108"/>
      <c r="U4" s="108"/>
      <c r="V4" s="112" t="s">
        <v>296</v>
      </c>
      <c r="W4" s="195"/>
      <c r="X4" s="101" t="s">
        <v>297</v>
      </c>
    </row>
    <row r="5" spans="19:32" ht="16.5" customHeight="1" x14ac:dyDescent="0.25">
      <c r="S5" s="108"/>
      <c r="T5" s="331" t="s">
        <v>197</v>
      </c>
      <c r="U5" s="331"/>
      <c r="V5" s="107">
        <f>(1/0.3)</f>
        <v>3.3333333333333335</v>
      </c>
      <c r="W5" s="108" t="s">
        <v>198</v>
      </c>
      <c r="X5" s="113"/>
    </row>
    <row r="6" spans="19:32" ht="16.5" customHeight="1" x14ac:dyDescent="0.25">
      <c r="S6" s="108"/>
      <c r="T6" s="195">
        <v>3.5</v>
      </c>
      <c r="U6" s="195"/>
      <c r="V6" s="108"/>
      <c r="W6" s="108"/>
      <c r="X6" s="114">
        <f>(1/0.28)*T6</f>
        <v>12.5</v>
      </c>
      <c r="AF6" s="39"/>
    </row>
    <row r="7" spans="19:32" ht="16.5" customHeight="1" x14ac:dyDescent="0.25">
      <c r="S7" s="108"/>
      <c r="T7" s="195">
        <v>3.625</v>
      </c>
      <c r="U7" s="195"/>
      <c r="V7" s="108"/>
      <c r="W7" s="108"/>
      <c r="X7" s="114">
        <f>(1/0.28)*T7</f>
        <v>12.946428571428571</v>
      </c>
    </row>
    <row r="8" spans="19:32" ht="16.5" customHeight="1" x14ac:dyDescent="0.25">
      <c r="S8" s="108"/>
      <c r="T8" s="195" t="s">
        <v>298</v>
      </c>
      <c r="U8" s="195"/>
      <c r="V8" s="108"/>
      <c r="W8" s="108"/>
      <c r="X8" s="114">
        <f>(1/0.23)*3.5</f>
        <v>15.217391304347824</v>
      </c>
    </row>
    <row r="9" spans="19:32" ht="16.5" customHeight="1" x14ac:dyDescent="0.25">
      <c r="S9" s="108"/>
      <c r="T9" s="195">
        <v>6.5</v>
      </c>
      <c r="U9" s="195"/>
      <c r="V9" s="108"/>
      <c r="W9" s="108"/>
      <c r="X9" s="114">
        <f>(1/0.28)*T9</f>
        <v>23.214285714285712</v>
      </c>
    </row>
    <row r="10" spans="19:32" ht="16.5" customHeight="1" x14ac:dyDescent="0.25">
      <c r="S10" s="108"/>
      <c r="T10" s="195" t="s">
        <v>299</v>
      </c>
      <c r="U10" s="195"/>
      <c r="V10" s="108"/>
      <c r="W10" s="108"/>
      <c r="X10" s="114">
        <f>(1/0.23)*5.25</f>
        <v>22.826086956521738</v>
      </c>
    </row>
    <row r="11" spans="19:32" ht="16.5" customHeight="1" x14ac:dyDescent="0.25">
      <c r="S11" s="108"/>
      <c r="T11" s="195">
        <v>8</v>
      </c>
      <c r="U11" s="195"/>
      <c r="V11" s="108"/>
      <c r="W11" s="108"/>
      <c r="X11" s="114">
        <f>(1/0.28)*T11</f>
        <v>28.571428571428569</v>
      </c>
    </row>
    <row r="12" spans="19:32" ht="16.5" customHeight="1" x14ac:dyDescent="0.25">
      <c r="S12" s="108"/>
      <c r="T12" s="195" t="s">
        <v>300</v>
      </c>
      <c r="U12" s="195"/>
      <c r="V12" s="108"/>
      <c r="W12" s="108"/>
      <c r="X12" s="114">
        <f>(1/0.23)*8</f>
        <v>34.782608695652172</v>
      </c>
    </row>
    <row r="13" spans="19:32" ht="16.5" customHeight="1" x14ac:dyDescent="0.25">
      <c r="S13" s="108"/>
      <c r="T13" s="195" t="s">
        <v>301</v>
      </c>
      <c r="U13" s="195"/>
      <c r="V13" s="108"/>
      <c r="W13" s="108"/>
      <c r="X13" s="114">
        <f>(1/0.23)*9.5</f>
        <v>41.304347826086953</v>
      </c>
    </row>
    <row r="14" spans="19:32" ht="16.5" customHeight="1" x14ac:dyDescent="0.25">
      <c r="S14" s="108"/>
      <c r="T14" s="195">
        <v>12</v>
      </c>
      <c r="U14" s="195"/>
      <c r="V14" s="108"/>
      <c r="W14" s="108"/>
      <c r="X14" s="114">
        <f>(1/0.28)*T14</f>
        <v>42.857142857142854</v>
      </c>
    </row>
    <row r="15" spans="19:32" ht="16.5" customHeight="1" x14ac:dyDescent="0.25">
      <c r="S15" s="108"/>
      <c r="T15" s="195" t="s">
        <v>204</v>
      </c>
      <c r="U15" s="195"/>
      <c r="V15" s="107">
        <f>1/0.28</f>
        <v>3.5714285714285712</v>
      </c>
      <c r="W15" s="108" t="s">
        <v>198</v>
      </c>
      <c r="X15" s="113"/>
    </row>
    <row r="16" spans="19:32" ht="16.5" customHeight="1" x14ac:dyDescent="0.25">
      <c r="S16" s="108"/>
      <c r="T16" s="195" t="s">
        <v>206</v>
      </c>
      <c r="U16" s="195"/>
      <c r="V16" s="107">
        <f>1/0.28</f>
        <v>3.5714285714285712</v>
      </c>
      <c r="W16" s="108" t="s">
        <v>198</v>
      </c>
      <c r="X16" s="113"/>
      <c r="AF16" s="39"/>
    </row>
    <row r="17" spans="19:32" ht="16.5" customHeight="1" x14ac:dyDescent="0.25">
      <c r="S17" s="108"/>
      <c r="T17" s="195" t="s">
        <v>207</v>
      </c>
      <c r="U17" s="195"/>
      <c r="V17" s="107">
        <f>1/0.25</f>
        <v>4</v>
      </c>
      <c r="W17" s="108" t="s">
        <v>198</v>
      </c>
      <c r="X17" s="113"/>
      <c r="AF17" s="39"/>
    </row>
    <row r="18" spans="19:32" ht="16.5" customHeight="1" x14ac:dyDescent="0.25">
      <c r="S18" s="108"/>
      <c r="T18" s="195" t="s">
        <v>302</v>
      </c>
      <c r="U18" s="195"/>
      <c r="V18" s="107">
        <f>1/0.36</f>
        <v>2.7777777777777777</v>
      </c>
      <c r="W18" s="108" t="s">
        <v>198</v>
      </c>
      <c r="X18" s="113"/>
      <c r="AF18" s="39"/>
    </row>
    <row r="19" spans="19:32" ht="16.5" customHeight="1" x14ac:dyDescent="0.25">
      <c r="S19" s="108"/>
      <c r="T19" s="195" t="s">
        <v>216</v>
      </c>
      <c r="U19" s="195"/>
      <c r="V19" s="107">
        <f>1/0.28</f>
        <v>3.5714285714285712</v>
      </c>
      <c r="W19" s="108" t="s">
        <v>198</v>
      </c>
      <c r="X19" s="113"/>
    </row>
    <row r="20" spans="19:32" ht="16.5" customHeight="1" x14ac:dyDescent="0.25">
      <c r="S20" s="108"/>
      <c r="T20" s="195" t="s">
        <v>303</v>
      </c>
      <c r="U20" s="195"/>
      <c r="V20" s="107">
        <f>1/0.3</f>
        <v>3.3333333333333335</v>
      </c>
      <c r="W20" s="108" t="s">
        <v>198</v>
      </c>
      <c r="X20" s="113"/>
    </row>
    <row r="21" spans="19:32" ht="16.5" customHeight="1" x14ac:dyDescent="0.25">
      <c r="S21" s="108"/>
      <c r="T21" s="195" t="s">
        <v>304</v>
      </c>
      <c r="U21" s="195"/>
      <c r="V21" s="107">
        <f>1/0.28</f>
        <v>3.5714285714285712</v>
      </c>
      <c r="W21" s="108" t="s">
        <v>198</v>
      </c>
      <c r="X21" s="113"/>
    </row>
    <row r="22" spans="19:32" ht="16.5" customHeight="1" x14ac:dyDescent="0.25">
      <c r="S22" s="108"/>
      <c r="T22" s="195" t="s">
        <v>305</v>
      </c>
      <c r="U22" s="195"/>
      <c r="V22" s="107">
        <f>1/0.45</f>
        <v>2.2222222222222223</v>
      </c>
      <c r="W22" s="108" t="s">
        <v>198</v>
      </c>
      <c r="X22" s="113"/>
      <c r="AF22" s="39"/>
    </row>
    <row r="23" spans="19:32" ht="16.5" customHeight="1" x14ac:dyDescent="0.25">
      <c r="S23" s="108"/>
      <c r="T23" s="195" t="s">
        <v>306</v>
      </c>
      <c r="U23" s="195"/>
      <c r="V23" s="109">
        <f>1/1.4</f>
        <v>0.7142857142857143</v>
      </c>
      <c r="W23" s="108" t="s">
        <v>198</v>
      </c>
      <c r="X23" s="113"/>
      <c r="AF23" s="39"/>
    </row>
    <row r="24" spans="19:32" ht="16.5" customHeight="1" x14ac:dyDescent="0.25">
      <c r="S24" s="108"/>
      <c r="T24" s="195" t="s">
        <v>307</v>
      </c>
      <c r="U24" s="195"/>
      <c r="V24" s="110">
        <f>1/0.25</f>
        <v>4</v>
      </c>
      <c r="W24" s="108" t="s">
        <v>198</v>
      </c>
      <c r="X24" s="113"/>
    </row>
    <row r="25" spans="19:32" ht="16.5" customHeight="1" x14ac:dyDescent="0.25">
      <c r="S25" s="108"/>
      <c r="T25" s="108" t="s">
        <v>308</v>
      </c>
      <c r="U25" s="108"/>
      <c r="V25" s="108">
        <f>1/0.23</f>
        <v>4.3478260869565215</v>
      </c>
      <c r="W25" s="108" t="s">
        <v>198</v>
      </c>
      <c r="X25" s="113"/>
    </row>
    <row r="26" spans="19:32" ht="16.5" customHeight="1" x14ac:dyDescent="0.25">
      <c r="S26" s="108"/>
      <c r="T26" s="108" t="s">
        <v>309</v>
      </c>
      <c r="U26" s="108"/>
      <c r="V26" s="108">
        <f>1/0.24</f>
        <v>4.166666666666667</v>
      </c>
      <c r="W26" s="108" t="s">
        <v>198</v>
      </c>
      <c r="X26" s="113"/>
    </row>
    <row r="27" spans="19:32" ht="16.5" customHeight="1" x14ac:dyDescent="0.25">
      <c r="S27" s="108"/>
      <c r="T27" s="108" t="s">
        <v>310</v>
      </c>
      <c r="U27" s="108"/>
      <c r="V27" s="108">
        <f>1/0.2</f>
        <v>5</v>
      </c>
      <c r="W27" s="108" t="s">
        <v>198</v>
      </c>
      <c r="X27" s="113"/>
    </row>
    <row r="28" spans="19:32" ht="16.5" customHeight="1" x14ac:dyDescent="0.25">
      <c r="S28" s="108"/>
      <c r="T28" s="108" t="s">
        <v>311</v>
      </c>
      <c r="U28" s="108"/>
      <c r="V28" s="107">
        <f>1/0.17</f>
        <v>5.8823529411764701</v>
      </c>
      <c r="W28" s="108" t="s">
        <v>198</v>
      </c>
      <c r="X28" s="113"/>
    </row>
    <row r="29" spans="19:32" ht="16.5" customHeight="1" x14ac:dyDescent="0.25">
      <c r="S29" s="108"/>
      <c r="T29" s="108" t="s">
        <v>312</v>
      </c>
      <c r="U29" s="108"/>
      <c r="V29" s="108">
        <f>1/0.16</f>
        <v>6.25</v>
      </c>
      <c r="W29" s="108" t="s">
        <v>198</v>
      </c>
      <c r="X29" s="113"/>
      <c r="AF29" s="39"/>
    </row>
    <row r="30" spans="19:32" ht="16.5" customHeight="1" x14ac:dyDescent="0.25">
      <c r="S30" s="108"/>
      <c r="T30" s="108"/>
      <c r="U30" s="108"/>
      <c r="V30" s="108"/>
      <c r="W30" s="108"/>
      <c r="AF30" s="39"/>
    </row>
    <row r="31" spans="19:32" ht="16.5" customHeight="1" x14ac:dyDescent="0.25">
      <c r="S31" s="108"/>
      <c r="T31" s="108"/>
      <c r="U31" s="108"/>
      <c r="V31" s="336" t="s">
        <v>296</v>
      </c>
      <c r="W31" s="331" t="s">
        <v>198</v>
      </c>
      <c r="X31" s="337" t="s">
        <v>297</v>
      </c>
    </row>
    <row r="32" spans="19:32" ht="16.5" customHeight="1" x14ac:dyDescent="0.25">
      <c r="S32" s="108"/>
      <c r="T32" s="108"/>
      <c r="U32" s="108"/>
      <c r="V32" s="336"/>
      <c r="W32" s="331"/>
      <c r="X32" s="337"/>
    </row>
    <row r="33" spans="19:24" ht="16.5" customHeight="1" x14ac:dyDescent="0.25">
      <c r="S33" s="108"/>
      <c r="T33" s="335" t="s">
        <v>313</v>
      </c>
      <c r="U33" s="335"/>
      <c r="V33" s="108">
        <f>1.28/8</f>
        <v>0.16</v>
      </c>
      <c r="W33" s="108" t="s">
        <v>198</v>
      </c>
      <c r="X33" s="113">
        <f>V33*4</f>
        <v>0.64</v>
      </c>
    </row>
    <row r="34" spans="19:24" ht="16.5" customHeight="1" x14ac:dyDescent="0.25">
      <c r="S34" s="108"/>
      <c r="T34" s="108"/>
      <c r="U34" s="108" t="s">
        <v>314</v>
      </c>
      <c r="V34" s="108">
        <f>1.1/8</f>
        <v>0.13750000000000001</v>
      </c>
      <c r="W34" s="108" t="s">
        <v>198</v>
      </c>
      <c r="X34" s="113">
        <f>V34*8</f>
        <v>1.1000000000000001</v>
      </c>
    </row>
    <row r="35" spans="19:24" ht="16.5" customHeight="1" x14ac:dyDescent="0.25">
      <c r="S35" s="108"/>
      <c r="T35" s="108"/>
      <c r="U35" s="108" t="s">
        <v>315</v>
      </c>
      <c r="V35" s="108">
        <f>1.23/12</f>
        <v>0.10249999999999999</v>
      </c>
      <c r="W35" s="108" t="s">
        <v>198</v>
      </c>
      <c r="X35" s="113">
        <f>V35*12</f>
        <v>1.23</v>
      </c>
    </row>
    <row r="36" spans="19:24" ht="16.5" customHeight="1" x14ac:dyDescent="0.25">
      <c r="S36" s="108"/>
      <c r="T36" s="335" t="s">
        <v>233</v>
      </c>
      <c r="U36" s="335"/>
      <c r="V36" s="108">
        <v>0.2</v>
      </c>
      <c r="W36" s="108" t="s">
        <v>198</v>
      </c>
      <c r="X36" s="113">
        <f>V36*4</f>
        <v>0.8</v>
      </c>
    </row>
    <row r="37" spans="19:24" ht="16.5" customHeight="1" x14ac:dyDescent="0.25">
      <c r="S37" s="108"/>
      <c r="T37" s="108"/>
      <c r="U37" s="108" t="s">
        <v>316</v>
      </c>
      <c r="V37" s="108"/>
      <c r="W37" s="108"/>
      <c r="X37" s="113"/>
    </row>
    <row r="38" spans="19:24" ht="16.5" customHeight="1" x14ac:dyDescent="0.25">
      <c r="S38" s="108"/>
      <c r="T38" s="108"/>
      <c r="U38" s="108" t="s">
        <v>317</v>
      </c>
      <c r="V38" s="108">
        <v>7.4999999999999997E-2</v>
      </c>
      <c r="W38" s="108" t="s">
        <v>198</v>
      </c>
      <c r="X38" s="113"/>
    </row>
    <row r="39" spans="19:24" ht="16.5" customHeight="1" x14ac:dyDescent="0.25">
      <c r="S39" s="108"/>
      <c r="T39" s="108"/>
      <c r="U39" s="108" t="s">
        <v>318</v>
      </c>
      <c r="V39" s="107">
        <f>1/0.85</f>
        <v>1.1764705882352942</v>
      </c>
      <c r="W39" s="108" t="s">
        <v>198</v>
      </c>
      <c r="X39" s="113"/>
    </row>
    <row r="40" spans="19:24" ht="16.5" customHeight="1" x14ac:dyDescent="0.25">
      <c r="S40" s="108"/>
      <c r="T40" s="108"/>
      <c r="U40" s="108" t="s">
        <v>319</v>
      </c>
      <c r="V40" s="108"/>
      <c r="W40" s="108"/>
      <c r="X40" s="114">
        <f>V39*1.5</f>
        <v>1.7647058823529411</v>
      </c>
    </row>
    <row r="41" spans="19:24" ht="16.5" customHeight="1" x14ac:dyDescent="0.25">
      <c r="S41" s="108"/>
      <c r="T41" s="108"/>
      <c r="U41" s="108" t="s">
        <v>320</v>
      </c>
      <c r="V41" s="108"/>
      <c r="W41" s="108"/>
      <c r="X41" s="114">
        <f>V39*3.5</f>
        <v>4.1176470588235299</v>
      </c>
    </row>
    <row r="42" spans="19:24" ht="16.5" customHeight="1" x14ac:dyDescent="0.25">
      <c r="S42" s="108"/>
      <c r="T42" s="108"/>
      <c r="U42" s="108" t="s">
        <v>321</v>
      </c>
      <c r="V42" s="108"/>
      <c r="W42" s="108"/>
      <c r="X42" s="114">
        <f>V39*5.5</f>
        <v>6.4705882352941178</v>
      </c>
    </row>
    <row r="43" spans="19:24" ht="16.5" customHeight="1" x14ac:dyDescent="0.25">
      <c r="S43" s="108"/>
      <c r="T43" s="108"/>
      <c r="U43" s="108" t="s">
        <v>322</v>
      </c>
      <c r="V43" s="107"/>
      <c r="W43" s="108"/>
      <c r="X43" s="113"/>
    </row>
    <row r="44" spans="19:24" ht="16.5" customHeight="1" x14ac:dyDescent="0.25">
      <c r="S44" s="108"/>
      <c r="T44" s="108"/>
      <c r="U44" s="108"/>
      <c r="V44" s="108"/>
      <c r="W44" s="108"/>
      <c r="X44" s="113"/>
    </row>
    <row r="45" spans="19:24" ht="16.5" customHeight="1" x14ac:dyDescent="0.25">
      <c r="S45" s="108"/>
      <c r="T45" s="108"/>
      <c r="U45" s="108" t="s">
        <v>323</v>
      </c>
      <c r="V45" s="108">
        <v>1</v>
      </c>
      <c r="W45" s="108" t="s">
        <v>198</v>
      </c>
      <c r="X45" s="113"/>
    </row>
    <row r="46" spans="19:24" ht="16.5" customHeight="1" x14ac:dyDescent="0.25">
      <c r="S46" s="108"/>
      <c r="T46" s="108"/>
      <c r="U46" s="108"/>
      <c r="V46" s="108"/>
      <c r="W46" s="108"/>
      <c r="X46" s="113">
        <f>V45*0.25</f>
        <v>0.25</v>
      </c>
    </row>
    <row r="47" spans="19:24" ht="16.5" customHeight="1" x14ac:dyDescent="0.25">
      <c r="S47" s="108"/>
      <c r="T47" s="108"/>
      <c r="U47" s="108"/>
      <c r="V47" s="108"/>
      <c r="W47" s="108"/>
      <c r="X47" s="113">
        <v>0.375</v>
      </c>
    </row>
    <row r="48" spans="19:24" ht="16.5" customHeight="1" x14ac:dyDescent="0.25">
      <c r="S48" s="108"/>
      <c r="T48" s="108"/>
      <c r="U48" s="108"/>
      <c r="V48" s="108"/>
      <c r="W48" s="108"/>
      <c r="X48" s="113">
        <v>0.5</v>
      </c>
    </row>
    <row r="49" spans="19:24" ht="16.5" customHeight="1" x14ac:dyDescent="0.25">
      <c r="S49" s="108"/>
      <c r="T49" s="108"/>
      <c r="U49" s="108"/>
      <c r="V49" s="108"/>
      <c r="W49" s="108"/>
      <c r="X49" s="113">
        <v>0.625</v>
      </c>
    </row>
    <row r="50" spans="19:24" ht="16.5" customHeight="1" x14ac:dyDescent="0.25">
      <c r="S50" s="108"/>
      <c r="T50" s="108"/>
      <c r="U50" s="108"/>
      <c r="V50" s="108"/>
      <c r="W50" s="108"/>
      <c r="X50" s="113">
        <v>0.75</v>
      </c>
    </row>
    <row r="51" spans="19:24" ht="16.5" customHeight="1" x14ac:dyDescent="0.25">
      <c r="S51" s="108"/>
      <c r="T51" s="108"/>
      <c r="U51" s="108"/>
      <c r="V51" s="108"/>
      <c r="W51" s="108"/>
      <c r="X51" s="113"/>
    </row>
    <row r="52" spans="19:24" ht="16.5" customHeight="1" x14ac:dyDescent="0.25">
      <c r="S52" s="108"/>
      <c r="T52" s="108"/>
      <c r="U52" s="108"/>
      <c r="V52" s="108"/>
      <c r="W52" s="108"/>
      <c r="X52" s="113"/>
    </row>
    <row r="53" spans="19:24" ht="16.5" customHeight="1" x14ac:dyDescent="0.25">
      <c r="S53" s="108"/>
      <c r="T53" s="108"/>
      <c r="U53" s="108"/>
      <c r="V53" s="108"/>
      <c r="W53" s="108"/>
      <c r="X53" s="113"/>
    </row>
    <row r="54" spans="19:24" ht="16.5" customHeight="1" x14ac:dyDescent="0.25">
      <c r="S54" s="108"/>
      <c r="T54" s="108"/>
      <c r="U54" s="196" t="s">
        <v>324</v>
      </c>
      <c r="V54" s="108"/>
      <c r="W54" s="108"/>
      <c r="X54" s="113">
        <f>1/0.24*3/4</f>
        <v>3.125</v>
      </c>
    </row>
    <row r="55" spans="19:24" ht="16.5" customHeight="1" x14ac:dyDescent="0.25">
      <c r="S55" s="108"/>
      <c r="T55" s="108"/>
      <c r="U55" s="196" t="s">
        <v>325</v>
      </c>
      <c r="V55" s="107">
        <f>1/0.24</f>
        <v>4.166666666666667</v>
      </c>
      <c r="W55" s="108" t="s">
        <v>198</v>
      </c>
      <c r="X55" s="113"/>
    </row>
    <row r="56" spans="19:24" ht="16.5" customHeight="1" x14ac:dyDescent="0.25">
      <c r="S56" s="108"/>
      <c r="T56" s="108"/>
      <c r="U56" s="196" t="s">
        <v>326</v>
      </c>
      <c r="V56" s="108"/>
      <c r="W56" s="108"/>
      <c r="X56" s="114">
        <f>X54*2</f>
        <v>6.25</v>
      </c>
    </row>
    <row r="57" spans="19:24" ht="16.5" customHeight="1" x14ac:dyDescent="0.25">
      <c r="S57" s="108"/>
      <c r="T57" s="108"/>
      <c r="U57" s="196" t="s">
        <v>310</v>
      </c>
      <c r="V57" s="108"/>
      <c r="W57" s="108"/>
      <c r="X57" s="114">
        <f>1/0.19*3/4</f>
        <v>3.9473684210526319</v>
      </c>
    </row>
    <row r="58" spans="19:24" ht="16.5" customHeight="1" x14ac:dyDescent="0.25">
      <c r="S58" s="108"/>
      <c r="T58" s="108"/>
      <c r="U58" s="108"/>
      <c r="V58" s="107">
        <f>1/0.19</f>
        <v>5.2631578947368425</v>
      </c>
      <c r="W58" s="108" t="s">
        <v>198</v>
      </c>
      <c r="X58" s="113"/>
    </row>
    <row r="59" spans="19:24" ht="16.5" customHeight="1" x14ac:dyDescent="0.25">
      <c r="S59" s="108"/>
      <c r="T59" s="108"/>
      <c r="U59" s="108"/>
      <c r="V59" s="108"/>
      <c r="W59" s="108"/>
      <c r="X59" s="114">
        <f>1/0.19*1.5</f>
        <v>7.8947368421052637</v>
      </c>
    </row>
    <row r="60" spans="19:24" ht="16.5" customHeight="1" x14ac:dyDescent="0.25">
      <c r="S60" s="108"/>
      <c r="T60" s="325" t="s">
        <v>327</v>
      </c>
      <c r="U60" s="325"/>
      <c r="V60" s="108"/>
      <c r="W60" s="108"/>
      <c r="X60" s="114">
        <f>1/0.155*3/4</f>
        <v>4.838709677419355</v>
      </c>
    </row>
    <row r="61" spans="19:24" ht="16.5" customHeight="1" x14ac:dyDescent="0.25">
      <c r="S61" s="108"/>
      <c r="T61" s="325"/>
      <c r="U61" s="325"/>
      <c r="V61" s="107"/>
      <c r="W61" s="108"/>
      <c r="X61" s="113"/>
    </row>
    <row r="62" spans="19:24" ht="16.5" customHeight="1" x14ac:dyDescent="0.25">
      <c r="S62" s="108"/>
      <c r="T62" s="108"/>
      <c r="U62" s="108"/>
      <c r="V62" s="107">
        <f>1/0.155</f>
        <v>6.4516129032258069</v>
      </c>
      <c r="W62" s="108" t="s">
        <v>198</v>
      </c>
      <c r="X62" s="113"/>
    </row>
    <row r="63" spans="19:24" ht="16.5" customHeight="1" x14ac:dyDescent="0.25">
      <c r="S63" s="108"/>
      <c r="T63" s="108"/>
      <c r="U63" s="108" t="s">
        <v>328</v>
      </c>
      <c r="V63" s="108"/>
      <c r="W63" s="108"/>
      <c r="X63" s="114">
        <f>1/0.155*1.5</f>
        <v>9.67741935483871</v>
      </c>
    </row>
    <row r="64" spans="19:24" ht="16.5" customHeight="1" x14ac:dyDescent="0.25">
      <c r="S64" s="108"/>
      <c r="T64" s="108"/>
      <c r="U64" s="108"/>
      <c r="V64" s="108"/>
      <c r="W64" s="108"/>
      <c r="X64" s="113"/>
    </row>
    <row r="65" spans="19:25" ht="16.5" customHeight="1" x14ac:dyDescent="0.25">
      <c r="S65" s="108"/>
      <c r="T65" s="108"/>
      <c r="U65" s="196" t="s">
        <v>329</v>
      </c>
      <c r="V65" s="108"/>
      <c r="W65" s="108"/>
      <c r="X65" s="114">
        <f>1/0.75*0.5</f>
        <v>0.66666666666666663</v>
      </c>
    </row>
    <row r="66" spans="19:25" ht="16.5" customHeight="1" x14ac:dyDescent="0.25">
      <c r="S66" s="108"/>
      <c r="T66" s="108"/>
      <c r="U66" s="196" t="s">
        <v>330</v>
      </c>
      <c r="V66" s="108"/>
      <c r="W66" s="108"/>
      <c r="X66" s="113">
        <f>1.08/3*4*5/8</f>
        <v>0.90000000000000013</v>
      </c>
    </row>
    <row r="67" spans="19:25" ht="16.5" customHeight="1" x14ac:dyDescent="0.25">
      <c r="S67" s="108"/>
      <c r="T67" s="108"/>
      <c r="U67" s="108" t="s">
        <v>331</v>
      </c>
      <c r="V67" s="108"/>
      <c r="W67" s="108"/>
      <c r="X67" s="113">
        <v>1.08</v>
      </c>
    </row>
    <row r="68" spans="19:25" ht="16.5" customHeight="1" x14ac:dyDescent="0.25">
      <c r="S68" s="108"/>
      <c r="T68" s="108"/>
      <c r="U68" s="196" t="s">
        <v>332</v>
      </c>
      <c r="V68" s="108">
        <f>0.8*2</f>
        <v>1.6</v>
      </c>
      <c r="W68" s="108" t="s">
        <v>198</v>
      </c>
      <c r="X68" s="113"/>
    </row>
    <row r="69" spans="19:25" ht="16.5" customHeight="1" x14ac:dyDescent="0.25">
      <c r="S69" s="108"/>
      <c r="T69" s="108"/>
      <c r="U69" s="196" t="s">
        <v>333</v>
      </c>
      <c r="V69" s="325">
        <v>0.62</v>
      </c>
      <c r="W69" s="326" t="s">
        <v>198</v>
      </c>
      <c r="X69" s="327"/>
    </row>
    <row r="70" spans="19:25" ht="16.5" customHeight="1" x14ac:dyDescent="0.25">
      <c r="S70" s="108"/>
      <c r="T70" s="108"/>
      <c r="U70" s="108"/>
      <c r="V70" s="325"/>
      <c r="W70" s="326"/>
      <c r="X70" s="328"/>
    </row>
    <row r="71" spans="19:25" ht="16.5" customHeight="1" x14ac:dyDescent="0.25">
      <c r="S71" s="108"/>
      <c r="T71" s="108"/>
      <c r="U71" s="108"/>
      <c r="V71" s="108"/>
      <c r="W71" s="108"/>
      <c r="X71" s="115">
        <f>((1.82-V69)*4/3)+V69</f>
        <v>2.2200000000000002</v>
      </c>
    </row>
    <row r="72" spans="19:25" ht="16.5" customHeight="1" x14ac:dyDescent="0.25">
      <c r="S72" s="108"/>
      <c r="T72" s="108"/>
      <c r="U72" s="108"/>
      <c r="V72" s="108"/>
      <c r="W72" s="108"/>
      <c r="X72" s="113"/>
    </row>
    <row r="73" spans="19:25" ht="16.5" customHeight="1" x14ac:dyDescent="0.25">
      <c r="S73" s="108"/>
      <c r="T73" s="108"/>
      <c r="U73" s="108"/>
      <c r="V73" s="108"/>
      <c r="W73" s="108"/>
      <c r="X73" s="113"/>
    </row>
    <row r="74" spans="19:25" ht="16.5" customHeight="1" x14ac:dyDescent="0.25">
      <c r="S74" s="108"/>
      <c r="T74" s="108"/>
      <c r="U74" s="196" t="s">
        <v>334</v>
      </c>
      <c r="V74" s="108"/>
      <c r="W74" s="108"/>
      <c r="X74" s="114">
        <f>1/1.1/2</f>
        <v>0.45454545454545453</v>
      </c>
    </row>
    <row r="75" spans="19:25" ht="16.5" customHeight="1" x14ac:dyDescent="0.25">
      <c r="S75" s="108"/>
      <c r="T75" s="108"/>
      <c r="U75" s="108" t="s">
        <v>335</v>
      </c>
      <c r="V75" s="108"/>
      <c r="W75" s="108"/>
      <c r="X75" s="114">
        <f>1/1.1/8*5</f>
        <v>0.56818181818181812</v>
      </c>
    </row>
    <row r="76" spans="19:25" ht="16.5" customHeight="1" x14ac:dyDescent="0.25">
      <c r="S76" s="108"/>
      <c r="T76" s="108"/>
      <c r="U76" s="108"/>
      <c r="V76" s="108"/>
      <c r="W76" s="108"/>
      <c r="X76" s="113"/>
    </row>
    <row r="77" spans="19:25" ht="14.25" customHeight="1" x14ac:dyDescent="0.25">
      <c r="S77" s="108"/>
      <c r="T77" s="108"/>
      <c r="U77" s="108"/>
      <c r="V77" s="108"/>
      <c r="W77" s="108"/>
    </row>
    <row r="78" spans="19:25" ht="14.25" customHeight="1" x14ac:dyDescent="0.25">
      <c r="S78" s="108"/>
      <c r="T78" s="108"/>
      <c r="U78" s="108"/>
      <c r="V78" s="108"/>
      <c r="W78" s="108"/>
      <c r="X78" s="113" t="s">
        <v>336</v>
      </c>
      <c r="Y78" s="108" t="s">
        <v>337</v>
      </c>
    </row>
    <row r="79" spans="19:25" ht="14.25" customHeight="1" x14ac:dyDescent="0.25">
      <c r="S79" s="108"/>
      <c r="T79" s="108"/>
      <c r="U79" s="108"/>
      <c r="V79" s="108" t="s">
        <v>338</v>
      </c>
      <c r="W79" s="108"/>
      <c r="X79" s="114">
        <f>1/1.04</f>
        <v>0.96153846153846145</v>
      </c>
      <c r="Y79" s="108"/>
    </row>
    <row r="80" spans="19:25" ht="14.25" customHeight="1" x14ac:dyDescent="0.25">
      <c r="S80" s="108"/>
      <c r="T80" s="108"/>
      <c r="U80" s="108"/>
      <c r="V80" s="108"/>
      <c r="W80" s="108"/>
      <c r="X80" s="113"/>
      <c r="Y80" s="108"/>
    </row>
    <row r="81" spans="19:25" ht="14.25" customHeight="1" x14ac:dyDescent="0.25">
      <c r="S81" s="108"/>
      <c r="T81" s="108"/>
      <c r="U81" s="108"/>
      <c r="V81" s="107"/>
      <c r="W81" s="108"/>
      <c r="X81" s="327"/>
      <c r="Y81" s="329"/>
    </row>
    <row r="82" spans="19:25" ht="14.25" customHeight="1" x14ac:dyDescent="0.25">
      <c r="S82" s="108"/>
      <c r="T82" s="108"/>
      <c r="U82" s="108"/>
      <c r="V82" s="107"/>
      <c r="W82" s="108"/>
      <c r="X82" s="328"/>
      <c r="Y82" s="330"/>
    </row>
    <row r="83" spans="19:25" ht="14.25" customHeight="1" x14ac:dyDescent="0.25">
      <c r="S83" s="108"/>
      <c r="T83" s="108"/>
      <c r="U83" s="108"/>
      <c r="V83" s="108" t="s">
        <v>339</v>
      </c>
      <c r="W83" s="108"/>
      <c r="X83" s="114">
        <f t="shared" ref="X83" si="0">1/0.6</f>
        <v>1.6666666666666667</v>
      </c>
      <c r="Y83" s="108" t="s">
        <v>340</v>
      </c>
    </row>
    <row r="84" spans="19:25" ht="14.25" customHeight="1" x14ac:dyDescent="0.25">
      <c r="S84" s="108"/>
      <c r="T84" s="108"/>
      <c r="U84" s="108"/>
      <c r="V84" s="108" t="s">
        <v>341</v>
      </c>
      <c r="W84" s="108"/>
      <c r="X84" s="114">
        <f>1/0.53</f>
        <v>1.8867924528301885</v>
      </c>
      <c r="Y84" s="108" t="s">
        <v>342</v>
      </c>
    </row>
    <row r="85" spans="19:25" ht="14.25" customHeight="1" x14ac:dyDescent="0.25">
      <c r="S85" s="108"/>
      <c r="T85" s="108"/>
      <c r="U85" s="108"/>
      <c r="V85" s="108"/>
      <c r="W85" s="108"/>
      <c r="X85" s="113"/>
      <c r="Y85" s="108"/>
    </row>
    <row r="86" spans="19:25" ht="14.25" customHeight="1" x14ac:dyDescent="0.25">
      <c r="S86" s="108"/>
      <c r="T86" s="108"/>
      <c r="U86" s="108"/>
      <c r="V86" s="108" t="s">
        <v>343</v>
      </c>
      <c r="W86" s="108"/>
      <c r="X86" s="114">
        <f>1/0.42</f>
        <v>2.3809523809523809</v>
      </c>
      <c r="Y86" s="108" t="s">
        <v>344</v>
      </c>
    </row>
    <row r="87" spans="19:25" ht="14.25" customHeight="1" x14ac:dyDescent="0.25">
      <c r="S87" s="108"/>
      <c r="T87" s="108"/>
      <c r="U87" s="108"/>
      <c r="V87" s="108"/>
      <c r="W87" s="108"/>
      <c r="X87" s="113"/>
      <c r="Y87" s="108"/>
    </row>
    <row r="88" spans="19:25" ht="14.25" customHeight="1" x14ac:dyDescent="0.25">
      <c r="S88" s="108"/>
      <c r="T88" s="108"/>
      <c r="U88" s="108"/>
      <c r="V88" s="108"/>
      <c r="W88" s="108"/>
      <c r="X88" s="113"/>
      <c r="Y88" s="108"/>
    </row>
    <row r="89" spans="19:25" ht="14.25" customHeight="1" x14ac:dyDescent="0.25">
      <c r="S89" s="108"/>
      <c r="T89" s="108"/>
      <c r="U89" s="108"/>
      <c r="V89" s="108"/>
      <c r="W89" s="108"/>
      <c r="X89" s="113"/>
      <c r="Y89" s="108"/>
    </row>
    <row r="90" spans="19:25" ht="14.25" customHeight="1" x14ac:dyDescent="0.25">
      <c r="S90" s="108"/>
      <c r="T90" s="108"/>
      <c r="U90" s="108"/>
      <c r="V90" s="336" t="s">
        <v>345</v>
      </c>
      <c r="W90" s="108"/>
      <c r="X90" s="334">
        <f>1/0.45</f>
        <v>2.2222222222222223</v>
      </c>
      <c r="Y90" s="329"/>
    </row>
    <row r="91" spans="19:25" ht="14.25" customHeight="1" x14ac:dyDescent="0.25">
      <c r="S91" s="108"/>
      <c r="T91" s="108"/>
      <c r="U91" s="108"/>
      <c r="V91" s="336"/>
      <c r="W91" s="108"/>
      <c r="X91" s="334"/>
      <c r="Y91" s="330"/>
    </row>
    <row r="92" spans="19:25" ht="14.25" customHeight="1" x14ac:dyDescent="0.25">
      <c r="S92" s="108"/>
      <c r="T92" s="108"/>
      <c r="U92" s="108"/>
      <c r="V92" s="108" t="s">
        <v>346</v>
      </c>
      <c r="W92" s="108"/>
      <c r="X92" s="116">
        <f>1/0.33</f>
        <v>3.0303030303030303</v>
      </c>
      <c r="Y92" s="111" t="s">
        <v>347</v>
      </c>
    </row>
    <row r="93" spans="19:25" ht="14.25" customHeight="1" x14ac:dyDescent="0.25">
      <c r="S93" s="108"/>
      <c r="T93" s="108"/>
      <c r="U93" s="108"/>
      <c r="V93" s="108"/>
      <c r="W93" s="108"/>
      <c r="X93" s="113"/>
      <c r="Y93" s="108"/>
    </row>
    <row r="94" spans="19:25" ht="14.25" customHeight="1" x14ac:dyDescent="0.25">
      <c r="S94" s="108"/>
      <c r="T94" s="108"/>
      <c r="U94" s="108"/>
      <c r="V94" s="108"/>
      <c r="W94" s="108"/>
    </row>
    <row r="95" spans="19:25" ht="14.25" customHeight="1" x14ac:dyDescent="0.25">
      <c r="S95" s="108"/>
      <c r="T95" s="108"/>
      <c r="U95" s="108"/>
      <c r="V95" s="331"/>
      <c r="W95" s="108"/>
    </row>
    <row r="96" spans="19:25" ht="14.25" customHeight="1" x14ac:dyDescent="0.25">
      <c r="S96" s="108"/>
      <c r="T96" s="108"/>
      <c r="U96" s="108"/>
      <c r="V96" s="331"/>
      <c r="W96" s="108"/>
    </row>
    <row r="97" spans="19:23" ht="14.25" customHeight="1" x14ac:dyDescent="0.25">
      <c r="S97" s="108"/>
      <c r="T97" s="108"/>
      <c r="U97" s="108"/>
      <c r="V97" s="108"/>
      <c r="W97" s="108"/>
    </row>
    <row r="98" spans="19:23" ht="14.25" customHeight="1" x14ac:dyDescent="0.25">
      <c r="S98" s="108"/>
      <c r="T98" s="108"/>
      <c r="U98" s="108"/>
      <c r="V98" s="108"/>
      <c r="W98" s="108"/>
    </row>
    <row r="99" spans="19:23" ht="14.25" customHeight="1" x14ac:dyDescent="0.25">
      <c r="S99" s="108"/>
      <c r="T99" s="108"/>
      <c r="U99" s="108"/>
      <c r="V99" s="108"/>
      <c r="W99" s="108"/>
    </row>
    <row r="100" spans="19:23" ht="14.25" customHeight="1" x14ac:dyDescent="0.25">
      <c r="S100" s="108"/>
      <c r="T100" s="108"/>
      <c r="U100" s="108"/>
      <c r="V100" s="108"/>
      <c r="W100" s="108"/>
    </row>
    <row r="101" spans="19:23" ht="14.25" customHeight="1" x14ac:dyDescent="0.25">
      <c r="S101" s="108"/>
      <c r="T101" s="108"/>
      <c r="U101" s="108"/>
      <c r="V101" s="108"/>
      <c r="W101" s="108"/>
    </row>
    <row r="102" spans="19:23" ht="14.25" customHeight="1" x14ac:dyDescent="0.25">
      <c r="S102" s="108"/>
      <c r="T102" s="108"/>
      <c r="U102" s="108"/>
      <c r="V102" s="108"/>
      <c r="W102" s="108"/>
    </row>
    <row r="103" spans="19:23" ht="14.25" customHeight="1" x14ac:dyDescent="0.25">
      <c r="S103" s="108"/>
      <c r="T103" s="108"/>
      <c r="U103" s="108"/>
      <c r="V103" s="108"/>
      <c r="W103" s="108"/>
    </row>
    <row r="104" spans="19:23" ht="14.25" customHeight="1" x14ac:dyDescent="0.25">
      <c r="S104" s="108"/>
      <c r="T104" s="108"/>
      <c r="U104" s="108"/>
      <c r="V104" s="108"/>
      <c r="W104" s="108"/>
    </row>
    <row r="105" spans="19:23" ht="14.25" customHeight="1" x14ac:dyDescent="0.25">
      <c r="S105" s="108"/>
      <c r="T105" s="108"/>
      <c r="U105" s="108"/>
      <c r="V105" s="108"/>
      <c r="W105" s="108"/>
    </row>
    <row r="106" spans="19:23" ht="14.25" customHeight="1" x14ac:dyDescent="0.25">
      <c r="S106" s="108"/>
      <c r="T106" s="108"/>
      <c r="U106" s="108"/>
      <c r="V106" s="108"/>
      <c r="W106" s="108"/>
    </row>
    <row r="107" spans="19:23" ht="14.25" customHeight="1" x14ac:dyDescent="0.25">
      <c r="S107" s="108"/>
      <c r="T107" s="108"/>
      <c r="U107" s="108"/>
      <c r="V107" s="108"/>
      <c r="W107" s="108"/>
    </row>
    <row r="108" spans="19:23" ht="14.25" customHeight="1" x14ac:dyDescent="0.25">
      <c r="S108" s="108"/>
      <c r="T108" s="108"/>
      <c r="U108" s="108"/>
      <c r="V108" s="108"/>
      <c r="W108" s="108"/>
    </row>
    <row r="109" spans="19:23" ht="14.25" customHeight="1" x14ac:dyDescent="0.25">
      <c r="S109" s="108"/>
      <c r="T109" s="108"/>
      <c r="U109" s="108"/>
      <c r="V109" s="108"/>
      <c r="W109" s="108"/>
    </row>
    <row r="110" spans="19:23" ht="14.25" customHeight="1" x14ac:dyDescent="0.25">
      <c r="S110" s="108"/>
      <c r="T110" s="108"/>
      <c r="U110" s="108"/>
      <c r="V110" s="108"/>
      <c r="W110" s="108"/>
    </row>
    <row r="111" spans="19:23" ht="14.25" customHeight="1" x14ac:dyDescent="0.25">
      <c r="S111" s="108"/>
      <c r="T111" s="108"/>
      <c r="U111" s="108"/>
      <c r="V111" s="108"/>
      <c r="W111" s="108"/>
    </row>
    <row r="112" spans="19:23" ht="14.25" customHeight="1" x14ac:dyDescent="0.25">
      <c r="S112" s="108"/>
      <c r="T112" s="108"/>
      <c r="U112" s="108"/>
      <c r="V112" s="108"/>
      <c r="W112" s="108"/>
    </row>
    <row r="113" spans="2:23" ht="14.25" customHeight="1" x14ac:dyDescent="0.25">
      <c r="S113" s="108"/>
      <c r="T113" s="108"/>
      <c r="U113" s="108"/>
      <c r="V113" s="108"/>
      <c r="W113" s="108"/>
    </row>
    <row r="114" spans="2:23" ht="16.5" customHeight="1" x14ac:dyDescent="0.25">
      <c r="S114" s="108"/>
      <c r="T114" s="108"/>
      <c r="U114" s="108"/>
      <c r="V114" s="108"/>
      <c r="W114" s="108"/>
    </row>
    <row r="115" spans="2:23" ht="16.5" customHeight="1" x14ac:dyDescent="0.25">
      <c r="S115" s="108"/>
      <c r="T115" s="108"/>
      <c r="U115" s="108"/>
      <c r="V115" s="108"/>
      <c r="W115" s="108"/>
    </row>
    <row r="116" spans="2:23" ht="17.25" customHeight="1" x14ac:dyDescent="0.25">
      <c r="S116" s="108"/>
      <c r="T116" s="108"/>
      <c r="U116" s="108"/>
      <c r="V116" s="108"/>
      <c r="W116" s="108"/>
    </row>
    <row r="117" spans="2:23" ht="17.25" customHeight="1" x14ac:dyDescent="0.25">
      <c r="S117" s="108"/>
      <c r="T117" s="108"/>
      <c r="U117" s="108"/>
      <c r="V117" s="108"/>
      <c r="W117" s="108"/>
    </row>
    <row r="118" spans="2:23" ht="17.25" customHeight="1" x14ac:dyDescent="0.25">
      <c r="S118" s="108"/>
      <c r="T118" s="108"/>
      <c r="U118" s="108"/>
      <c r="V118" s="108"/>
      <c r="W118" s="108"/>
    </row>
    <row r="119" spans="2:23" ht="17.25" customHeight="1" x14ac:dyDescent="0.25"/>
    <row r="120" spans="2:23" ht="17.25" customHeight="1" x14ac:dyDescent="0.25"/>
    <row r="121" spans="2:23" ht="17.25" customHeight="1" x14ac:dyDescent="0.25"/>
    <row r="122" spans="2:23" x14ac:dyDescent="0.25">
      <c r="B122" s="1" t="s">
        <v>348</v>
      </c>
      <c r="C122" s="29" t="s">
        <v>349</v>
      </c>
    </row>
  </sheetData>
  <mergeCells count="17">
    <mergeCell ref="T5:U5"/>
    <mergeCell ref="X31:X32"/>
    <mergeCell ref="V31:V32"/>
    <mergeCell ref="V69:V70"/>
    <mergeCell ref="W69:W70"/>
    <mergeCell ref="X69:X70"/>
    <mergeCell ref="V95:V96"/>
    <mergeCell ref="T33:U33"/>
    <mergeCell ref="T36:U36"/>
    <mergeCell ref="T60:U61"/>
    <mergeCell ref="V90:V91"/>
    <mergeCell ref="Y90:Y91"/>
    <mergeCell ref="W31:W32"/>
    <mergeCell ref="X81:X82"/>
    <mergeCell ref="Y81:Y82"/>
    <mergeCell ref="V3:X3"/>
    <mergeCell ref="X90:X91"/>
  </mergeCells>
  <hyperlinks>
    <hyperlink ref="C122" r:id="rId1" display="https://www.coloradoenergy.org/procorner/stuff/r-values.htm" xr:uid="{A2DEFF62-D098-4DE5-AAD2-A1713FD648FA}"/>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A62C-1BAE-4E5C-A550-219DDED47197}">
  <dimension ref="L1"/>
  <sheetViews>
    <sheetView workbookViewId="0">
      <selection activeCell="L40" sqref="L40"/>
    </sheetView>
  </sheetViews>
  <sheetFormatPr defaultRowHeight="15" x14ac:dyDescent="0.25"/>
  <cols>
    <col min="11" max="11" width="2.85546875" customWidth="1"/>
    <col min="12" max="12" width="107.140625" customWidth="1"/>
  </cols>
  <sheetData>
    <row r="1" spans="12:12" x14ac:dyDescent="0.25">
      <c r="L1" s="29" t="s">
        <v>350</v>
      </c>
    </row>
  </sheetData>
  <hyperlinks>
    <hyperlink ref="L1" r:id="rId1" xr:uid="{7ABFA3CC-4A0E-4BAF-B65E-782AB1FDE7E6}"/>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CA19E-F736-477B-A03C-0E2D3C458454}">
  <dimension ref="B68:I76"/>
  <sheetViews>
    <sheetView topLeftCell="A52" workbookViewId="0">
      <selection activeCell="I81" sqref="I81"/>
    </sheetView>
  </sheetViews>
  <sheetFormatPr defaultRowHeight="15" x14ac:dyDescent="0.25"/>
  <cols>
    <col min="2" max="2" width="17.42578125" bestFit="1" customWidth="1"/>
    <col min="3" max="3" width="10" bestFit="1" customWidth="1"/>
    <col min="4" max="4" width="36.85546875" bestFit="1" customWidth="1"/>
    <col min="10" max="10" width="17.42578125" bestFit="1" customWidth="1"/>
  </cols>
  <sheetData>
    <row r="68" spans="2:9" x14ac:dyDescent="0.25">
      <c r="B68" s="338" t="s">
        <v>351</v>
      </c>
      <c r="C68" s="338"/>
      <c r="D68" s="338"/>
      <c r="E68" s="338"/>
      <c r="F68" s="338"/>
      <c r="G68" s="338"/>
      <c r="H68" s="338"/>
      <c r="I68" s="338"/>
    </row>
    <row r="69" spans="2:9" x14ac:dyDescent="0.25">
      <c r="B69" s="338"/>
      <c r="C69" s="338"/>
      <c r="D69" s="338"/>
      <c r="E69" s="338"/>
      <c r="F69" s="338"/>
      <c r="G69" s="338"/>
      <c r="H69" s="338"/>
      <c r="I69" s="338"/>
    </row>
    <row r="70" spans="2:9" x14ac:dyDescent="0.25">
      <c r="B70" s="2" t="s">
        <v>352</v>
      </c>
      <c r="C70" s="2" t="s">
        <v>353</v>
      </c>
      <c r="D70" s="2" t="s">
        <v>354</v>
      </c>
      <c r="E70" s="2"/>
      <c r="F70" s="2"/>
      <c r="G70" s="2"/>
      <c r="H70" s="2"/>
      <c r="I70" s="2"/>
    </row>
    <row r="71" spans="2:9" x14ac:dyDescent="0.25">
      <c r="B71" t="s">
        <v>355</v>
      </c>
      <c r="C71" t="s">
        <v>356</v>
      </c>
      <c r="D71" t="s">
        <v>38</v>
      </c>
    </row>
    <row r="72" spans="2:9" x14ac:dyDescent="0.25">
      <c r="B72" t="s">
        <v>357</v>
      </c>
      <c r="C72" t="s">
        <v>76</v>
      </c>
      <c r="D72" t="s">
        <v>358</v>
      </c>
    </row>
    <row r="73" spans="2:9" x14ac:dyDescent="0.25">
      <c r="B73" t="s">
        <v>74</v>
      </c>
      <c r="C73" t="s">
        <v>359</v>
      </c>
      <c r="D73" t="s">
        <v>360</v>
      </c>
    </row>
    <row r="74" spans="2:9" x14ac:dyDescent="0.25">
      <c r="B74" t="s">
        <v>361</v>
      </c>
      <c r="C74" t="s">
        <v>73</v>
      </c>
      <c r="D74" t="s">
        <v>362</v>
      </c>
    </row>
    <row r="75" spans="2:9" x14ac:dyDescent="0.25">
      <c r="B75" t="s">
        <v>363</v>
      </c>
      <c r="C75" t="s">
        <v>357</v>
      </c>
      <c r="D75" t="s">
        <v>364</v>
      </c>
    </row>
    <row r="76" spans="2:9" x14ac:dyDescent="0.25">
      <c r="C76" t="s">
        <v>365</v>
      </c>
    </row>
  </sheetData>
  <mergeCells count="1">
    <mergeCell ref="B68:I6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P R l 9 W M 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9 G X 1 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R l 9 W C i K R 7 g O A A A A E Q A A A B M A H A B G b 3 J t d W x h c y 9 T Z W N 0 a W 9 u M S 5 t I K I Y A C i g F A A A A A A A A A A A A A A A A A A A A A A A A A A A A C t O T S 7 J z M 9 T C I b Q h t Y A U E s B A i 0 A F A A C A A g A P R l 9 W M 4 e l 8 e j A A A A 9 g A A A B I A A A A A A A A A A A A A A A A A A A A A A E N v b m Z p Z y 9 Q Y W N r Y W d l L n h t b F B L A Q I t A B Q A A g A I A D 0 Z f V g P y u m r p A A A A O k A A A A T A A A A A A A A A A A A A A A A A O 8 A A A B b Q 2 9 u d G V u d F 9 U e X B l c 1 0 u e G 1 s U E s B A i 0 A F A A C A A g A P R l 9 W C 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m / p B p e w 7 t B j 8 X N L P + K Y b 0 A A A A A A g A A A A A A A 2 Y A A M A A A A A Q A A A A G 6 5 8 N G m r Q n T A r p q e H 2 2 M y g A A A A A E g A A A o A A A A B A A A A D 9 e G M D o S a Y 1 i 7 9 T j e n L V I R U A A A A D 4 Y h 8 3 J e 8 I n 4 R r e s Z 2 8 x a T 6 S D B h o l / A 2 S G W 5 l j D 8 u r F s x 6 e 5 + H R s c / C v X r U U L / A M B o c w 3 / H g M B r 1 P I g 9 n W c J j J X M P A W o W q 9 R c s 9 G t e M u / X I F A A A A E + G A e 1 l C 8 c y Q D C w P J Z W I O 3 P K 4 z 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93446CC6322EE649981FA3B019705181" ma:contentTypeVersion="16" ma:contentTypeDescription="Create a new document." ma:contentTypeScope="" ma:versionID="bd6ede14fa770dffa5e678da4408ef9a">
  <xsd:schema xmlns:xsd="http://www.w3.org/2001/XMLSchema" xmlns:xs="http://www.w3.org/2001/XMLSchema" xmlns:p="http://schemas.microsoft.com/office/2006/metadata/properties" xmlns:ns2="3febc571-999e-4e71-a978-107aef08847b" xmlns:ns3="43bfd20f-d862-49f9-bdf7-0539a0231ce1" targetNamespace="http://schemas.microsoft.com/office/2006/metadata/properties" ma:root="true" ma:fieldsID="16f6bb0727b8ed48d733e6b12a8062c6" ns2:_="" ns3:_="">
    <xsd:import namespace="3febc571-999e-4e71-a978-107aef08847b"/>
    <xsd:import namespace="43bfd20f-d862-49f9-bdf7-0539a0231ce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ebc571-999e-4e71-a978-107aef088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b4f074c-b2b8-450b-8d7f-e48a28ce4cf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ink" ma:index="23"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bfd20f-d862-49f9-bdf7-0539a0231ce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c60ffd7-866a-4bb5-b0db-9980088c1e43}" ma:internalName="TaxCatchAll" ma:showField="CatchAllData" ma:web="43bfd20f-d862-49f9-bdf7-0539a0231c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3bfd20f-d862-49f9-bdf7-0539a0231ce1">
      <UserInfo>
        <DisplayName>Heo, Jean (HPD)</DisplayName>
        <AccountId>27</AccountId>
        <AccountType/>
      </UserInfo>
    </SharedWithUsers>
    <TaxCatchAll xmlns="43bfd20f-d862-49f9-bdf7-0539a0231ce1" xsi:nil="true"/>
    <lcf76f155ced4ddcb4097134ff3c332f xmlns="3febc571-999e-4e71-a978-107aef08847b">
      <Terms xmlns="http://schemas.microsoft.com/office/infopath/2007/PartnerControls"/>
    </lcf76f155ced4ddcb4097134ff3c332f>
    <link xmlns="3febc571-999e-4e71-a978-107aef08847b">
      <Url xsi:nil="true"/>
      <Description xsi:nil="true"/>
    </link>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79C27F-3A6B-4111-94E7-76D5AB193B56}">
  <ds:schemaRefs>
    <ds:schemaRef ds:uri="http://schemas.microsoft.com/DataMashup"/>
  </ds:schemaRefs>
</ds:datastoreItem>
</file>

<file path=customXml/itemProps2.xml><?xml version="1.0" encoding="utf-8"?>
<ds:datastoreItem xmlns:ds="http://schemas.openxmlformats.org/officeDocument/2006/customXml" ds:itemID="{EDCF63C1-4857-46BA-866C-78D9CF052A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ebc571-999e-4e71-a978-107aef08847b"/>
    <ds:schemaRef ds:uri="43bfd20f-d862-49f9-bdf7-0539a0231c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6A0E9F-32B4-4914-960E-26BF1FF3ED7D}">
  <ds:schemaRefs>
    <ds:schemaRef ds:uri="http://schemas.microsoft.com/office/2006/metadata/properties"/>
    <ds:schemaRef ds:uri="http://schemas.microsoft.com/office/infopath/2007/PartnerControls"/>
    <ds:schemaRef ds:uri="43bfd20f-d862-49f9-bdf7-0539a0231ce1"/>
    <ds:schemaRef ds:uri="3febc571-999e-4e71-a978-107aef08847b"/>
  </ds:schemaRefs>
</ds:datastoreItem>
</file>

<file path=customXml/itemProps4.xml><?xml version="1.0" encoding="utf-8"?>
<ds:datastoreItem xmlns:ds="http://schemas.openxmlformats.org/officeDocument/2006/customXml" ds:itemID="{257E8367-4023-45D5-BE46-1E3C1BB66725}">
  <ds:schemaRefs>
    <ds:schemaRef ds:uri="http://schemas.microsoft.com/sharepoint/v3/contenttype/forms"/>
  </ds:schemaRefs>
</ds:datastoreItem>
</file>

<file path=docMetadata/LabelInfo.xml><?xml version="1.0" encoding="utf-8"?>
<clbl:labelList xmlns:clbl="http://schemas.microsoft.com/office/2020/mipLabelMetadata">
  <clbl:label id="{448151e3-dd12-48c1-aa8d-045ec2a1daaa}" enabled="1" method="Standard" siteId="{9775d500-e49b-49a7-9e24-1ada087be6e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Scope 3 Analysis</vt:lpstr>
      <vt:lpstr>Assembly R-Val Calculator</vt:lpstr>
      <vt:lpstr>Derate Calculator - Hide</vt:lpstr>
      <vt:lpstr>Wall &amp; Roof Type Calculator Old</vt:lpstr>
      <vt:lpstr>R-Value Lookup_UPDATED</vt:lpstr>
      <vt:lpstr>R-Value Lookup</vt:lpstr>
      <vt:lpstr>R-Value Lookup EERE</vt:lpstr>
      <vt:lpstr>2020 NYCECC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Heo, Jean</dc:creator>
  <cp:keywords/>
  <dc:description/>
  <cp:lastModifiedBy>Leone, Jennifer (HPD)</cp:lastModifiedBy>
  <cp:revision/>
  <dcterms:created xsi:type="dcterms:W3CDTF">2022-07-21T15:49:04Z</dcterms:created>
  <dcterms:modified xsi:type="dcterms:W3CDTF">2025-06-02T18:58:05Z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0x01010093446CC6322EE649981FA3B019705181</vt:lpwstr>
  </property>
  <property fmtid="{D5CDD505-2E9C-101B-9397-08002B2CF9AE}" pid="3" name="MediaServiceImageTags">
    <vt:lpwstr/>
  </property>
  <property fmtid="{D5CDD505-2E9C-101B-9397-08002B2CF9AE}" pid="4" name="_dlc_DocIdItemGuid">
    <vt:lpwstr>d601f40c-0f85-4f6b-91e9-73e3ecb05285</vt:lpwstr>
  </property>
  <property fmtid="{D5CDD505-2E9C-101B-9397-08002B2CF9AE}" pid="5" name="MSIP_Label_ebba276f-0474-4e48-a2bc-69b0eb22318c_Enabled">
    <vt:lpwstr>true</vt:lpwstr>
  </property>
  <property fmtid="{D5CDD505-2E9C-101B-9397-08002B2CF9AE}" pid="6" name="MSIP_Label_ebba276f-0474-4e48-a2bc-69b0eb22318c_SetDate">
    <vt:lpwstr>2024-07-18T20:48:07Z</vt:lpwstr>
  </property>
  <property fmtid="{D5CDD505-2E9C-101B-9397-08002B2CF9AE}" pid="7" name="MSIP_Label_ebba276f-0474-4e48-a2bc-69b0eb22318c_Method">
    <vt:lpwstr>Standard</vt:lpwstr>
  </property>
  <property fmtid="{D5CDD505-2E9C-101B-9397-08002B2CF9AE}" pid="8" name="MSIP_Label_ebba276f-0474-4e48-a2bc-69b0eb22318c_Name">
    <vt:lpwstr>Non-Restricted-Main</vt:lpwstr>
  </property>
  <property fmtid="{D5CDD505-2E9C-101B-9397-08002B2CF9AE}" pid="9" name="MSIP_Label_ebba276f-0474-4e48-a2bc-69b0eb22318c_SiteId">
    <vt:lpwstr>32f56fc7-5f81-4e22-a95b-15da66513bef</vt:lpwstr>
  </property>
  <property fmtid="{D5CDD505-2E9C-101B-9397-08002B2CF9AE}" pid="10" name="MSIP_Label_ebba276f-0474-4e48-a2bc-69b0eb22318c_ActionId">
    <vt:lpwstr>144010fc-42e6-4895-bc9d-961fc3347e00</vt:lpwstr>
  </property>
  <property fmtid="{D5CDD505-2E9C-101B-9397-08002B2CF9AE}" pid="11" name="MSIP_Label_ebba276f-0474-4e48-a2bc-69b0eb22318c_ContentBits">
    <vt:lpwstr>0</vt:lpwstr>
  </property>
</Properties>
</file>