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nyco365.sharepoint.com/sites/HPD-OPS-SUS/Shared Documents/General/AA-Website Updates/2025/June/"/>
    </mc:Choice>
  </mc:AlternateContent>
  <xr:revisionPtr revIDLastSave="14" documentId="8_{EAC4E58E-70A3-4C0E-B9B1-3A838752FD88}" xr6:coauthVersionLast="47" xr6:coauthVersionMax="47" xr10:uidLastSave="{88C4FC20-F664-46F1-A4A5-021BDFE71FF8}"/>
  <workbookProtection workbookAlgorithmName="SHA-512" workbookHashValue="RRZ/vOiFUfLGI5IVl74KcycInb7b0fEHWnyB3ufV17dNYXHm1qLw54/cxwtiS+BVyP+NfHoE3ar6hWMwVAUNPQ==" workbookSaltValue="FoJgGAhtntiegGGLVaLs9A==" workbookSpinCount="100000" lockStructure="1"/>
  <bookViews>
    <workbookView xWindow="-28380" yWindow="0" windowWidth="27780" windowHeight="15540" tabRatio="749" firstSheet="5" activeTab="1" xr2:uid="{00000000-000D-0000-FFFF-FFFF00000000}"/>
  </bookViews>
  <sheets>
    <sheet name="Proforma Active" sheetId="108" state="hidden" r:id="rId1"/>
    <sheet name="REDiTool" sheetId="91" r:id="rId2"/>
    <sheet name="Contact List" sheetId="88" state="hidden" r:id="rId3"/>
    <sheet name="Photo Links &amp; Misc" sheetId="92" state="hidden" r:id="rId4"/>
    <sheet name="TAP Instructions" sheetId="103" state="hidden" r:id="rId5"/>
    <sheet name="REDi Tool User Instructions" sheetId="115" r:id="rId6"/>
    <sheet name="Dropdowns_v2" sheetId="93" state="hidden" r:id="rId7"/>
    <sheet name="Updated Incentive Analysis" sheetId="113" state="hidden" r:id="rId8"/>
    <sheet name="Tool Fixes" sheetId="104" state="hidden" r:id="rId9"/>
    <sheet name="Heating Degree Days" sheetId="106" state="hidden" r:id="rId10"/>
    <sheet name="New Cadmus Notes" sheetId="100" state="hidden" r:id="rId11"/>
  </sheets>
  <definedNames>
    <definedName name="_Basic_Response">OFFSET(Dropdowns_v2!$B$1, MATCH("Basic Response",Dropdowns_v2!$C$2:$C$247, 0), 0, COUNTIF(Dropdowns_v2!$C$2:$C$247, "Basic Response"), 1)</definedName>
    <definedName name="_Binary_Response">OFFSET(Dropdowns_v2!$B$1, MATCH("Binary Response",Dropdowns_v2!$C$2:$C$247, 0), 0, COUNTIF(Dropdowns_v2!$C$2:$C$247, "Binary Response"), 1)</definedName>
    <definedName name="_Cooking">Dropdowns_v2!$B$154:$B$157</definedName>
    <definedName name="_DHW_Efficiency_Measures">OFFSET(Dropdowns_v2!$B$1, MATCH("DHW Efficiency Measures",Dropdowns_v2!$C$2:$C$247, 0), 0, COUNTIF(Dropdowns_v2!$C$2:$C$247, "DHW Efficiency Measures"), 1)</definedName>
    <definedName name="_DHW_Efficiency_Plant_Efficiency">OFFSET(Dropdowns_v2!$B$1, MATCH("DHW Efficiency; Plant Efficiency",Dropdowns_v2!$C$2:$C$247, 0), 0, COUNTIF(Dropdowns_v2!$C$2:$C$247, "DHW Efficiency; Plant Efficiency"), 1)</definedName>
    <definedName name="_DHW_Systems_Proposed">OFFSET(Dropdowns_v2!$B$1, MATCH("DHW Systems Proposed",Dropdowns_v2!$C$2:$C$247, 0), 0, COUNTIF(Dropdowns_v2!$C$2:$C$247, "DHW Systems Proposed"), 1)</definedName>
    <definedName name="_Electrical_Upgrades">OFFSET(Dropdowns_v2!$B$1, MATCH("Electrical Upgrades", Dropdowns_v2!$C$2:$C$247, 0), 0, COUNTIF(Dropdowns_v2!$C$2:$C$247, "Electrical Upgrades"), 1)</definedName>
    <definedName name="_Envelope_Roof">OFFSET(Dropdowns_v2!$B$1, MATCH("Envelope Roof",Dropdowns_v2!$C$2:$C$247, 0), 0, COUNTIF(Dropdowns_v2!$C$2:$C$247, "Envelope Roof"), 1)</definedName>
    <definedName name="_Envelope_Ventilation">OFFSET(Dropdowns_v2!$B$1, MATCH("Envelope Ventilation",Dropdowns_v2!$C$2:$C$247, 0), 0, COUNTIF(Dropdowns_v2!$C$2:$C$247, "Envelope Ventilation"), 1)</definedName>
    <definedName name="_Envelope_Wall">Dropdowns_v2!$B$144:$B$148</definedName>
    <definedName name="_Envelope_Window">Dropdowns_v2!$B$138:$B$140</definedName>
    <definedName name="_Existing_DHW_System">OFFSET(Dropdowns_v2!$B$1, MATCH("Existing DHW System",Dropdowns_v2!$C$2:$C$247, 0), 0, COUNTIF(Dropdowns_v2!$C$2:$C$247, "Existing DHW System"), 1)</definedName>
    <definedName name="_Existing_Heating_System">OFFSET(Dropdowns_v2!$B$1, MATCH("Existing Heating System",Dropdowns_v2!$C$2:$C$247, 0), 0, COUNTIF(Dropdowns_v2!$C$2:$C$247, "Existing Heating System"), 1)</definedName>
    <definedName name="_xlnm._FilterDatabase" localSheetId="6" hidden="1">Dropdowns_v2!$B$1:$G$248</definedName>
    <definedName name="_xlnm._FilterDatabase" localSheetId="0" hidden="1">'Proforma Active'!$B$2:$G$77</definedName>
    <definedName name="_xlnm._FilterDatabase" localSheetId="1" hidden="1">REDiTool!$A$1:$D$302</definedName>
    <definedName name="_Fuel_Type">OFFSET(Dropdowns_v2!$B$1, MATCH("Fuel Type",Dropdowns_v2!$C$2:$C$247, 0), 0, COUNTIF(Dropdowns_v2!$C$2:$C$247, "Fuel Type"), 1)</definedName>
    <definedName name="_Heating_System_Residential">OFFSET(Dropdowns_v2!$B$1, MATCH("Heating System Residential",Dropdowns_v2!$C$2:$C$247, 0), 0, COUNTIF(Dropdowns_v2!$C$2:$C$247, "Heating System Residential"), 1)</definedName>
    <definedName name="_Proposed_Scope">OFFSET(Dropdowns_v2!$B$1, MATCH("Proposed Scope",Dropdowns_v2!$C$2:$C$247, 0), 0, COUNTIF(Dropdowns_v2!$C$2:$C$247, "Proposed Scope"), 1)</definedName>
    <definedName name="Envelope_Wall">Dropdowns_v2!$B$144</definedName>
    <definedName name="_xlnm.Print_Area" localSheetId="2">'Contact List'!$A$1:$E$12</definedName>
    <definedName name="_xlnm.Print_Area" localSheetId="0">'Proforma Active'!$B$2:$G$129</definedName>
    <definedName name="_xlnm.Print_Area" localSheetId="1">REDiTool!$B$1:$M$307</definedName>
    <definedName name="Z_D1DCBC79_82EE_40A7_8D94_F5CB71521B47_.wvu.Rows" localSheetId="2" hidden="1">'Contact List'!#REF!</definedName>
    <definedName name="Z_D1DCBC79_82EE_40A7_8D94_F5CB71521B47_.wvu.Rows" localSheetId="3" hidden="1">'Photo Links &amp; Misc'!#REF!</definedName>
  </definedNames>
  <calcPr calcId="191028"/>
  <customWorkbookViews>
    <customWorkbookView name="Summary View" guid="{D1DCBC79-82EE-40A7-8D94-F5CB71521B47}" windowWidth="3000" windowHeight="1962" tabRatio="899" activeSheetId="7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115" l="1"/>
  <c r="C12" i="115"/>
  <c r="C18" i="115"/>
  <c r="C19" i="115"/>
  <c r="C9" i="115"/>
  <c r="C10" i="115"/>
  <c r="G3" i="91"/>
  <c r="S9" i="91"/>
  <c r="T9" i="91"/>
  <c r="U9" i="91"/>
  <c r="G9" i="91"/>
  <c r="H9" i="91"/>
  <c r="I9" i="91"/>
  <c r="J9" i="91"/>
  <c r="K9" i="91"/>
  <c r="L9" i="91"/>
  <c r="M9" i="91"/>
  <c r="N9" i="91"/>
  <c r="O9" i="91"/>
  <c r="F9" i="91"/>
  <c r="I120" i="91"/>
  <c r="G86" i="91" a="1"/>
  <c r="G86" i="91" s="1"/>
  <c r="G87" i="91" s="1"/>
  <c r="G88" i="91"/>
  <c r="G90" i="91" s="1" a="1"/>
  <c r="G90" i="91" s="1"/>
  <c r="G91" i="91" s="1"/>
  <c r="U162" i="91"/>
  <c r="T162" i="91"/>
  <c r="S162" i="91"/>
  <c r="O140" i="91"/>
  <c r="O139" i="91" a="1"/>
  <c r="O139" i="91" s="1"/>
  <c r="O137" i="91"/>
  <c r="O136" i="91"/>
  <c r="O135" i="91" a="1"/>
  <c r="O135" i="91" s="1"/>
  <c r="O134" i="91" a="1"/>
  <c r="O134" i="91" s="1"/>
  <c r="O130" i="91" a="1"/>
  <c r="O130" i="91" s="1"/>
  <c r="O128" i="91" a="1"/>
  <c r="O128" i="91" s="1"/>
  <c r="O127" i="91"/>
  <c r="O125" i="91"/>
  <c r="N140" i="91"/>
  <c r="N139" i="91" a="1"/>
  <c r="N139" i="91" s="1"/>
  <c r="N137" i="91"/>
  <c r="N136" i="91"/>
  <c r="N135" i="91" a="1"/>
  <c r="N135" i="91" s="1"/>
  <c r="N134" i="91" a="1"/>
  <c r="N134" i="91" s="1"/>
  <c r="N130" i="91" a="1"/>
  <c r="N130" i="91" s="1"/>
  <c r="N128" i="91" a="1"/>
  <c r="N128" i="91" s="1"/>
  <c r="N127" i="91"/>
  <c r="N125" i="91"/>
  <c r="M140" i="91"/>
  <c r="M139" i="91" a="1"/>
  <c r="M139" i="91" s="1"/>
  <c r="M137" i="91"/>
  <c r="M136" i="91"/>
  <c r="M135" i="91" a="1"/>
  <c r="M135" i="91" s="1"/>
  <c r="M134" i="91" a="1"/>
  <c r="M134" i="91" s="1"/>
  <c r="M130" i="91" a="1"/>
  <c r="M130" i="91" s="1"/>
  <c r="M128" i="91" a="1"/>
  <c r="M128" i="91" s="1"/>
  <c r="M127" i="91"/>
  <c r="M125" i="91"/>
  <c r="L140" i="91"/>
  <c r="L139" i="91" a="1"/>
  <c r="L139" i="91" s="1"/>
  <c r="L137" i="91"/>
  <c r="L136" i="91"/>
  <c r="L135" i="91" a="1"/>
  <c r="L135" i="91" s="1"/>
  <c r="L134" i="91" a="1"/>
  <c r="L134" i="91" s="1"/>
  <c r="L130" i="91" a="1"/>
  <c r="L130" i="91" s="1"/>
  <c r="L128" i="91" a="1"/>
  <c r="L128" i="91" s="1"/>
  <c r="L127" i="91"/>
  <c r="L125" i="91"/>
  <c r="K140" i="91"/>
  <c r="K139" i="91" a="1"/>
  <c r="K139" i="91" s="1"/>
  <c r="K137" i="91"/>
  <c r="K136" i="91"/>
  <c r="K135" i="91" a="1"/>
  <c r="K135" i="91" s="1"/>
  <c r="K134" i="91" a="1"/>
  <c r="K134" i="91" s="1"/>
  <c r="K130" i="91" a="1"/>
  <c r="K130" i="91" s="1"/>
  <c r="K128" i="91" a="1"/>
  <c r="K128" i="91" s="1"/>
  <c r="K127" i="91"/>
  <c r="K125" i="91"/>
  <c r="J140" i="91"/>
  <c r="J139" i="91" a="1"/>
  <c r="J139" i="91" s="1"/>
  <c r="J137" i="91"/>
  <c r="J136" i="91"/>
  <c r="J135" i="91" a="1"/>
  <c r="J135" i="91" s="1"/>
  <c r="J134" i="91" a="1"/>
  <c r="J134" i="91" s="1"/>
  <c r="J130" i="91" a="1"/>
  <c r="J130" i="91" s="1"/>
  <c r="J128" i="91" a="1"/>
  <c r="J128" i="91" s="1"/>
  <c r="J127" i="91"/>
  <c r="J125" i="91"/>
  <c r="I140" i="91"/>
  <c r="I139" i="91" a="1"/>
  <c r="I139" i="91" s="1"/>
  <c r="I137" i="91"/>
  <c r="I136" i="91"/>
  <c r="I135" i="91" a="1"/>
  <c r="I135" i="91" s="1"/>
  <c r="I134" i="91" a="1"/>
  <c r="I134" i="91" s="1"/>
  <c r="I130" i="91" a="1"/>
  <c r="I130" i="91" s="1"/>
  <c r="I128" i="91" a="1"/>
  <c r="I128" i="91" s="1"/>
  <c r="I127" i="91"/>
  <c r="I125" i="91"/>
  <c r="H139" i="91" a="1"/>
  <c r="H139" i="91" s="1"/>
  <c r="H137" i="91"/>
  <c r="H136" i="91"/>
  <c r="H135" i="91" a="1"/>
  <c r="H135" i="91" s="1"/>
  <c r="H134" i="91" a="1"/>
  <c r="H134" i="91" s="1"/>
  <c r="H130" i="91" a="1"/>
  <c r="H130" i="91" s="1"/>
  <c r="H127" i="91"/>
  <c r="G139" i="91" a="1"/>
  <c r="G139" i="91" s="1"/>
  <c r="G137" i="91"/>
  <c r="G136" i="91"/>
  <c r="G135" i="91" a="1"/>
  <c r="G135" i="91" s="1"/>
  <c r="G134" i="91" a="1"/>
  <c r="G134" i="91" s="1"/>
  <c r="G130" i="91" a="1"/>
  <c r="G130" i="91" s="1"/>
  <c r="G127" i="91"/>
  <c r="F139" i="91" a="1"/>
  <c r="F139" i="91" s="1"/>
  <c r="F137" i="91"/>
  <c r="F136" i="91"/>
  <c r="F135" i="91" a="1"/>
  <c r="F135" i="91" s="1"/>
  <c r="F134" i="91" a="1"/>
  <c r="F134" i="91" s="1"/>
  <c r="F130" i="91" a="1"/>
  <c r="F130" i="91" s="1"/>
  <c r="F128" i="91" a="1"/>
  <c r="F128" i="91" s="1"/>
  <c r="F127" i="91"/>
  <c r="G5" i="113"/>
  <c r="G11" i="113"/>
  <c r="G12" i="113"/>
  <c r="G13" i="113"/>
  <c r="G14" i="113"/>
  <c r="G15" i="113"/>
  <c r="G16" i="113"/>
  <c r="G17" i="113"/>
  <c r="G10" i="113"/>
  <c r="G9" i="113"/>
  <c r="G8" i="113"/>
  <c r="G7" i="113"/>
  <c r="G6" i="113"/>
  <c r="O217" i="91"/>
  <c r="N217" i="91"/>
  <c r="M217" i="91"/>
  <c r="L217" i="91"/>
  <c r="K217" i="91"/>
  <c r="J217" i="91"/>
  <c r="I217" i="91"/>
  <c r="H217" i="91"/>
  <c r="G217" i="91"/>
  <c r="F217" i="91"/>
  <c r="U217" i="91"/>
  <c r="T217" i="91"/>
  <c r="S217" i="91"/>
  <c r="E8" i="113"/>
  <c r="E44" i="113"/>
  <c r="E33" i="113"/>
  <c r="J9" i="113"/>
  <c r="J12" i="113"/>
  <c r="J15" i="113"/>
  <c r="K15" i="113"/>
  <c r="K13" i="113"/>
  <c r="F13" i="113"/>
  <c r="I10" i="113"/>
  <c r="I16" i="113" s="1"/>
  <c r="I17" i="113" s="1"/>
  <c r="K8" i="113"/>
  <c r="J7" i="113"/>
  <c r="E17" i="113"/>
  <c r="F16" i="113"/>
  <c r="F15" i="113"/>
  <c r="F14" i="113"/>
  <c r="F12" i="113"/>
  <c r="F11" i="113"/>
  <c r="F10" i="113"/>
  <c r="F9" i="113"/>
  <c r="F8" i="113"/>
  <c r="F7" i="113"/>
  <c r="F6" i="113"/>
  <c r="F5" i="113"/>
  <c r="J144" i="91"/>
  <c r="G92" i="91" l="1"/>
  <c r="H44" i="113"/>
  <c r="G44" i="113"/>
  <c r="F44" i="113"/>
  <c r="K16" i="113"/>
  <c r="K17" i="113" s="1"/>
  <c r="J16" i="113"/>
  <c r="J17" i="113" s="1"/>
  <c r="F17" i="113"/>
  <c r="U155" i="91" l="1"/>
  <c r="T155" i="91"/>
  <c r="S155" i="91"/>
  <c r="O155" i="91"/>
  <c r="N155" i="91"/>
  <c r="M155" i="91"/>
  <c r="L155" i="91"/>
  <c r="K155" i="91"/>
  <c r="J155" i="91"/>
  <c r="I155" i="91"/>
  <c r="H155" i="91"/>
  <c r="G155" i="91"/>
  <c r="F155" i="91"/>
  <c r="U156" i="91" a="1"/>
  <c r="U156" i="91" s="1"/>
  <c r="T156" i="91" a="1"/>
  <c r="T156" i="91" s="1"/>
  <c r="S156" i="91" a="1"/>
  <c r="S156" i="91" s="1"/>
  <c r="O154" i="91"/>
  <c r="M154" i="91"/>
  <c r="L154" i="91"/>
  <c r="K154" i="91"/>
  <c r="J154" i="91"/>
  <c r="I154" i="91"/>
  <c r="H154" i="91"/>
  <c r="G154" i="91"/>
  <c r="F154" i="91"/>
  <c r="U154" i="91"/>
  <c r="T154" i="91"/>
  <c r="S154" i="91"/>
  <c r="S171" i="91" a="1"/>
  <c r="S171" i="91" s="1"/>
  <c r="U175" i="91" a="1"/>
  <c r="U175" i="91" s="1"/>
  <c r="U174" i="91" a="1"/>
  <c r="U174" i="91" s="1"/>
  <c r="U173" i="91" a="1"/>
  <c r="U173" i="91" s="1"/>
  <c r="U172" i="91" a="1"/>
  <c r="U172" i="91" s="1"/>
  <c r="U171" i="91" a="1"/>
  <c r="U171" i="91" s="1"/>
  <c r="U170" i="91" a="1"/>
  <c r="U170" i="91" s="1"/>
  <c r="U169" i="91"/>
  <c r="U168" i="91" a="1"/>
  <c r="U168" i="91" s="1"/>
  <c r="U167" i="91" a="1"/>
  <c r="U167" i="91" s="1"/>
  <c r="U166" i="91" a="1"/>
  <c r="U166" i="91" s="1"/>
  <c r="T175" i="91" a="1"/>
  <c r="T175" i="91" s="1"/>
  <c r="T174" i="91" a="1"/>
  <c r="T174" i="91" s="1"/>
  <c r="T173" i="91" a="1"/>
  <c r="T173" i="91" s="1"/>
  <c r="T172" i="91" a="1"/>
  <c r="T172" i="91" s="1"/>
  <c r="T171" i="91" a="1"/>
  <c r="T171" i="91" s="1"/>
  <c r="T170" i="91" a="1"/>
  <c r="T170" i="91" s="1"/>
  <c r="T169" i="91"/>
  <c r="T168" i="91" a="1"/>
  <c r="T168" i="91" s="1"/>
  <c r="T167" i="91" a="1"/>
  <c r="T167" i="91" s="1"/>
  <c r="S176" i="91" a="1"/>
  <c r="S176" i="91" s="1"/>
  <c r="S175" i="91" a="1"/>
  <c r="S175" i="91" s="1"/>
  <c r="S174" i="91" a="1"/>
  <c r="S174" i="91" s="1"/>
  <c r="S173" i="91" a="1"/>
  <c r="S173" i="91" s="1"/>
  <c r="S172" i="91" a="1"/>
  <c r="S172" i="91" s="1"/>
  <c r="S170" i="91" a="1"/>
  <c r="S170" i="91" s="1"/>
  <c r="S169" i="91"/>
  <c r="S168" i="91" a="1"/>
  <c r="S168" i="91" s="1"/>
  <c r="S167" i="91" a="1"/>
  <c r="S167" i="91" s="1"/>
  <c r="S166" i="91" a="1"/>
  <c r="S166" i="91" s="1"/>
  <c r="S163" i="91"/>
  <c r="S164" i="91" s="1"/>
  <c r="H36" i="113"/>
  <c r="C35" i="113"/>
  <c r="E35" i="113" s="1"/>
  <c r="E43" i="113"/>
  <c r="H42" i="113"/>
  <c r="H43" i="113" s="1"/>
  <c r="G42" i="113"/>
  <c r="G43" i="113" s="1"/>
  <c r="F42" i="113"/>
  <c r="F43" i="113" s="1"/>
  <c r="C26" i="113"/>
  <c r="E26" i="113" s="1"/>
  <c r="E23" i="113"/>
  <c r="H33" i="113"/>
  <c r="G33" i="113"/>
  <c r="F33" i="113"/>
  <c r="H31" i="113"/>
  <c r="H32" i="113" s="1"/>
  <c r="G31" i="113"/>
  <c r="G32" i="113" s="1"/>
  <c r="F31" i="113"/>
  <c r="F32" i="113" s="1"/>
  <c r="E32" i="113"/>
  <c r="D148" i="93"/>
  <c r="E25" i="113"/>
  <c r="E24" i="113"/>
  <c r="E22" i="113"/>
  <c r="S219" i="91"/>
  <c r="T219" i="91"/>
  <c r="U219" i="91"/>
  <c r="G219" i="91"/>
  <c r="H219" i="91"/>
  <c r="I219" i="91"/>
  <c r="J219" i="91"/>
  <c r="K219" i="91"/>
  <c r="L219" i="91"/>
  <c r="M219" i="91"/>
  <c r="N219" i="91"/>
  <c r="O219" i="91"/>
  <c r="S8" i="91"/>
  <c r="U163" i="91"/>
  <c r="U164" i="91" s="1"/>
  <c r="U299" i="91" a="1"/>
  <c r="U299" i="91" s="1"/>
  <c r="U300" i="91" s="1"/>
  <c r="U296" i="91"/>
  <c r="U297" i="91" s="1"/>
  <c r="T296" i="91"/>
  <c r="T297" i="91" s="1"/>
  <c r="U277" i="91"/>
  <c r="T277" i="91"/>
  <c r="U272" i="91"/>
  <c r="T272" i="91"/>
  <c r="U246" i="91" a="1"/>
  <c r="U246" i="91" s="1"/>
  <c r="T246" i="91" a="1"/>
  <c r="T246" i="91" s="1"/>
  <c r="U241" i="91" a="1"/>
  <c r="U241" i="91" s="1"/>
  <c r="T241" i="91" a="1"/>
  <c r="T241" i="91" s="1"/>
  <c r="U232" i="91" a="1"/>
  <c r="U232" i="91" s="1"/>
  <c r="T232" i="91" a="1"/>
  <c r="T232" i="91" s="1"/>
  <c r="U223" i="91" a="1"/>
  <c r="U223" i="91" s="1"/>
  <c r="T223" i="91" a="1"/>
  <c r="T223" i="91" s="1"/>
  <c r="U222" i="91" a="1"/>
  <c r="U222" i="91" s="1"/>
  <c r="T222" i="91" a="1"/>
  <c r="T222" i="91" s="1"/>
  <c r="U221" i="91" a="1"/>
  <c r="U221" i="91" s="1"/>
  <c r="T221" i="91" a="1"/>
  <c r="T221" i="91" s="1"/>
  <c r="U220" i="91"/>
  <c r="T220" i="91"/>
  <c r="U218" i="91" a="1"/>
  <c r="U218" i="91" s="1"/>
  <c r="T218" i="91" a="1"/>
  <c r="T218" i="91" s="1"/>
  <c r="U216" i="91"/>
  <c r="T216" i="91"/>
  <c r="U215" i="91" a="1"/>
  <c r="U215" i="91" s="1"/>
  <c r="T215" i="91" a="1"/>
  <c r="T215" i="91" s="1"/>
  <c r="U200" i="91"/>
  <c r="T200" i="91"/>
  <c r="U199" i="91"/>
  <c r="T199" i="91"/>
  <c r="U198" i="91"/>
  <c r="T198" i="91"/>
  <c r="U153" i="91" a="1"/>
  <c r="U153" i="91" s="1"/>
  <c r="T153" i="91" a="1"/>
  <c r="T153" i="91" s="1"/>
  <c r="U152" i="91" a="1"/>
  <c r="U152" i="91" s="1"/>
  <c r="T152" i="91" a="1"/>
  <c r="T152" i="91" s="1"/>
  <c r="U139" i="91" a="1"/>
  <c r="U139" i="91" s="1"/>
  <c r="T139" i="91" a="1"/>
  <c r="T139" i="91" s="1"/>
  <c r="U137" i="91"/>
  <c r="T137" i="91"/>
  <c r="U135" i="91" a="1"/>
  <c r="U135" i="91" s="1"/>
  <c r="T135" i="91" a="1"/>
  <c r="T135" i="91" s="1"/>
  <c r="U134" i="91" a="1"/>
  <c r="U134" i="91" s="1"/>
  <c r="T134" i="91" a="1"/>
  <c r="T134" i="91" s="1"/>
  <c r="U130" i="91" a="1"/>
  <c r="U130" i="91" s="1"/>
  <c r="T130" i="91" a="1"/>
  <c r="T130" i="91" s="1"/>
  <c r="U127" i="91"/>
  <c r="T127" i="91"/>
  <c r="U122" i="91" a="1"/>
  <c r="U122" i="91" s="1"/>
  <c r="T122" i="91" a="1"/>
  <c r="T122" i="91" s="1"/>
  <c r="U120" i="91"/>
  <c r="T120" i="91"/>
  <c r="U119" i="91" a="1"/>
  <c r="U119" i="91" s="1"/>
  <c r="T119" i="91" a="1"/>
  <c r="T119" i="91" s="1"/>
  <c r="U118" i="91" a="1"/>
  <c r="U118" i="91" s="1"/>
  <c r="T118" i="91" a="1"/>
  <c r="T118" i="91" s="1"/>
  <c r="U114" i="91" a="1"/>
  <c r="U114" i="91" s="1"/>
  <c r="T114" i="91" a="1"/>
  <c r="T114" i="91" s="1"/>
  <c r="U111" i="91"/>
  <c r="T111" i="91"/>
  <c r="U101" i="91"/>
  <c r="T101" i="91"/>
  <c r="U100" i="91"/>
  <c r="T100" i="91"/>
  <c r="U99" i="91" a="1"/>
  <c r="U99" i="91" s="1"/>
  <c r="T99" i="91" a="1"/>
  <c r="T99" i="91" s="1"/>
  <c r="U94" i="91" a="1"/>
  <c r="U94" i="91" s="1"/>
  <c r="U93" i="91" a="1"/>
  <c r="U93" i="91" s="1"/>
  <c r="T93" i="91" a="1"/>
  <c r="T93" i="91" s="1"/>
  <c r="U89" i="91"/>
  <c r="T89" i="91"/>
  <c r="U88" i="91"/>
  <c r="T88" i="91"/>
  <c r="U86" i="91" a="1"/>
  <c r="U86" i="91" s="1"/>
  <c r="T86" i="91" a="1"/>
  <c r="T86" i="91" s="1"/>
  <c r="U64" i="91"/>
  <c r="U136" i="91" s="1"/>
  <c r="T136" i="91"/>
  <c r="U10" i="91"/>
  <c r="U151" i="91" s="1"/>
  <c r="T10" i="91"/>
  <c r="T151" i="91" s="1"/>
  <c r="U8" i="91"/>
  <c r="T8" i="91"/>
  <c r="U6" i="91"/>
  <c r="T6" i="91"/>
  <c r="U5" i="91"/>
  <c r="T5" i="91"/>
  <c r="U4" i="91"/>
  <c r="T4" i="91"/>
  <c r="U3" i="91"/>
  <c r="T3" i="91"/>
  <c r="U1" i="91"/>
  <c r="T1" i="91"/>
  <c r="S299" i="91" a="1"/>
  <c r="S299" i="91" s="1"/>
  <c r="S300" i="91" s="1"/>
  <c r="S296" i="91"/>
  <c r="S297" i="91" s="1"/>
  <c r="S277" i="91"/>
  <c r="S272" i="91"/>
  <c r="S246" i="91" a="1"/>
  <c r="S246" i="91" s="1"/>
  <c r="S241" i="91" a="1"/>
  <c r="S241" i="91" s="1"/>
  <c r="S232" i="91" a="1"/>
  <c r="S232" i="91" s="1"/>
  <c r="S223" i="91" a="1"/>
  <c r="S223" i="91" s="1"/>
  <c r="S222" i="91" a="1"/>
  <c r="S222" i="91" s="1"/>
  <c r="S221" i="91" a="1"/>
  <c r="S221" i="91" s="1"/>
  <c r="S220" i="91"/>
  <c r="S218" i="91" a="1"/>
  <c r="S218" i="91" s="1"/>
  <c r="S216" i="91"/>
  <c r="S215" i="91" a="1"/>
  <c r="S215" i="91" s="1"/>
  <c r="S200" i="91"/>
  <c r="S199" i="91"/>
  <c r="S198" i="91"/>
  <c r="S153" i="91" a="1"/>
  <c r="S153" i="91" s="1"/>
  <c r="S152" i="91" a="1"/>
  <c r="S152" i="91" s="1"/>
  <c r="S139" i="91" a="1"/>
  <c r="S139" i="91" s="1"/>
  <c r="S137" i="91"/>
  <c r="S135" i="91" a="1"/>
  <c r="S135" i="91" s="1"/>
  <c r="S134" i="91" a="1"/>
  <c r="S134" i="91" s="1"/>
  <c r="S130" i="91" a="1"/>
  <c r="S130" i="91" s="1"/>
  <c r="S128" i="91" a="1"/>
  <c r="S128" i="91" s="1"/>
  <c r="S127" i="91"/>
  <c r="S122" i="91" a="1"/>
  <c r="S122" i="91" s="1"/>
  <c r="S120" i="91"/>
  <c r="S119" i="91" a="1"/>
  <c r="S119" i="91" s="1"/>
  <c r="S118" i="91" a="1"/>
  <c r="S118" i="91" s="1"/>
  <c r="S114" i="91" a="1"/>
  <c r="S114" i="91" s="1"/>
  <c r="S112" i="91" a="1"/>
  <c r="S112" i="91" s="1"/>
  <c r="S111" i="91"/>
  <c r="S101" i="91"/>
  <c r="S100" i="91"/>
  <c r="S99" i="91" a="1"/>
  <c r="S99" i="91" s="1"/>
  <c r="S94" i="91" a="1"/>
  <c r="S94" i="91" s="1"/>
  <c r="S93" i="91" a="1"/>
  <c r="S93" i="91" s="1"/>
  <c r="S89" i="91"/>
  <c r="S88" i="91"/>
  <c r="S86" i="91" a="1"/>
  <c r="S86" i="91" s="1"/>
  <c r="S136" i="91"/>
  <c r="S10" i="91"/>
  <c r="S151" i="91" s="1"/>
  <c r="S6" i="91"/>
  <c r="S5" i="91"/>
  <c r="S4" i="91"/>
  <c r="S3" i="91"/>
  <c r="S1" i="91"/>
  <c r="F118" i="91" a="1"/>
  <c r="F118" i="91" s="1"/>
  <c r="F120" i="91"/>
  <c r="O262" i="91" a="1"/>
  <c r="O262" i="91" s="1"/>
  <c r="N262" i="91" a="1"/>
  <c r="N262" i="91" s="1"/>
  <c r="M262" i="91" a="1"/>
  <c r="M262" i="91" s="1"/>
  <c r="L262" i="91" a="1"/>
  <c r="L262" i="91" s="1"/>
  <c r="K262" i="91" a="1"/>
  <c r="K262" i="91" s="1"/>
  <c r="J262" i="91" a="1"/>
  <c r="J262" i="91" s="1"/>
  <c r="I262" i="91" a="1"/>
  <c r="I262" i="91" s="1"/>
  <c r="F178" i="93"/>
  <c r="C23" i="108"/>
  <c r="F23" i="108"/>
  <c r="N35" i="92"/>
  <c r="N36" i="92"/>
  <c r="N37" i="92"/>
  <c r="N38" i="92"/>
  <c r="N39" i="92"/>
  <c r="N40" i="92"/>
  <c r="N41" i="92"/>
  <c r="N42" i="92"/>
  <c r="N43" i="92"/>
  <c r="N44" i="92"/>
  <c r="N45" i="92"/>
  <c r="N34" i="92"/>
  <c r="M32" i="92"/>
  <c r="L32" i="92"/>
  <c r="N32" i="92" s="1"/>
  <c r="Q9" i="92"/>
  <c r="Q6" i="92"/>
  <c r="Q7" i="92"/>
  <c r="Q8" i="92"/>
  <c r="Q5" i="92"/>
  <c r="P6" i="92"/>
  <c r="P7" i="92"/>
  <c r="P8" i="92"/>
  <c r="P5" i="92"/>
  <c r="O6" i="92"/>
  <c r="O7" i="92"/>
  <c r="O8" i="92"/>
  <c r="O5" i="92"/>
  <c r="O222" i="91" a="1"/>
  <c r="O222" i="91" s="1"/>
  <c r="O221" i="91" a="1"/>
  <c r="O221" i="91" s="1"/>
  <c r="N222" i="91" a="1"/>
  <c r="N222" i="91" s="1"/>
  <c r="N221" i="91" a="1"/>
  <c r="N221" i="91" s="1"/>
  <c r="M222" i="91" a="1"/>
  <c r="M222" i="91" s="1"/>
  <c r="M221" i="91" a="1"/>
  <c r="M221" i="91" s="1"/>
  <c r="K222" i="91" a="1"/>
  <c r="K222" i="91" s="1"/>
  <c r="K221" i="91" a="1"/>
  <c r="K221" i="91" s="1"/>
  <c r="J222" i="91" a="1"/>
  <c r="J222" i="91" s="1"/>
  <c r="J221" i="91" a="1"/>
  <c r="J221" i="91" s="1"/>
  <c r="I222" i="91" a="1"/>
  <c r="I222" i="91" s="1"/>
  <c r="I221" i="91" a="1"/>
  <c r="I221" i="91" s="1"/>
  <c r="H222" i="91" a="1"/>
  <c r="H222" i="91" s="1"/>
  <c r="H221" i="91" a="1"/>
  <c r="H221" i="91" s="1"/>
  <c r="G222" i="91" a="1"/>
  <c r="G222" i="91" s="1"/>
  <c r="G221" i="91" a="1"/>
  <c r="G221" i="91" s="1"/>
  <c r="F222" i="91" a="1"/>
  <c r="F222" i="91" s="1"/>
  <c r="F221" i="91" a="1"/>
  <c r="F221" i="91" s="1"/>
  <c r="O174" i="91" a="1"/>
  <c r="O174" i="91" s="1"/>
  <c r="N174" i="91" a="1"/>
  <c r="N174" i="91" s="1"/>
  <c r="M174" i="91" a="1"/>
  <c r="M174" i="91" s="1"/>
  <c r="L174" i="91" a="1"/>
  <c r="L174" i="91" s="1"/>
  <c r="K174" i="91" a="1"/>
  <c r="K174" i="91" s="1"/>
  <c r="J174" i="91" a="1"/>
  <c r="J174" i="91" s="1"/>
  <c r="I174" i="91" a="1"/>
  <c r="I174" i="91" s="1"/>
  <c r="H174" i="91" a="1"/>
  <c r="H174" i="91" s="1"/>
  <c r="G174" i="91" a="1"/>
  <c r="G174" i="91" s="1"/>
  <c r="F174" i="91" a="1"/>
  <c r="F174" i="91" s="1"/>
  <c r="F218" i="91" a="1"/>
  <c r="F218" i="91" s="1"/>
  <c r="O216" i="91"/>
  <c r="N216" i="91"/>
  <c r="M216" i="91"/>
  <c r="L216" i="91"/>
  <c r="K216" i="91"/>
  <c r="J216" i="91"/>
  <c r="I216" i="91"/>
  <c r="H216" i="91"/>
  <c r="G216" i="91"/>
  <c r="F216" i="91"/>
  <c r="O215" i="91" a="1"/>
  <c r="O215" i="91" s="1"/>
  <c r="N215" i="91" a="1"/>
  <c r="N215" i="91" s="1"/>
  <c r="M215" i="91" a="1"/>
  <c r="M215" i="91" s="1"/>
  <c r="L215" i="91" a="1"/>
  <c r="L215" i="91" s="1"/>
  <c r="K215" i="91" a="1"/>
  <c r="K215" i="91" s="1"/>
  <c r="J215" i="91" a="1"/>
  <c r="J215" i="91" s="1"/>
  <c r="I215" i="91" a="1"/>
  <c r="I215" i="91" s="1"/>
  <c r="H215" i="91" a="1"/>
  <c r="H215" i="91" s="1"/>
  <c r="G215" i="91" a="1"/>
  <c r="G215" i="91" s="1"/>
  <c r="F215" i="91" a="1"/>
  <c r="F215" i="91" s="1"/>
  <c r="G22" i="108"/>
  <c r="G21" i="108"/>
  <c r="F22" i="108"/>
  <c r="F21" i="108"/>
  <c r="E22" i="108"/>
  <c r="E21" i="108"/>
  <c r="D22" i="108"/>
  <c r="D21" i="108"/>
  <c r="C21" i="108"/>
  <c r="G27" i="108"/>
  <c r="F27" i="108"/>
  <c r="E27" i="108"/>
  <c r="D27" i="108"/>
  <c r="C27" i="108"/>
  <c r="T176" i="91" l="1" a="1"/>
  <c r="T176" i="91" s="1"/>
  <c r="U176" i="91" a="1"/>
  <c r="U176" i="91" s="1"/>
  <c r="U177" i="91" s="1"/>
  <c r="S177" i="91"/>
  <c r="H35" i="113"/>
  <c r="G35" i="113"/>
  <c r="F35" i="113"/>
  <c r="S7" i="91"/>
  <c r="T7" i="91"/>
  <c r="U7" i="91"/>
  <c r="T286" i="91"/>
  <c r="T284" i="91"/>
  <c r="U286" i="91"/>
  <c r="U284" i="91"/>
  <c r="T87" i="91"/>
  <c r="U87" i="91"/>
  <c r="T234" i="91" a="1"/>
  <c r="T234" i="91" s="1"/>
  <c r="T226" i="91"/>
  <c r="T90" i="91" a="1"/>
  <c r="T90" i="91" s="1"/>
  <c r="T91" i="91" s="1"/>
  <c r="U234" i="91" a="1"/>
  <c r="U234" i="91" s="1"/>
  <c r="U226" i="91"/>
  <c r="U90" i="91" a="1"/>
  <c r="U90" i="91" s="1"/>
  <c r="U91" i="91" s="1"/>
  <c r="T129" i="91"/>
  <c r="T113" i="91"/>
  <c r="U129" i="91"/>
  <c r="U113" i="91"/>
  <c r="S286" i="91"/>
  <c r="S284" i="91"/>
  <c r="S87" i="91"/>
  <c r="S234" i="91" a="1"/>
  <c r="S234" i="91" s="1"/>
  <c r="S226" i="91"/>
  <c r="S90" i="91" a="1"/>
  <c r="S90" i="91" s="1"/>
  <c r="S91" i="91" s="1"/>
  <c r="S129" i="91"/>
  <c r="S131" i="91" s="1"/>
  <c r="S113" i="91"/>
  <c r="S115" i="91" s="1"/>
  <c r="O120" i="91"/>
  <c r="N120" i="91"/>
  <c r="M120" i="91"/>
  <c r="L120" i="91"/>
  <c r="K120" i="91"/>
  <c r="J120" i="91"/>
  <c r="H120" i="91"/>
  <c r="G120" i="91"/>
  <c r="O169" i="91"/>
  <c r="N169" i="91"/>
  <c r="M169" i="91"/>
  <c r="L169" i="91"/>
  <c r="K169" i="91"/>
  <c r="J169" i="91"/>
  <c r="I169" i="91"/>
  <c r="H169" i="91"/>
  <c r="G169" i="91"/>
  <c r="F169" i="91"/>
  <c r="G33" i="108"/>
  <c r="F32" i="108"/>
  <c r="G32" i="108"/>
  <c r="I144" i="91"/>
  <c r="F33" i="108" s="1"/>
  <c r="K144" i="91"/>
  <c r="L144" i="91"/>
  <c r="M144" i="91"/>
  <c r="N144" i="91"/>
  <c r="O144" i="91"/>
  <c r="D76" i="93"/>
  <c r="T299" i="91" s="1" a="1"/>
  <c r="T299" i="91" s="1"/>
  <c r="T300" i="91" s="1"/>
  <c r="F10" i="91"/>
  <c r="F151" i="91" s="1"/>
  <c r="D60" i="93"/>
  <c r="T166" i="91" s="1" a="1"/>
  <c r="T166" i="91" s="1"/>
  <c r="O247" i="91"/>
  <c r="N247" i="91"/>
  <c r="M247" i="91"/>
  <c r="L247" i="91"/>
  <c r="K247" i="91"/>
  <c r="J247" i="91"/>
  <c r="I247" i="91"/>
  <c r="O223" i="91" a="1"/>
  <c r="O223" i="91" s="1"/>
  <c r="O220" i="91"/>
  <c r="O218" i="91" a="1"/>
  <c r="O218" i="91" s="1"/>
  <c r="O226" i="91"/>
  <c r="N223" i="91" a="1"/>
  <c r="N223" i="91" s="1"/>
  <c r="N220" i="91"/>
  <c r="N218" i="91" a="1"/>
  <c r="N218" i="91" s="1"/>
  <c r="N226" i="91"/>
  <c r="M223" i="91" a="1"/>
  <c r="M223" i="91" s="1"/>
  <c r="M220" i="91"/>
  <c r="M218" i="91" a="1"/>
  <c r="M218" i="91" s="1"/>
  <c r="M226" i="91"/>
  <c r="L223" i="91" a="1"/>
  <c r="L223" i="91" s="1"/>
  <c r="L222" i="91" a="1"/>
  <c r="L222" i="91" s="1"/>
  <c r="L221" i="91" a="1"/>
  <c r="L221" i="91" s="1"/>
  <c r="L220" i="91"/>
  <c r="L218" i="91" a="1"/>
  <c r="L218" i="91" s="1"/>
  <c r="L226" i="91"/>
  <c r="K223" i="91" a="1"/>
  <c r="K223" i="91" s="1"/>
  <c r="K220" i="91"/>
  <c r="K218" i="91" a="1"/>
  <c r="K218" i="91" s="1"/>
  <c r="K226" i="91"/>
  <c r="J223" i="91" a="1"/>
  <c r="J223" i="91" s="1"/>
  <c r="J220" i="91"/>
  <c r="J218" i="91" a="1"/>
  <c r="J218" i="91" s="1"/>
  <c r="J226" i="91"/>
  <c r="I223" i="91" a="1"/>
  <c r="I223" i="91" s="1"/>
  <c r="I220" i="91"/>
  <c r="I218" i="91" a="1"/>
  <c r="I218" i="91" s="1"/>
  <c r="I226" i="91"/>
  <c r="H223" i="91" a="1"/>
  <c r="H223" i="91" s="1"/>
  <c r="H220" i="91"/>
  <c r="H218" i="91" a="1"/>
  <c r="H218" i="91" s="1"/>
  <c r="G223" i="91" a="1"/>
  <c r="G223" i="91" s="1"/>
  <c r="G220" i="91"/>
  <c r="G218" i="91" a="1"/>
  <c r="G218" i="91" s="1"/>
  <c r="F223" i="91" a="1"/>
  <c r="F223" i="91" s="1"/>
  <c r="F220" i="91"/>
  <c r="M88" i="91"/>
  <c r="L88" i="91"/>
  <c r="K88" i="91"/>
  <c r="J88" i="91"/>
  <c r="L86" i="91" a="1"/>
  <c r="L86" i="91" s="1"/>
  <c r="L87" i="91" s="1"/>
  <c r="M86" i="91" a="1"/>
  <c r="M86" i="91" s="1"/>
  <c r="M87" i="91" s="1"/>
  <c r="L89" i="91"/>
  <c r="L129" i="91" s="1"/>
  <c r="M89" i="91"/>
  <c r="M129" i="91" s="1"/>
  <c r="L93" i="91" a="1"/>
  <c r="L93" i="91" s="1"/>
  <c r="M93" i="91" a="1"/>
  <c r="M93" i="91" s="1"/>
  <c r="L94" i="91" a="1"/>
  <c r="L94" i="91" s="1"/>
  <c r="M94" i="91" a="1"/>
  <c r="M94" i="91" s="1"/>
  <c r="N94" i="91" a="1"/>
  <c r="N94" i="91" s="1"/>
  <c r="N93" i="91" a="1"/>
  <c r="N93" i="91" s="1"/>
  <c r="J100" i="91"/>
  <c r="G16" i="108"/>
  <c r="F16" i="108"/>
  <c r="E16" i="108"/>
  <c r="D16" i="108"/>
  <c r="C16" i="108"/>
  <c r="G15" i="108"/>
  <c r="F15" i="108"/>
  <c r="E15" i="108"/>
  <c r="D15" i="108"/>
  <c r="C15" i="108"/>
  <c r="O114" i="91" a="1"/>
  <c r="O114" i="91" s="1"/>
  <c r="N114" i="91" a="1"/>
  <c r="N114" i="91" s="1"/>
  <c r="M114" i="91" a="1"/>
  <c r="M114" i="91" s="1"/>
  <c r="L114" i="91" a="1"/>
  <c r="L114" i="91" s="1"/>
  <c r="K114" i="91" a="1"/>
  <c r="K114" i="91" s="1"/>
  <c r="J114" i="91" a="1"/>
  <c r="J114" i="91" s="1"/>
  <c r="I114" i="91" a="1"/>
  <c r="I114" i="91" s="1"/>
  <c r="H114" i="91" a="1"/>
  <c r="H114" i="91" s="1"/>
  <c r="G114" i="91" a="1"/>
  <c r="G114" i="91" s="1"/>
  <c r="O112" i="91" a="1"/>
  <c r="O112" i="91" s="1"/>
  <c r="N112" i="91" a="1"/>
  <c r="N112" i="91" s="1"/>
  <c r="M112" i="91" a="1"/>
  <c r="M112" i="91" s="1"/>
  <c r="L112" i="91" a="1"/>
  <c r="L112" i="91" s="1"/>
  <c r="K112" i="91" a="1"/>
  <c r="K112" i="91" s="1"/>
  <c r="J112" i="91" a="1"/>
  <c r="J112" i="91" s="1"/>
  <c r="I112" i="91" a="1"/>
  <c r="I112" i="91" s="1"/>
  <c r="F114" i="91" a="1"/>
  <c r="F114" i="91" s="1"/>
  <c r="F112" i="91" a="1"/>
  <c r="F112" i="91" s="1"/>
  <c r="T177" i="91" l="1"/>
  <c r="U258" i="91"/>
  <c r="U259" i="91"/>
  <c r="T258" i="91"/>
  <c r="T259" i="91"/>
  <c r="S258" i="91"/>
  <c r="S259" i="91"/>
  <c r="U160" i="91"/>
  <c r="U159" i="91"/>
  <c r="U158" i="91"/>
  <c r="T158" i="91"/>
  <c r="T160" i="91"/>
  <c r="T159" i="91"/>
  <c r="S160" i="91"/>
  <c r="S159" i="91"/>
  <c r="S158" i="91"/>
  <c r="E36" i="113"/>
  <c r="F36" i="113"/>
  <c r="S288" i="91"/>
  <c r="T287" i="91"/>
  <c r="S287" i="91"/>
  <c r="U287" i="91"/>
  <c r="U227" i="91"/>
  <c r="U178" i="91"/>
  <c r="U179" i="91" s="1"/>
  <c r="T227" i="91"/>
  <c r="T178" i="91"/>
  <c r="U233" i="91"/>
  <c r="U104" i="91"/>
  <c r="U103" i="91"/>
  <c r="T233" i="91"/>
  <c r="T104" i="91"/>
  <c r="T103" i="91"/>
  <c r="U271" i="91"/>
  <c r="U231" i="91"/>
  <c r="U133" i="91"/>
  <c r="U117" i="91"/>
  <c r="U92" i="91"/>
  <c r="T271" i="91"/>
  <c r="T231" i="91"/>
  <c r="T133" i="91"/>
  <c r="T117" i="91"/>
  <c r="T92" i="91"/>
  <c r="S227" i="91"/>
  <c r="S178" i="91"/>
  <c r="S179" i="91" s="1"/>
  <c r="S141" i="91"/>
  <c r="S109" i="91"/>
  <c r="S233" i="91"/>
  <c r="S104" i="91"/>
  <c r="S103" i="91"/>
  <c r="S271" i="91"/>
  <c r="S231" i="91"/>
  <c r="S133" i="91"/>
  <c r="S117" i="91"/>
  <c r="S92" i="91"/>
  <c r="M90" i="91" a="1"/>
  <c r="M90" i="91" s="1"/>
  <c r="M91" i="91" s="1"/>
  <c r="M92" i="91" s="1"/>
  <c r="L90" i="91" a="1"/>
  <c r="L90" i="91" s="1"/>
  <c r="L91" i="91" s="1"/>
  <c r="L117" i="91" s="1"/>
  <c r="L261" i="91" s="1" a="1"/>
  <c r="L261" i="91" s="1"/>
  <c r="J227" i="91"/>
  <c r="K227" i="91"/>
  <c r="L227" i="91"/>
  <c r="M227" i="91"/>
  <c r="F86" i="91" a="1"/>
  <c r="F86" i="91" s="1"/>
  <c r="H86" i="91" a="1"/>
  <c r="H86" i="91" s="1"/>
  <c r="I86" i="91" a="1"/>
  <c r="I86" i="91" s="1"/>
  <c r="M292" i="91"/>
  <c r="F296" i="91"/>
  <c r="C55" i="108" s="1"/>
  <c r="G296" i="91"/>
  <c r="D55" i="108" s="1"/>
  <c r="H296" i="91"/>
  <c r="E55" i="108" s="1"/>
  <c r="I296" i="91"/>
  <c r="F55" i="108" s="1"/>
  <c r="J296" i="91"/>
  <c r="G55" i="108" s="1"/>
  <c r="K296" i="91"/>
  <c r="L296" i="91"/>
  <c r="L297" i="91" s="1"/>
  <c r="M296" i="91"/>
  <c r="N296" i="91"/>
  <c r="O296" i="91"/>
  <c r="F299" i="91" a="1"/>
  <c r="F299" i="91" s="1"/>
  <c r="F300" i="91" s="1"/>
  <c r="G299" i="91" a="1"/>
  <c r="G299" i="91" s="1"/>
  <c r="G300" i="91" s="1"/>
  <c r="M297" i="91"/>
  <c r="N297" i="91"/>
  <c r="O297" i="91"/>
  <c r="H299" i="91" a="1"/>
  <c r="H299" i="91" s="1"/>
  <c r="H300" i="91" s="1"/>
  <c r="I299" i="91" a="1"/>
  <c r="I299" i="91" s="1"/>
  <c r="J299" i="91" a="1"/>
  <c r="J299" i="91" s="1"/>
  <c r="K299" i="91" a="1"/>
  <c r="K299" i="91" s="1"/>
  <c r="L299" i="91" a="1"/>
  <c r="L299" i="91" s="1"/>
  <c r="M299" i="91" a="1"/>
  <c r="M299" i="91" s="1"/>
  <c r="N299" i="91" a="1"/>
  <c r="N299" i="91" s="1"/>
  <c r="O299" i="91" a="1"/>
  <c r="O299" i="91" s="1"/>
  <c r="M300" i="91"/>
  <c r="D26" i="93"/>
  <c r="T291" i="91" s="1"/>
  <c r="T292" i="91" s="1"/>
  <c r="T293" i="91" s="1"/>
  <c r="T294" i="91" s="1"/>
  <c r="D61" i="93"/>
  <c r="D19" i="93"/>
  <c r="D18" i="93"/>
  <c r="D17" i="93"/>
  <c r="D16" i="93"/>
  <c r="D15" i="93"/>
  <c r="D14" i="93"/>
  <c r="D13" i="93"/>
  <c r="D12" i="93"/>
  <c r="D11" i="93"/>
  <c r="G20" i="108"/>
  <c r="F20" i="108"/>
  <c r="E20" i="108"/>
  <c r="D20" i="108"/>
  <c r="C20" i="108"/>
  <c r="F2" i="108"/>
  <c r="C74" i="108"/>
  <c r="C73" i="108"/>
  <c r="C67" i="108"/>
  <c r="C65" i="108"/>
  <c r="C64" i="108"/>
  <c r="G28" i="108"/>
  <c r="F28" i="108"/>
  <c r="E28" i="108"/>
  <c r="D28" i="108"/>
  <c r="C28" i="108"/>
  <c r="G26" i="108"/>
  <c r="F26" i="108"/>
  <c r="E26" i="108"/>
  <c r="D26" i="108"/>
  <c r="C26" i="108"/>
  <c r="G25" i="108"/>
  <c r="F25" i="108"/>
  <c r="E25" i="108"/>
  <c r="D25" i="108"/>
  <c r="C25" i="108"/>
  <c r="G24" i="108"/>
  <c r="F24" i="108"/>
  <c r="E24" i="108"/>
  <c r="D24" i="108"/>
  <c r="C24" i="108"/>
  <c r="G23" i="108"/>
  <c r="E23" i="108"/>
  <c r="D23" i="108"/>
  <c r="C22" i="108"/>
  <c r="G19" i="108"/>
  <c r="F19" i="108"/>
  <c r="E19" i="108"/>
  <c r="D19" i="108"/>
  <c r="C19" i="108"/>
  <c r="G18" i="108"/>
  <c r="F18" i="108"/>
  <c r="E18" i="108"/>
  <c r="D18" i="108"/>
  <c r="C18" i="108"/>
  <c r="G14" i="108"/>
  <c r="F14" i="108"/>
  <c r="E14" i="108"/>
  <c r="D14" i="108"/>
  <c r="C14" i="108"/>
  <c r="G12" i="108"/>
  <c r="F12" i="108"/>
  <c r="E12" i="108"/>
  <c r="D12" i="108"/>
  <c r="C12" i="108"/>
  <c r="C9" i="108"/>
  <c r="C8" i="108"/>
  <c r="C7" i="108"/>
  <c r="C6" i="108"/>
  <c r="C5" i="108"/>
  <c r="D27" i="93"/>
  <c r="D169" i="93"/>
  <c r="H118" i="91" a="1"/>
  <c r="H118" i="91" s="1"/>
  <c r="H119" i="91" a="1"/>
  <c r="H119" i="91" s="1"/>
  <c r="O200" i="91"/>
  <c r="N200" i="91"/>
  <c r="M200" i="91"/>
  <c r="L200" i="91"/>
  <c r="K200" i="91"/>
  <c r="J200" i="91"/>
  <c r="I200" i="91"/>
  <c r="H200" i="91"/>
  <c r="G200" i="91"/>
  <c r="E22" i="106"/>
  <c r="E21" i="106"/>
  <c r="F88" i="91"/>
  <c r="K3" i="91"/>
  <c r="J3" i="91"/>
  <c r="I3" i="91"/>
  <c r="O3" i="91"/>
  <c r="N3" i="91"/>
  <c r="M3" i="91"/>
  <c r="L3" i="91"/>
  <c r="O8" i="91"/>
  <c r="N8" i="91"/>
  <c r="M8" i="91"/>
  <c r="L8" i="91"/>
  <c r="K8" i="91"/>
  <c r="J8" i="91"/>
  <c r="I8" i="91"/>
  <c r="H8" i="91"/>
  <c r="G8" i="91"/>
  <c r="F8" i="91"/>
  <c r="F6" i="91"/>
  <c r="G156" i="91" a="1"/>
  <c r="G156" i="91" s="1"/>
  <c r="O272" i="91"/>
  <c r="N272" i="91"/>
  <c r="M272" i="91"/>
  <c r="L272" i="91"/>
  <c r="K272" i="91"/>
  <c r="J272" i="91"/>
  <c r="I272" i="91"/>
  <c r="H272" i="91"/>
  <c r="G272" i="91"/>
  <c r="F272" i="91"/>
  <c r="M276" i="91"/>
  <c r="O277" i="91"/>
  <c r="N277" i="91"/>
  <c r="M277" i="91"/>
  <c r="L277" i="91"/>
  <c r="K277" i="91"/>
  <c r="J277" i="91"/>
  <c r="I277" i="91"/>
  <c r="E20" i="106"/>
  <c r="H277" i="91"/>
  <c r="G277" i="91"/>
  <c r="F277" i="91"/>
  <c r="T179" i="91" l="1"/>
  <c r="T202" i="91" s="1"/>
  <c r="M258" i="91"/>
  <c r="L258" i="91"/>
  <c r="L265" i="91" s="1"/>
  <c r="H128" i="91" a="1"/>
  <c r="H128" i="91" s="1"/>
  <c r="G128" i="91" a="1"/>
  <c r="G128" i="91" s="1"/>
  <c r="U128" i="91" a="1"/>
  <c r="U128" i="91" s="1"/>
  <c r="U131" i="91" s="1"/>
  <c r="U141" i="91" s="1"/>
  <c r="T128" i="91" a="1"/>
  <c r="T128" i="91" s="1"/>
  <c r="T131" i="91" s="1"/>
  <c r="T141" i="91" s="1"/>
  <c r="U112" i="91" a="1"/>
  <c r="U112" i="91" s="1"/>
  <c r="U115" i="91" s="1"/>
  <c r="T112" i="91" a="1"/>
  <c r="T112" i="91" s="1"/>
  <c r="T115" i="91" s="1"/>
  <c r="H112" i="91" a="1"/>
  <c r="H112" i="91" s="1"/>
  <c r="G112" i="91" a="1"/>
  <c r="G112" i="91" s="1"/>
  <c r="G71" i="108"/>
  <c r="S121" i="91" a="1"/>
  <c r="S121" i="91" s="1"/>
  <c r="S240" i="91" s="1"/>
  <c r="T121" i="91" a="1"/>
  <c r="T121" i="91" s="1"/>
  <c r="T240" i="91" s="1"/>
  <c r="U121" i="91" a="1"/>
  <c r="U121" i="91" s="1"/>
  <c r="U123" i="91" s="1"/>
  <c r="U157" i="91"/>
  <c r="S157" i="91"/>
  <c r="T157" i="91"/>
  <c r="U291" i="91"/>
  <c r="U292" i="91" s="1"/>
  <c r="U293" i="91" s="1"/>
  <c r="U294" i="91" s="1"/>
  <c r="S291" i="91"/>
  <c r="S292" i="91" s="1"/>
  <c r="S293" i="91" s="1"/>
  <c r="S294" i="91" s="1"/>
  <c r="T263" i="91"/>
  <c r="T138" i="91"/>
  <c r="T260" i="91"/>
  <c r="T236" i="91"/>
  <c r="T235" i="91"/>
  <c r="T275" i="91"/>
  <c r="T274" i="91"/>
  <c r="U263" i="91"/>
  <c r="U138" i="91"/>
  <c r="U260" i="91"/>
  <c r="U236" i="91"/>
  <c r="U235" i="91"/>
  <c r="U275" i="91"/>
  <c r="U274" i="91"/>
  <c r="U202" i="91"/>
  <c r="S263" i="91"/>
  <c r="S138" i="91"/>
  <c r="S260" i="91"/>
  <c r="S236" i="91"/>
  <c r="S235" i="91"/>
  <c r="S275" i="91"/>
  <c r="S274" i="91"/>
  <c r="S202" i="91"/>
  <c r="M117" i="91"/>
  <c r="M261" i="91" s="1" a="1"/>
  <c r="M261" i="91" s="1"/>
  <c r="L92" i="91"/>
  <c r="K297" i="91"/>
  <c r="F284" i="91"/>
  <c r="F286" i="91"/>
  <c r="G284" i="91"/>
  <c r="G286" i="91"/>
  <c r="H284" i="91"/>
  <c r="H286" i="91"/>
  <c r="I284" i="91"/>
  <c r="I286" i="91"/>
  <c r="J284" i="91"/>
  <c r="J286" i="91"/>
  <c r="K284" i="91"/>
  <c r="K286" i="91"/>
  <c r="L284" i="91"/>
  <c r="L286" i="91"/>
  <c r="M284" i="91"/>
  <c r="M286" i="91"/>
  <c r="N284" i="91"/>
  <c r="N286" i="91"/>
  <c r="O284" i="91"/>
  <c r="O286" i="91"/>
  <c r="I297" i="91"/>
  <c r="J297" i="91"/>
  <c r="G49" i="108"/>
  <c r="C49" i="108"/>
  <c r="D49" i="108"/>
  <c r="E49" i="108"/>
  <c r="F49" i="108"/>
  <c r="F13" i="108"/>
  <c r="G13" i="108"/>
  <c r="M279" i="91"/>
  <c r="M280" i="91"/>
  <c r="G101" i="91"/>
  <c r="H101" i="91"/>
  <c r="I101" i="91"/>
  <c r="J101" i="91"/>
  <c r="K101" i="91"/>
  <c r="L101" i="91"/>
  <c r="M101" i="91"/>
  <c r="N101" i="91"/>
  <c r="O101" i="91"/>
  <c r="F101" i="91"/>
  <c r="H100" i="91"/>
  <c r="I100" i="91"/>
  <c r="K100" i="91"/>
  <c r="L100" i="91"/>
  <c r="M100" i="91"/>
  <c r="N100" i="91"/>
  <c r="O100" i="91"/>
  <c r="G100" i="91"/>
  <c r="F100" i="91"/>
  <c r="F89" i="91"/>
  <c r="F129" i="91" s="1"/>
  <c r="G129" i="91"/>
  <c r="H171" i="91" a="1"/>
  <c r="H171" i="91" s="1"/>
  <c r="D13" i="108"/>
  <c r="O172" i="91" a="1"/>
  <c r="O172" i="91" s="1"/>
  <c r="O171" i="91" a="1"/>
  <c r="O171" i="91" s="1"/>
  <c r="N172" i="91" a="1"/>
  <c r="N172" i="91" s="1"/>
  <c r="N171" i="91" a="1"/>
  <c r="N171" i="91" s="1"/>
  <c r="M172" i="91" a="1"/>
  <c r="M172" i="91" s="1"/>
  <c r="M171" i="91" a="1"/>
  <c r="M171" i="91" s="1"/>
  <c r="L171" i="91" a="1"/>
  <c r="L171" i="91" s="1"/>
  <c r="K171" i="91" a="1"/>
  <c r="K171" i="91" s="1"/>
  <c r="J171" i="91" a="1"/>
  <c r="J171" i="91" s="1"/>
  <c r="I171" i="91" a="1"/>
  <c r="I171" i="91" s="1"/>
  <c r="C10" i="88"/>
  <c r="C9" i="88"/>
  <c r="C8" i="88"/>
  <c r="C7" i="88"/>
  <c r="C6" i="88"/>
  <c r="C5" i="88"/>
  <c r="C4" i="88"/>
  <c r="O10" i="91"/>
  <c r="O151" i="91" s="1"/>
  <c r="N10" i="91"/>
  <c r="N151" i="91" s="1"/>
  <c r="M10" i="91"/>
  <c r="M151" i="91" s="1"/>
  <c r="L10" i="91"/>
  <c r="L151" i="91" s="1"/>
  <c r="K10" i="91"/>
  <c r="K151" i="91" s="1"/>
  <c r="J10" i="91"/>
  <c r="J151" i="91" s="1"/>
  <c r="I10" i="91"/>
  <c r="I151" i="91" s="1"/>
  <c r="H10" i="91"/>
  <c r="H151" i="91" s="1"/>
  <c r="G10" i="91"/>
  <c r="G151" i="91" s="1"/>
  <c r="G101" i="93"/>
  <c r="I46" i="100"/>
  <c r="I45" i="100"/>
  <c r="I44" i="100"/>
  <c r="I43" i="100"/>
  <c r="H46" i="100"/>
  <c r="G46" i="100"/>
  <c r="H45" i="100"/>
  <c r="G45" i="100"/>
  <c r="H44" i="100"/>
  <c r="G44" i="100"/>
  <c r="G43" i="100"/>
  <c r="H43" i="100"/>
  <c r="F170" i="91" a="1"/>
  <c r="F170" i="91" s="1"/>
  <c r="O199" i="91"/>
  <c r="N199" i="91"/>
  <c r="M199" i="91"/>
  <c r="L199" i="91"/>
  <c r="K199" i="91"/>
  <c r="J199" i="91"/>
  <c r="I199" i="91"/>
  <c r="H199" i="91"/>
  <c r="G199" i="91"/>
  <c r="F200" i="91"/>
  <c r="F199" i="91"/>
  <c r="M259" i="91" l="1"/>
  <c r="M265" i="91"/>
  <c r="L259" i="91"/>
  <c r="M131" i="91"/>
  <c r="L131" i="91"/>
  <c r="T109" i="91"/>
  <c r="U124" i="91"/>
  <c r="U109" i="91"/>
  <c r="F131" i="91"/>
  <c r="F141" i="91" s="1"/>
  <c r="G131" i="91"/>
  <c r="G141" i="91" s="1"/>
  <c r="U240" i="91"/>
  <c r="U261" i="91" s="1" a="1"/>
  <c r="U261" i="91" s="1"/>
  <c r="U265" i="91" s="1"/>
  <c r="S123" i="91"/>
  <c r="S124" i="91" s="1"/>
  <c r="S245" i="91"/>
  <c r="S140" i="91"/>
  <c r="S142" i="91" s="1"/>
  <c r="S143" i="91" s="1"/>
  <c r="T123" i="91"/>
  <c r="T124" i="91" s="1"/>
  <c r="T161" i="91"/>
  <c r="U161" i="91"/>
  <c r="U180" i="91"/>
  <c r="U181" i="91" s="1"/>
  <c r="U182" i="91" s="1"/>
  <c r="U203" i="91" s="1"/>
  <c r="U237" i="91"/>
  <c r="U248" i="91"/>
  <c r="U245" i="91"/>
  <c r="U140" i="91"/>
  <c r="U142" i="91" s="1"/>
  <c r="U125" i="91"/>
  <c r="T237" i="91"/>
  <c r="T248" i="91"/>
  <c r="T245" i="91"/>
  <c r="T140" i="91"/>
  <c r="T142" i="91" s="1"/>
  <c r="T143" i="91" s="1"/>
  <c r="T261" i="91" a="1"/>
  <c r="T261" i="91" s="1"/>
  <c r="T265" i="91" s="1"/>
  <c r="T242" i="91"/>
  <c r="S237" i="91"/>
  <c r="S248" i="91"/>
  <c r="S261" i="91" a="1"/>
  <c r="S261" i="91" s="1"/>
  <c r="S265" i="91" s="1"/>
  <c r="S242" i="91"/>
  <c r="F187" i="91"/>
  <c r="C50" i="108"/>
  <c r="C51" i="108" s="1"/>
  <c r="I300" i="91"/>
  <c r="F50" i="108" s="1"/>
  <c r="F51" i="108" s="1"/>
  <c r="J300" i="91"/>
  <c r="G50" i="108" s="1"/>
  <c r="G51" i="108" s="1"/>
  <c r="O287" i="91"/>
  <c r="K287" i="91"/>
  <c r="N287" i="91"/>
  <c r="L287" i="91"/>
  <c r="J287" i="91"/>
  <c r="M287" i="91"/>
  <c r="I287" i="91"/>
  <c r="G297" i="91"/>
  <c r="D50" i="108"/>
  <c r="D51" i="108" s="1"/>
  <c r="G287" i="91"/>
  <c r="G37" i="108"/>
  <c r="D37" i="108"/>
  <c r="C37" i="108"/>
  <c r="E37" i="108"/>
  <c r="F37" i="108"/>
  <c r="F171" i="91" a="1"/>
  <c r="F171" i="91" s="1"/>
  <c r="G171" i="91" a="1"/>
  <c r="G171" i="91" s="1"/>
  <c r="G172" i="91" a="1"/>
  <c r="G172" i="91" s="1"/>
  <c r="T125" i="91" l="1"/>
  <c r="S125" i="91"/>
  <c r="L142" i="91"/>
  <c r="L143" i="91" s="1"/>
  <c r="L141" i="91"/>
  <c r="M142" i="91"/>
  <c r="M143" i="91" s="1"/>
  <c r="M141" i="91"/>
  <c r="U242" i="91"/>
  <c r="U243" i="91" s="1"/>
  <c r="U146" i="91"/>
  <c r="U147" i="91" s="1"/>
  <c r="U143" i="91"/>
  <c r="T146" i="91"/>
  <c r="T147" i="91" s="1"/>
  <c r="S301" i="91"/>
  <c r="S144" i="91"/>
  <c r="S262" i="91" a="1"/>
  <c r="S262" i="91" s="1"/>
  <c r="S266" i="91" s="1"/>
  <c r="S247" i="91"/>
  <c r="S249" i="91" s="1"/>
  <c r="S146" i="91"/>
  <c r="T243" i="91"/>
  <c r="T276" i="91"/>
  <c r="T301" i="91"/>
  <c r="T144" i="91"/>
  <c r="T262" i="91" a="1"/>
  <c r="T262" i="91" s="1"/>
  <c r="T266" i="91" s="1"/>
  <c r="T247" i="91"/>
  <c r="T238" i="91"/>
  <c r="U276" i="91"/>
  <c r="U301" i="91"/>
  <c r="U144" i="91"/>
  <c r="U262" i="91" a="1"/>
  <c r="U262" i="91" s="1"/>
  <c r="U266" i="91" s="1"/>
  <c r="U247" i="91"/>
  <c r="U249" i="91" s="1"/>
  <c r="U238" i="91"/>
  <c r="S243" i="91"/>
  <c r="S276" i="91"/>
  <c r="S238" i="91"/>
  <c r="H297" i="91"/>
  <c r="E56" i="108" s="1"/>
  <c r="E57" i="108" s="1"/>
  <c r="E50" i="108"/>
  <c r="E51" i="108" s="1"/>
  <c r="H287" i="91"/>
  <c r="H3" i="91"/>
  <c r="E13" i="108"/>
  <c r="H172" i="91" a="1"/>
  <c r="H172" i="91" s="1"/>
  <c r="I198" i="91"/>
  <c r="H198" i="91"/>
  <c r="G198" i="91"/>
  <c r="O198" i="91"/>
  <c r="N198" i="91"/>
  <c r="M198" i="91"/>
  <c r="L198" i="91"/>
  <c r="K198" i="91"/>
  <c r="J198" i="91"/>
  <c r="F198" i="91"/>
  <c r="H156" i="91" a="1"/>
  <c r="H156" i="91" s="1"/>
  <c r="S251" i="91" l="1"/>
  <c r="S252" i="91" s="1"/>
  <c r="S255" i="91" s="1"/>
  <c r="T201" i="91"/>
  <c r="S147" i="91"/>
  <c r="S201" i="91" s="1"/>
  <c r="U201" i="91"/>
  <c r="T264" i="91"/>
  <c r="T267" i="91" s="1"/>
  <c r="T268" i="91" s="1"/>
  <c r="U264" i="91"/>
  <c r="U267" i="91" s="1"/>
  <c r="U268" i="91" s="1"/>
  <c r="S264" i="91"/>
  <c r="S267" i="91" s="1"/>
  <c r="S268" i="91" s="1"/>
  <c r="U251" i="91"/>
  <c r="U252" i="91" s="1"/>
  <c r="U280" i="91"/>
  <c r="U279" i="91"/>
  <c r="T249" i="91"/>
  <c r="T251" i="91"/>
  <c r="T252" i="91" s="1"/>
  <c r="T163" i="91" s="1"/>
  <c r="T280" i="91"/>
  <c r="T279" i="91"/>
  <c r="S280" i="91"/>
  <c r="S279" i="91"/>
  <c r="L172" i="91" a="1"/>
  <c r="L172" i="91" s="1"/>
  <c r="J172" i="91" a="1"/>
  <c r="J172" i="91" s="1"/>
  <c r="K172" i="91" a="1"/>
  <c r="K172" i="91" s="1"/>
  <c r="I172" i="91" a="1"/>
  <c r="I172" i="91" s="1"/>
  <c r="F297" i="91"/>
  <c r="S253" i="91" l="1"/>
  <c r="S254" i="91"/>
  <c r="T255" i="91"/>
  <c r="T254" i="91"/>
  <c r="T253" i="91"/>
  <c r="U255" i="91"/>
  <c r="U254" i="91"/>
  <c r="U253" i="91"/>
  <c r="F287" i="91"/>
  <c r="O6" i="91"/>
  <c r="N6" i="91"/>
  <c r="M6" i="91"/>
  <c r="L6" i="91"/>
  <c r="K6" i="91"/>
  <c r="J6" i="91"/>
  <c r="I6" i="91"/>
  <c r="H6" i="91"/>
  <c r="G6" i="91"/>
  <c r="T164" i="91" l="1"/>
  <c r="T180" i="91" s="1"/>
  <c r="T181" i="91" s="1"/>
  <c r="T182" i="91" s="1"/>
  <c r="T203" i="91" s="1"/>
  <c r="O176" i="91" l="1" a="1"/>
  <c r="O176" i="91" s="1"/>
  <c r="O175" i="91" a="1"/>
  <c r="O175" i="91" s="1"/>
  <c r="N176" i="91" a="1"/>
  <c r="N176" i="91" s="1"/>
  <c r="N175" i="91" a="1"/>
  <c r="N175" i="91" s="1"/>
  <c r="M176" i="91" a="1"/>
  <c r="M176" i="91" s="1"/>
  <c r="M175" i="91" a="1"/>
  <c r="M175" i="91" s="1"/>
  <c r="L176" i="91" a="1"/>
  <c r="L176" i="91" s="1"/>
  <c r="L175" i="91" a="1"/>
  <c r="L175" i="91" s="1"/>
  <c r="K176" i="91" a="1"/>
  <c r="K176" i="91" s="1"/>
  <c r="K175" i="91" a="1"/>
  <c r="K175" i="91" s="1"/>
  <c r="J176" i="91" a="1"/>
  <c r="J176" i="91" s="1"/>
  <c r="J175" i="91" a="1"/>
  <c r="J175" i="91" s="1"/>
  <c r="I176" i="91" a="1"/>
  <c r="I176" i="91" s="1"/>
  <c r="I175" i="91" a="1"/>
  <c r="I175" i="91" s="1"/>
  <c r="H176" i="91" a="1"/>
  <c r="H176" i="91" s="1"/>
  <c r="H175" i="91" a="1"/>
  <c r="H175" i="91" s="1"/>
  <c r="G176" i="91" a="1"/>
  <c r="G176" i="91" s="1"/>
  <c r="G175" i="91" a="1"/>
  <c r="G175" i="91" s="1"/>
  <c r="F176" i="91" a="1"/>
  <c r="F176" i="91" s="1"/>
  <c r="F175" i="91" a="1"/>
  <c r="F175" i="91" s="1"/>
  <c r="F99" i="91" l="1" a="1"/>
  <c r="F99" i="91" s="1"/>
  <c r="H89" i="91" l="1"/>
  <c r="H129" i="91" s="1"/>
  <c r="H131" i="91" s="1"/>
  <c r="H141" i="91" s="1"/>
  <c r="J173" i="91" a="1"/>
  <c r="J173" i="91" s="1"/>
  <c r="K173" i="91" a="1"/>
  <c r="K173" i="91" s="1"/>
  <c r="L173" i="91" a="1"/>
  <c r="L173" i="91" s="1"/>
  <c r="O168" i="91" a="1"/>
  <c r="O168" i="91" s="1"/>
  <c r="N168" i="91" a="1"/>
  <c r="N168" i="91" s="1"/>
  <c r="M168" i="91" a="1"/>
  <c r="M168" i="91" s="1"/>
  <c r="L168" i="91" a="1"/>
  <c r="L168" i="91" s="1"/>
  <c r="K168" i="91" a="1"/>
  <c r="K168" i="91" s="1"/>
  <c r="J168" i="91" a="1"/>
  <c r="J168" i="91" s="1"/>
  <c r="I168" i="91" a="1"/>
  <c r="I168" i="91" s="1"/>
  <c r="H168" i="91" a="1"/>
  <c r="H168" i="91" s="1"/>
  <c r="G168" i="91" a="1"/>
  <c r="G168" i="91" s="1"/>
  <c r="F168" i="91" a="1"/>
  <c r="F168" i="91" s="1"/>
  <c r="H113" i="91" l="1"/>
  <c r="O89" i="91"/>
  <c r="O129" i="91" s="1"/>
  <c r="O131" i="91" s="1"/>
  <c r="N89" i="91"/>
  <c r="N129" i="91" s="1"/>
  <c r="N131" i="91" s="1"/>
  <c r="K89" i="91"/>
  <c r="K129" i="91" s="1"/>
  <c r="K131" i="91" s="1"/>
  <c r="J89" i="91"/>
  <c r="I89" i="91"/>
  <c r="I129" i="91" s="1"/>
  <c r="I131" i="91" s="1"/>
  <c r="O88" i="91"/>
  <c r="O227" i="91" s="1"/>
  <c r="N88" i="91"/>
  <c r="N227" i="91" s="1"/>
  <c r="I88" i="91"/>
  <c r="I227" i="91" s="1"/>
  <c r="H88" i="91"/>
  <c r="N142" i="91" l="1"/>
  <c r="N143" i="91" s="1"/>
  <c r="N141" i="91"/>
  <c r="O142" i="91"/>
  <c r="O143" i="91" s="1"/>
  <c r="O141" i="91"/>
  <c r="I142" i="91"/>
  <c r="I143" i="91" s="1"/>
  <c r="I141" i="91"/>
  <c r="J113" i="91"/>
  <c r="J129" i="91"/>
  <c r="J131" i="91" s="1"/>
  <c r="K142" i="91"/>
  <c r="K143" i="91" s="1"/>
  <c r="K141" i="91"/>
  <c r="H226" i="91"/>
  <c r="H227" i="91" s="1"/>
  <c r="G226" i="91"/>
  <c r="G227" i="91" s="1"/>
  <c r="G5" i="91"/>
  <c r="G157" i="93"/>
  <c r="G156" i="93"/>
  <c r="G155" i="93"/>
  <c r="J142" i="91" l="1"/>
  <c r="J143" i="91" s="1"/>
  <c r="J141" i="91"/>
  <c r="G170" i="91" a="1"/>
  <c r="G170" i="91" s="1"/>
  <c r="O170" i="91" a="1"/>
  <c r="O170" i="91" s="1"/>
  <c r="N170" i="91" a="1"/>
  <c r="N170" i="91" s="1"/>
  <c r="M170" i="91" a="1"/>
  <c r="M170" i="91" s="1"/>
  <c r="L170" i="91" a="1"/>
  <c r="L170" i="91" s="1"/>
  <c r="K170" i="91" a="1"/>
  <c r="K170" i="91" s="1"/>
  <c r="J170" i="91" a="1"/>
  <c r="J170" i="91" s="1"/>
  <c r="I170" i="91" a="1"/>
  <c r="I170" i="91" s="1"/>
  <c r="H170" i="91" a="1"/>
  <c r="H170" i="91" s="1"/>
  <c r="O156" i="91" a="1"/>
  <c r="O156" i="91" s="1"/>
  <c r="N156" i="91" a="1"/>
  <c r="N156" i="91" s="1"/>
  <c r="M156" i="91" a="1"/>
  <c r="M156" i="91" s="1"/>
  <c r="L156" i="91" a="1"/>
  <c r="L156" i="91" s="1"/>
  <c r="K156" i="91" a="1"/>
  <c r="K156" i="91" s="1"/>
  <c r="J156" i="91" a="1"/>
  <c r="J156" i="91" s="1"/>
  <c r="I156" i="91" a="1"/>
  <c r="I156" i="91" s="1"/>
  <c r="F156" i="91" a="1"/>
  <c r="F156" i="91" s="1"/>
  <c r="O153" i="91" a="1"/>
  <c r="O153" i="91" s="1"/>
  <c r="N153" i="91" a="1"/>
  <c r="N153" i="91" s="1"/>
  <c r="M153" i="91" a="1"/>
  <c r="M153" i="91" s="1"/>
  <c r="L153" i="91" a="1"/>
  <c r="L153" i="91" s="1"/>
  <c r="K153" i="91" a="1"/>
  <c r="K153" i="91" s="1"/>
  <c r="J153" i="91" a="1"/>
  <c r="J153" i="91" s="1"/>
  <c r="I153" i="91" a="1"/>
  <c r="I153" i="91" s="1"/>
  <c r="H153" i="91" a="1"/>
  <c r="H153" i="91" s="1"/>
  <c r="G153" i="91" a="1"/>
  <c r="G153" i="91" s="1"/>
  <c r="F153" i="91" a="1"/>
  <c r="F153" i="91" s="1"/>
  <c r="O152" i="91" a="1"/>
  <c r="O152" i="91" s="1"/>
  <c r="O162" i="91" s="1"/>
  <c r="N152" i="91" a="1"/>
  <c r="N152" i="91" s="1"/>
  <c r="N162" i="91" s="1"/>
  <c r="M152" i="91" a="1"/>
  <c r="M152" i="91" s="1"/>
  <c r="M162" i="91" s="1"/>
  <c r="L152" i="91" a="1"/>
  <c r="L152" i="91" s="1"/>
  <c r="L162" i="91" s="1"/>
  <c r="K152" i="91" a="1"/>
  <c r="K152" i="91" s="1"/>
  <c r="K162" i="91" s="1"/>
  <c r="J152" i="91" a="1"/>
  <c r="J152" i="91" s="1"/>
  <c r="J162" i="91" s="1"/>
  <c r="I152" i="91" a="1"/>
  <c r="I152" i="91" s="1"/>
  <c r="I162" i="91" s="1"/>
  <c r="H152" i="91" a="1"/>
  <c r="H152" i="91" s="1"/>
  <c r="G152" i="91" a="1"/>
  <c r="G152" i="91" s="1"/>
  <c r="F152" i="91" a="1"/>
  <c r="F152" i="91" s="1"/>
  <c r="H167" i="91" a="1"/>
  <c r="H167" i="91" s="1"/>
  <c r="H166" i="91" a="1"/>
  <c r="H166" i="91" s="1"/>
  <c r="H5" i="91"/>
  <c r="H4" i="91"/>
  <c r="N161" i="91" l="1"/>
  <c r="M161" i="91"/>
  <c r="K161" i="91"/>
  <c r="I161" i="91"/>
  <c r="J161" i="91"/>
  <c r="L161" i="91"/>
  <c r="H7" i="91"/>
  <c r="O5" i="91"/>
  <c r="O4" i="91"/>
  <c r="N5" i="91"/>
  <c r="N4" i="91"/>
  <c r="M5" i="91"/>
  <c r="M4" i="91"/>
  <c r="L5" i="91"/>
  <c r="L4" i="91"/>
  <c r="K5" i="91"/>
  <c r="K4" i="91"/>
  <c r="J5" i="91"/>
  <c r="J4" i="91"/>
  <c r="I5" i="91"/>
  <c r="I4" i="91"/>
  <c r="G4" i="91"/>
  <c r="F5" i="91"/>
  <c r="F4" i="91"/>
  <c r="G56" i="108"/>
  <c r="G57" i="108" s="1"/>
  <c r="H159" i="91" l="1"/>
  <c r="H158" i="91"/>
  <c r="H160" i="91"/>
  <c r="H291" i="91"/>
  <c r="H292" i="91" s="1"/>
  <c r="E52" i="108" s="1"/>
  <c r="G7" i="91"/>
  <c r="E17" i="108"/>
  <c r="F7" i="91"/>
  <c r="I7" i="91"/>
  <c r="M7" i="91"/>
  <c r="J7" i="91"/>
  <c r="N7" i="91"/>
  <c r="K7" i="91"/>
  <c r="O7" i="91"/>
  <c r="L7" i="91"/>
  <c r="F56" i="108"/>
  <c r="F57" i="108" s="1"/>
  <c r="O160" i="91" l="1"/>
  <c r="O159" i="91"/>
  <c r="O158" i="91"/>
  <c r="K160" i="91"/>
  <c r="K159" i="91"/>
  <c r="K158" i="91"/>
  <c r="G160" i="91"/>
  <c r="G159" i="91"/>
  <c r="G158" i="91"/>
  <c r="I158" i="91"/>
  <c r="I160" i="91"/>
  <c r="I159" i="91"/>
  <c r="N159" i="91"/>
  <c r="N158" i="91"/>
  <c r="N160" i="91"/>
  <c r="J160" i="91"/>
  <c r="J159" i="91"/>
  <c r="J158" i="91"/>
  <c r="L160" i="91"/>
  <c r="L159" i="91"/>
  <c r="L158" i="91"/>
  <c r="M160" i="91"/>
  <c r="M159" i="91"/>
  <c r="M158" i="91"/>
  <c r="H157" i="91"/>
  <c r="H162" i="91" s="1"/>
  <c r="F159" i="91"/>
  <c r="F160" i="91"/>
  <c r="F158" i="91"/>
  <c r="H293" i="91"/>
  <c r="H294" i="91" s="1"/>
  <c r="G30" i="108"/>
  <c r="F30" i="108"/>
  <c r="L291" i="91"/>
  <c r="L292" i="91" s="1"/>
  <c r="O291" i="91"/>
  <c r="K291" i="91"/>
  <c r="K292" i="91" s="1"/>
  <c r="N291" i="91"/>
  <c r="J291" i="91"/>
  <c r="J292" i="91" s="1"/>
  <c r="G52" i="108" s="1"/>
  <c r="M291" i="91"/>
  <c r="M293" i="91" s="1"/>
  <c r="M294" i="91" s="1"/>
  <c r="I291" i="91"/>
  <c r="I292" i="91" s="1"/>
  <c r="F52" i="108" s="1"/>
  <c r="F291" i="91"/>
  <c r="F292" i="91" s="1"/>
  <c r="C52" i="108" s="1"/>
  <c r="G291" i="91"/>
  <c r="N292" i="91"/>
  <c r="O292" i="91"/>
  <c r="D17" i="108"/>
  <c r="F288" i="91"/>
  <c r="F17" i="108"/>
  <c r="C17" i="108"/>
  <c r="G17" i="108"/>
  <c r="K157" i="91" l="1"/>
  <c r="L157" i="91"/>
  <c r="M157" i="91"/>
  <c r="O157" i="91"/>
  <c r="N157" i="91"/>
  <c r="J157" i="91"/>
  <c r="I157" i="91"/>
  <c r="G157" i="91"/>
  <c r="G162" i="91" s="1"/>
  <c r="F157" i="91"/>
  <c r="F162" i="91" s="1"/>
  <c r="L293" i="91"/>
  <c r="L294" i="91" s="1"/>
  <c r="K293" i="91"/>
  <c r="K294" i="91" s="1"/>
  <c r="F293" i="91"/>
  <c r="F294" i="91" s="1"/>
  <c r="N293" i="91"/>
  <c r="N294" i="91" s="1"/>
  <c r="J293" i="91"/>
  <c r="J294" i="91" s="1"/>
  <c r="G292" i="91"/>
  <c r="D52" i="108" s="1"/>
  <c r="I293" i="91"/>
  <c r="I294" i="91" s="1"/>
  <c r="O293" i="91"/>
  <c r="O294" i="91" s="1"/>
  <c r="E53" i="108"/>
  <c r="F161" i="91" l="1"/>
  <c r="C53" i="108"/>
  <c r="G293" i="91"/>
  <c r="G294" i="91" s="1"/>
  <c r="G53" i="108"/>
  <c r="F53" i="108"/>
  <c r="D53" i="108" l="1"/>
  <c r="H161" i="91" l="1"/>
  <c r="E30" i="108" l="1"/>
  <c r="O161" i="91" l="1"/>
  <c r="O86" i="91" a="1"/>
  <c r="O86" i="91" s="1"/>
  <c r="N86" i="91" a="1"/>
  <c r="N86" i="91" s="1"/>
  <c r="K86" i="91" a="1"/>
  <c r="K86" i="91" s="1"/>
  <c r="J86" i="91" a="1"/>
  <c r="J86" i="91" s="1"/>
  <c r="N166" i="91" l="1" a="1"/>
  <c r="N166" i="91" s="1"/>
  <c r="J166" i="91" a="1"/>
  <c r="J166" i="91" s="1"/>
  <c r="K166" i="91" l="1" a="1"/>
  <c r="K166" i="91" s="1"/>
  <c r="L166" i="91" a="1"/>
  <c r="L166" i="91" s="1"/>
  <c r="M166" i="91" a="1"/>
  <c r="M166" i="91" s="1"/>
  <c r="K119" i="91" a="1"/>
  <c r="K119" i="91" s="1"/>
  <c r="K118" i="91" a="1"/>
  <c r="K118" i="91" s="1"/>
  <c r="J119" i="91" a="1"/>
  <c r="J119" i="91" s="1"/>
  <c r="J118" i="91" a="1"/>
  <c r="J118" i="91" s="1"/>
  <c r="O173" i="91" l="1" a="1"/>
  <c r="O173" i="91" s="1"/>
  <c r="O167" i="91" a="1"/>
  <c r="O167" i="91" s="1"/>
  <c r="O166" i="91" a="1"/>
  <c r="O166" i="91" s="1"/>
  <c r="N173" i="91" a="1"/>
  <c r="N173" i="91" s="1"/>
  <c r="N167" i="91" a="1"/>
  <c r="N167" i="91" s="1"/>
  <c r="M173" i="91" a="1"/>
  <c r="M173" i="91" s="1"/>
  <c r="M167" i="91" a="1"/>
  <c r="M167" i="91" s="1"/>
  <c r="L167" i="91" a="1"/>
  <c r="L167" i="91" s="1"/>
  <c r="K167" i="91" a="1"/>
  <c r="K167" i="91" s="1"/>
  <c r="J167" i="91" a="1"/>
  <c r="J167" i="91" s="1"/>
  <c r="I173" i="91" a="1"/>
  <c r="I173" i="91" s="1"/>
  <c r="I167" i="91" a="1"/>
  <c r="I167" i="91" s="1"/>
  <c r="I166" i="91" a="1"/>
  <c r="I166" i="91" s="1"/>
  <c r="H173" i="91" a="1"/>
  <c r="H173" i="91" s="1"/>
  <c r="I119" i="91" l="1" a="1"/>
  <c r="I119" i="91" s="1"/>
  <c r="I118" i="91" a="1"/>
  <c r="I118" i="91" s="1"/>
  <c r="G166" i="91" l="1" a="1"/>
  <c r="G166" i="91" s="1"/>
  <c r="G167" i="91" a="1"/>
  <c r="G167" i="91" s="1"/>
  <c r="G173" i="91" a="1"/>
  <c r="G173" i="91" s="1"/>
  <c r="G118" i="91" a="1"/>
  <c r="G118" i="91" s="1"/>
  <c r="G119" i="91" a="1"/>
  <c r="G119" i="91" s="1"/>
  <c r="D56" i="108" l="1"/>
  <c r="D57" i="108" s="1"/>
  <c r="G161" i="91" l="1"/>
  <c r="D30" i="108" l="1"/>
  <c r="I94" i="91" a="1"/>
  <c r="I94" i="91" s="1"/>
  <c r="O232" i="91" a="1"/>
  <c r="O232" i="91" s="1"/>
  <c r="N232" i="91" a="1"/>
  <c r="N232" i="91" s="1"/>
  <c r="M232" i="91" a="1"/>
  <c r="M232" i="91" s="1"/>
  <c r="L232" i="91" a="1"/>
  <c r="L232" i="91" s="1"/>
  <c r="K232" i="91" a="1"/>
  <c r="K232" i="91" s="1"/>
  <c r="J232" i="91" a="1"/>
  <c r="J232" i="91" s="1"/>
  <c r="I232" i="91" a="1"/>
  <c r="I232" i="91" s="1"/>
  <c r="H232" i="91" a="1"/>
  <c r="H232" i="91" s="1"/>
  <c r="G232" i="91" a="1"/>
  <c r="G232" i="91" s="1"/>
  <c r="F232" i="91" a="1"/>
  <c r="F232" i="91" s="1"/>
  <c r="I90" i="91" a="1"/>
  <c r="I90" i="91" s="1"/>
  <c r="I91" i="91" s="1"/>
  <c r="H90" i="91" a="1"/>
  <c r="H90" i="91" s="1"/>
  <c r="H91" i="91" s="1"/>
  <c r="O1" i="91"/>
  <c r="N1" i="91"/>
  <c r="M1" i="91"/>
  <c r="L1" i="91"/>
  <c r="K1" i="91"/>
  <c r="J1" i="91"/>
  <c r="I1" i="91"/>
  <c r="H1" i="91"/>
  <c r="E11" i="108" s="1"/>
  <c r="E48" i="108" s="1"/>
  <c r="G1" i="91"/>
  <c r="D11" i="108" s="1"/>
  <c r="D48" i="108" s="1"/>
  <c r="F11" i="108" l="1"/>
  <c r="F48" i="108" s="1"/>
  <c r="G11" i="108"/>
  <c r="G48" i="108" s="1"/>
  <c r="H103" i="91"/>
  <c r="H104" i="91"/>
  <c r="I103" i="91"/>
  <c r="I104" i="91"/>
  <c r="N246" i="91" l="1" a="1"/>
  <c r="N246" i="91" s="1"/>
  <c r="N241" i="91" a="1"/>
  <c r="N241" i="91" s="1"/>
  <c r="N234" i="91" a="1"/>
  <c r="N234" i="91" s="1"/>
  <c r="N119" i="91" a="1"/>
  <c r="N119" i="91" s="1"/>
  <c r="N118" i="91" a="1"/>
  <c r="N118" i="91" s="1"/>
  <c r="N113" i="91"/>
  <c r="N111" i="91"/>
  <c r="N99" i="91" a="1"/>
  <c r="N99" i="91" s="1"/>
  <c r="N90" i="91" a="1"/>
  <c r="N90" i="91" s="1"/>
  <c r="M246" i="91" a="1"/>
  <c r="M246" i="91" s="1"/>
  <c r="M241" i="91" a="1"/>
  <c r="M241" i="91" s="1"/>
  <c r="M234" i="91" a="1"/>
  <c r="M234" i="91" s="1"/>
  <c r="M119" i="91" a="1"/>
  <c r="M119" i="91" s="1"/>
  <c r="M118" i="91" a="1"/>
  <c r="M118" i="91" s="1"/>
  <c r="M113" i="91"/>
  <c r="M111" i="91"/>
  <c r="M99" i="91" a="1"/>
  <c r="M99" i="91" s="1"/>
  <c r="M133" i="91" s="1"/>
  <c r="M138" i="91" s="1"/>
  <c r="G113" i="91"/>
  <c r="G111" i="91"/>
  <c r="M121" i="91" l="1" a="1"/>
  <c r="M121" i="91" s="1"/>
  <c r="G115" i="91"/>
  <c r="M115" i="91"/>
  <c r="N115" i="91"/>
  <c r="M233" i="91"/>
  <c r="M103" i="91"/>
  <c r="N91" i="91"/>
  <c r="N233" i="91" s="1"/>
  <c r="N103" i="91"/>
  <c r="N300" i="91" l="1"/>
  <c r="M109" i="91"/>
  <c r="N87" i="91"/>
  <c r="N104" i="91"/>
  <c r="M271" i="91"/>
  <c r="M104" i="91"/>
  <c r="N133" i="91" l="1"/>
  <c r="N138" i="91" s="1"/>
  <c r="N259" i="91"/>
  <c r="N258" i="91"/>
  <c r="N271" i="91"/>
  <c r="N275" i="91" s="1"/>
  <c r="N117" i="91"/>
  <c r="M275" i="91"/>
  <c r="M274" i="91"/>
  <c r="M263" i="91"/>
  <c r="M266" i="91" s="1"/>
  <c r="N109" i="91"/>
  <c r="N231" i="91"/>
  <c r="N92" i="91"/>
  <c r="M231" i="91"/>
  <c r="N263" i="91" l="1"/>
  <c r="N266" i="91" s="1"/>
  <c r="N121" i="91" a="1"/>
  <c r="N121" i="91" s="1"/>
  <c r="N261" i="91" a="1"/>
  <c r="N261" i="91" s="1"/>
  <c r="N265" i="91" s="1"/>
  <c r="N274" i="91"/>
  <c r="M235" i="91"/>
  <c r="M236" i="91"/>
  <c r="N235" i="91"/>
  <c r="N236" i="91"/>
  <c r="N260" i="91"/>
  <c r="M260" i="91"/>
  <c r="N248" i="91" l="1"/>
  <c r="N249" i="91" s="1"/>
  <c r="M248" i="91"/>
  <c r="M249" i="91" s="1"/>
  <c r="N240" i="91"/>
  <c r="N276" i="91" s="1"/>
  <c r="N123" i="91"/>
  <c r="N124" i="91" s="1"/>
  <c r="M240" i="91"/>
  <c r="M123" i="91"/>
  <c r="M124" i="91" s="1"/>
  <c r="N237" i="91"/>
  <c r="N238" i="91" s="1"/>
  <c r="N245" i="91"/>
  <c r="N301" i="91"/>
  <c r="M237" i="91"/>
  <c r="M238" i="91" s="1"/>
  <c r="M245" i="91"/>
  <c r="M301" i="91"/>
  <c r="N280" i="91" l="1"/>
  <c r="N279" i="91"/>
  <c r="M146" i="91"/>
  <c r="M147" i="91" s="1"/>
  <c r="N146" i="91"/>
  <c r="N147" i="91" s="1"/>
  <c r="M242" i="91"/>
  <c r="M243" i="91" s="1"/>
  <c r="N242" i="91"/>
  <c r="N243" i="91" s="1"/>
  <c r="N264" i="91"/>
  <c r="N201" i="91" l="1"/>
  <c r="M201" i="91"/>
  <c r="N267" i="91"/>
  <c r="N268" i="91" s="1"/>
  <c r="M252" i="91"/>
  <c r="M163" i="91" s="1"/>
  <c r="M264" i="91"/>
  <c r="N252" i="91"/>
  <c r="N163" i="91" s="1"/>
  <c r="N251" i="91"/>
  <c r="M251" i="91"/>
  <c r="N164" i="91" l="1"/>
  <c r="N180" i="91" s="1"/>
  <c r="M164" i="91"/>
  <c r="M180" i="91" s="1"/>
  <c r="N254" i="91"/>
  <c r="M254" i="91"/>
  <c r="M267" i="91"/>
  <c r="M268" i="91" s="1"/>
  <c r="M255" i="91"/>
  <c r="M253" i="91"/>
  <c r="N255" i="91"/>
  <c r="N253" i="91"/>
  <c r="C56" i="108" l="1"/>
  <c r="C57" i="108" s="1"/>
  <c r="K87" i="91" l="1"/>
  <c r="H87" i="91"/>
  <c r="G161" i="93"/>
  <c r="G159" i="93"/>
  <c r="H177" i="91"/>
  <c r="G158" i="93"/>
  <c r="F90" i="91" a="1"/>
  <c r="F90" i="91" s="1"/>
  <c r="F91" i="91" s="1"/>
  <c r="F234" i="91" a="1"/>
  <c r="F234" i="91" s="1"/>
  <c r="H234" i="91" a="1"/>
  <c r="H234" i="91" s="1"/>
  <c r="I234" i="91" a="1"/>
  <c r="I234" i="91" s="1"/>
  <c r="J90" i="91" a="1"/>
  <c r="J90" i="91" s="1"/>
  <c r="J91" i="91" s="1"/>
  <c r="J234" i="91" a="1"/>
  <c r="J234" i="91" s="1"/>
  <c r="K90" i="91" a="1"/>
  <c r="K90" i="91" s="1"/>
  <c r="K234" i="91" a="1"/>
  <c r="K234" i="91" s="1"/>
  <c r="L103" i="91"/>
  <c r="L234" i="91" a="1"/>
  <c r="L234" i="91" s="1"/>
  <c r="O90" i="91" a="1"/>
  <c r="O90" i="91" s="1"/>
  <c r="O234" i="91" a="1"/>
  <c r="O234" i="91" s="1"/>
  <c r="C13" i="108"/>
  <c r="F246" i="91" a="1"/>
  <c r="F246" i="91" s="1"/>
  <c r="F119" i="91" a="1"/>
  <c r="F119" i="91" s="1"/>
  <c r="F241" i="91" a="1"/>
  <c r="F241" i="91" s="1"/>
  <c r="G99" i="91" a="1"/>
  <c r="G99" i="91" s="1"/>
  <c r="I93" i="91" a="1"/>
  <c r="I93" i="91" s="1"/>
  <c r="L118" i="91" a="1"/>
  <c r="L118" i="91" s="1"/>
  <c r="L119" i="91" a="1"/>
  <c r="L119" i="91" s="1"/>
  <c r="O118" i="91" a="1"/>
  <c r="O118" i="91" s="1"/>
  <c r="O119" i="91" a="1"/>
  <c r="O119" i="91" s="1"/>
  <c r="H99" i="91" a="1"/>
  <c r="H99" i="91" s="1"/>
  <c r="J99" i="91" a="1"/>
  <c r="J99" i="91" s="1"/>
  <c r="K99" i="91" a="1"/>
  <c r="K99" i="91" s="1"/>
  <c r="L99" i="91" a="1"/>
  <c r="L99" i="91" s="1"/>
  <c r="L133" i="91" s="1"/>
  <c r="L138" i="91" s="1"/>
  <c r="O99" i="91" a="1"/>
  <c r="O99" i="91" s="1"/>
  <c r="G234" i="91" a="1"/>
  <c r="G234" i="91" s="1"/>
  <c r="G241" i="91" a="1"/>
  <c r="G241" i="91" s="1"/>
  <c r="G246" i="91" a="1"/>
  <c r="G246" i="91" s="1"/>
  <c r="H241" i="91" a="1"/>
  <c r="H241" i="91" s="1"/>
  <c r="H246" i="91" a="1"/>
  <c r="H246" i="91" s="1"/>
  <c r="I241" i="91" a="1"/>
  <c r="I241" i="91" s="1"/>
  <c r="J241" i="91" a="1"/>
  <c r="J241" i="91" s="1"/>
  <c r="J246" i="91" a="1"/>
  <c r="J246" i="91" s="1"/>
  <c r="K241" i="91" a="1"/>
  <c r="K241" i="91" s="1"/>
  <c r="K246" i="91" a="1"/>
  <c r="K246" i="91" s="1"/>
  <c r="L246" i="91" a="1"/>
  <c r="L246" i="91" s="1"/>
  <c r="O246" i="91" a="1"/>
  <c r="O246" i="91" s="1"/>
  <c r="I99" i="91" a="1"/>
  <c r="I99" i="91" s="1"/>
  <c r="I246" i="91" a="1"/>
  <c r="I246" i="91" s="1"/>
  <c r="L241" i="91" a="1"/>
  <c r="L241" i="91" s="1"/>
  <c r="O111" i="91"/>
  <c r="O113" i="91"/>
  <c r="L111" i="91"/>
  <c r="L113" i="91"/>
  <c r="K111" i="91"/>
  <c r="K113" i="91"/>
  <c r="J111" i="91"/>
  <c r="I111" i="91"/>
  <c r="I113" i="91"/>
  <c r="H111" i="91"/>
  <c r="H115" i="91" s="1"/>
  <c r="F113" i="91"/>
  <c r="F111" i="91"/>
  <c r="G127" i="93"/>
  <c r="G126" i="93"/>
  <c r="G125" i="93"/>
  <c r="G124" i="93"/>
  <c r="O241" i="91" a="1"/>
  <c r="O241" i="91" s="1"/>
  <c r="G100" i="93"/>
  <c r="F1" i="91"/>
  <c r="C11" i="108" s="1"/>
  <c r="C48" i="108" s="1"/>
  <c r="D120" i="93"/>
  <c r="G120" i="93" s="1"/>
  <c r="G148" i="93"/>
  <c r="G147" i="93"/>
  <c r="G144" i="93"/>
  <c r="G140" i="93"/>
  <c r="G139" i="93"/>
  <c r="G138" i="93"/>
  <c r="G134" i="93"/>
  <c r="G133" i="93"/>
  <c r="G132" i="93"/>
  <c r="G64" i="93"/>
  <c r="G62" i="93"/>
  <c r="G59" i="93"/>
  <c r="G58" i="93"/>
  <c r="G122" i="93"/>
  <c r="G121" i="93"/>
  <c r="G119" i="93"/>
  <c r="G118" i="93"/>
  <c r="G117" i="93"/>
  <c r="G116" i="93"/>
  <c r="G110" i="93"/>
  <c r="G109" i="93"/>
  <c r="G99" i="93"/>
  <c r="F10" i="92"/>
  <c r="E10" i="92"/>
  <c r="D10" i="92"/>
  <c r="C10" i="92"/>
  <c r="B10" i="92"/>
  <c r="F4" i="92"/>
  <c r="E4" i="92"/>
  <c r="D4" i="92"/>
  <c r="C4" i="92"/>
  <c r="B4" i="92"/>
  <c r="H259" i="91" l="1"/>
  <c r="H258" i="91"/>
  <c r="H133" i="91"/>
  <c r="H138" i="91" s="1"/>
  <c r="H140" i="91" s="1"/>
  <c r="H142" i="91" s="1"/>
  <c r="H143" i="91" s="1"/>
  <c r="L121" i="91" a="1"/>
  <c r="L121" i="91" s="1"/>
  <c r="J103" i="91"/>
  <c r="J104" i="91"/>
  <c r="G103" i="91"/>
  <c r="G104" i="91"/>
  <c r="F104" i="91"/>
  <c r="F103" i="91"/>
  <c r="H178" i="91"/>
  <c r="H179" i="91" s="1"/>
  <c r="H202" i="91" s="1"/>
  <c r="H117" i="91"/>
  <c r="H121" i="91" s="1" a="1"/>
  <c r="H121" i="91" s="1"/>
  <c r="F3" i="91"/>
  <c r="H271" i="91"/>
  <c r="F115" i="91"/>
  <c r="H109" i="91"/>
  <c r="I115" i="91"/>
  <c r="J115" i="91"/>
  <c r="K115" i="91"/>
  <c r="L115" i="91"/>
  <c r="O115" i="91"/>
  <c r="G233" i="91"/>
  <c r="F172" i="91" a="1"/>
  <c r="F172" i="91" s="1"/>
  <c r="F219" i="91" s="1"/>
  <c r="F226" i="91" s="1"/>
  <c r="O91" i="91"/>
  <c r="O233" i="91" s="1"/>
  <c r="O103" i="91"/>
  <c r="K91" i="91"/>
  <c r="K133" i="91" s="1"/>
  <c r="K138" i="91" s="1"/>
  <c r="K103" i="91"/>
  <c r="F233" i="91"/>
  <c r="H231" i="91"/>
  <c r="K231" i="91"/>
  <c r="F173" i="91" a="1"/>
  <c r="F173" i="91" s="1"/>
  <c r="F167" i="91" a="1"/>
  <c r="F167" i="91" s="1"/>
  <c r="F166" i="91" a="1"/>
  <c r="F166" i="91" s="1"/>
  <c r="O178" i="91"/>
  <c r="N178" i="91"/>
  <c r="M178" i="91"/>
  <c r="L178" i="91"/>
  <c r="K178" i="91"/>
  <c r="J178" i="91"/>
  <c r="O177" i="91"/>
  <c r="O179" i="91" s="1"/>
  <c r="N177" i="91"/>
  <c r="N179" i="91" s="1"/>
  <c r="M177" i="91"/>
  <c r="M179" i="91" s="1"/>
  <c r="L177" i="91"/>
  <c r="K177" i="91"/>
  <c r="J177" i="91"/>
  <c r="I177" i="91"/>
  <c r="G177" i="91"/>
  <c r="G160" i="93"/>
  <c r="H233" i="91"/>
  <c r="O87" i="91"/>
  <c r="F87" i="91"/>
  <c r="I87" i="91"/>
  <c r="J87" i="91"/>
  <c r="K104" i="91"/>
  <c r="H92" i="91"/>
  <c r="I233" i="91"/>
  <c r="J133" i="91" l="1"/>
  <c r="J138" i="91" s="1"/>
  <c r="J259" i="91"/>
  <c r="J258" i="91"/>
  <c r="I259" i="91"/>
  <c r="I258" i="91"/>
  <c r="F133" i="91"/>
  <c r="F138" i="91" s="1"/>
  <c r="F140" i="91" s="1"/>
  <c r="F142" i="91" s="1"/>
  <c r="F143" i="91" s="1"/>
  <c r="F259" i="91"/>
  <c r="F258" i="91"/>
  <c r="O133" i="91"/>
  <c r="O138" i="91" s="1"/>
  <c r="O259" i="91"/>
  <c r="O258" i="91"/>
  <c r="K258" i="91"/>
  <c r="K259" i="91"/>
  <c r="I271" i="91"/>
  <c r="I274" i="91" s="1"/>
  <c r="I133" i="91"/>
  <c r="I138" i="91" s="1"/>
  <c r="K109" i="91"/>
  <c r="J109" i="91"/>
  <c r="I109" i="91"/>
  <c r="H263" i="91"/>
  <c r="O117" i="91"/>
  <c r="M202" i="91"/>
  <c r="M181" i="91"/>
  <c r="M182" i="91" s="1"/>
  <c r="M203" i="91" s="1"/>
  <c r="N202" i="91"/>
  <c r="N181" i="91"/>
  <c r="N182" i="91" s="1"/>
  <c r="N203" i="91" s="1"/>
  <c r="O202" i="91"/>
  <c r="K271" i="91"/>
  <c r="K274" i="91" s="1"/>
  <c r="K117" i="91"/>
  <c r="K300" i="91"/>
  <c r="O300" i="91"/>
  <c r="G178" i="91"/>
  <c r="G179" i="91" s="1"/>
  <c r="G202" i="91" s="1"/>
  <c r="I178" i="91"/>
  <c r="I179" i="91" s="1"/>
  <c r="I202" i="91" s="1"/>
  <c r="L300" i="91"/>
  <c r="F193" i="91"/>
  <c r="E29" i="108"/>
  <c r="H275" i="91"/>
  <c r="H274" i="91"/>
  <c r="K92" i="91"/>
  <c r="H260" i="91"/>
  <c r="K233" i="91"/>
  <c r="K260" i="91" s="1"/>
  <c r="J271" i="91"/>
  <c r="L271" i="91"/>
  <c r="F271" i="91"/>
  <c r="L179" i="91"/>
  <c r="J231" i="91"/>
  <c r="J117" i="91"/>
  <c r="J92" i="91"/>
  <c r="I231" i="91"/>
  <c r="I260" i="91" s="1"/>
  <c r="I117" i="91"/>
  <c r="L231" i="91"/>
  <c r="F92" i="91"/>
  <c r="F117" i="91"/>
  <c r="F121" i="91" s="1" a="1"/>
  <c r="F121" i="91" s="1"/>
  <c r="O231" i="91"/>
  <c r="O260" i="91" s="1"/>
  <c r="H235" i="91"/>
  <c r="H236" i="91"/>
  <c r="F177" i="91"/>
  <c r="J179" i="91"/>
  <c r="J202" i="91" s="1"/>
  <c r="K179" i="91"/>
  <c r="L233" i="91"/>
  <c r="O92" i="91"/>
  <c r="O104" i="91"/>
  <c r="F231" i="91"/>
  <c r="F260" i="91" s="1"/>
  <c r="I92" i="91"/>
  <c r="L104" i="91"/>
  <c r="J233" i="91"/>
  <c r="I275" i="91" l="1"/>
  <c r="G259" i="91"/>
  <c r="G258" i="91"/>
  <c r="G271" i="91"/>
  <c r="G275" i="91" s="1"/>
  <c r="G133" i="91"/>
  <c r="G138" i="91" s="1"/>
  <c r="G140" i="91" s="1"/>
  <c r="G142" i="91" s="1"/>
  <c r="G143" i="91" s="1"/>
  <c r="O263" i="91"/>
  <c r="O266" i="91" s="1"/>
  <c r="F263" i="91"/>
  <c r="L263" i="91"/>
  <c r="L266" i="91" s="1"/>
  <c r="I121" i="91" a="1"/>
  <c r="I121" i="91" s="1"/>
  <c r="I261" i="91" a="1"/>
  <c r="I261" i="91" s="1"/>
  <c r="I265" i="91" s="1"/>
  <c r="I263" i="91"/>
  <c r="I266" i="91" s="1"/>
  <c r="J263" i="91"/>
  <c r="J266" i="91" s="1"/>
  <c r="J121" i="91" a="1"/>
  <c r="J121" i="91" s="1"/>
  <c r="J261" i="91" a="1"/>
  <c r="J261" i="91" s="1"/>
  <c r="J265" i="91" s="1"/>
  <c r="K263" i="91"/>
  <c r="K266" i="91" s="1"/>
  <c r="K121" i="91" a="1"/>
  <c r="K121" i="91" s="1"/>
  <c r="K240" i="91" s="1"/>
  <c r="K261" i="91" a="1"/>
  <c r="K261" i="91" s="1"/>
  <c r="K265" i="91" s="1"/>
  <c r="O121" i="91" a="1"/>
  <c r="O121" i="91" s="1"/>
  <c r="O261" i="91" a="1"/>
  <c r="O261" i="91" s="1"/>
  <c r="O265" i="91" s="1"/>
  <c r="C30" i="108"/>
  <c r="K275" i="91"/>
  <c r="H248" i="91"/>
  <c r="L202" i="91"/>
  <c r="F186" i="91"/>
  <c r="F188" i="91" s="1"/>
  <c r="F185" i="91"/>
  <c r="K202" i="91"/>
  <c r="F29" i="108"/>
  <c r="D29" i="108"/>
  <c r="G29" i="108"/>
  <c r="J275" i="91"/>
  <c r="J274" i="91"/>
  <c r="F275" i="91"/>
  <c r="F274" i="91"/>
  <c r="L275" i="91"/>
  <c r="L274" i="91"/>
  <c r="K236" i="91"/>
  <c r="K235" i="91"/>
  <c r="L260" i="91"/>
  <c r="O123" i="91"/>
  <c r="O124" i="91" s="1"/>
  <c r="G117" i="91"/>
  <c r="G121" i="91" s="1" a="1"/>
  <c r="G121" i="91" s="1"/>
  <c r="F235" i="91"/>
  <c r="F236" i="91"/>
  <c r="O235" i="91"/>
  <c r="O236" i="91"/>
  <c r="L235" i="91"/>
  <c r="L236" i="91"/>
  <c r="I235" i="91"/>
  <c r="I236" i="91"/>
  <c r="J235" i="91"/>
  <c r="J236" i="91"/>
  <c r="J260" i="91"/>
  <c r="K301" i="91"/>
  <c r="F109" i="91"/>
  <c r="G109" i="91"/>
  <c r="L109" i="91"/>
  <c r="H240" i="91"/>
  <c r="O109" i="91"/>
  <c r="H237" i="91"/>
  <c r="H238" i="91" s="1"/>
  <c r="G231" i="91"/>
  <c r="H245" i="91"/>
  <c r="H262" i="91" s="1" a="1"/>
  <c r="H262" i="91" s="1"/>
  <c r="H266" i="91" s="1"/>
  <c r="F191" i="91" l="1"/>
  <c r="C40" i="108" s="1"/>
  <c r="F208" i="91"/>
  <c r="G274" i="91"/>
  <c r="G245" i="91"/>
  <c r="G262" i="91" s="1" a="1"/>
  <c r="G262" i="91" s="1"/>
  <c r="G263" i="91"/>
  <c r="H261" i="91" a="1"/>
  <c r="H261" i="91" s="1"/>
  <c r="H265" i="91" s="1"/>
  <c r="F207" i="91"/>
  <c r="H247" i="91"/>
  <c r="H249" i="91" s="1"/>
  <c r="F248" i="91"/>
  <c r="J248" i="91"/>
  <c r="J249" i="91" s="1"/>
  <c r="O248" i="91"/>
  <c r="O249" i="91" s="1"/>
  <c r="I248" i="91"/>
  <c r="I249" i="91" s="1"/>
  <c r="K248" i="91"/>
  <c r="K249" i="91" s="1"/>
  <c r="L248" i="91"/>
  <c r="L249" i="91" s="1"/>
  <c r="K276" i="91"/>
  <c r="K237" i="91"/>
  <c r="K238" i="91" s="1"/>
  <c r="O237" i="91"/>
  <c r="O238" i="91" s="1"/>
  <c r="K245" i="91"/>
  <c r="O240" i="91"/>
  <c r="O276" i="91" s="1"/>
  <c r="I237" i="91"/>
  <c r="I238" i="91" s="1"/>
  <c r="G235" i="91"/>
  <c r="G236" i="91"/>
  <c r="F237" i="91"/>
  <c r="F238" i="91" s="1"/>
  <c r="H242" i="91"/>
  <c r="H243" i="91" s="1"/>
  <c r="I240" i="91"/>
  <c r="L237" i="91"/>
  <c r="L238" i="91" s="1"/>
  <c r="I245" i="91"/>
  <c r="K242" i="91"/>
  <c r="K243" i="91" s="1"/>
  <c r="O301" i="91"/>
  <c r="O245" i="91"/>
  <c r="G260" i="91"/>
  <c r="J237" i="91"/>
  <c r="J238" i="91" s="1"/>
  <c r="L245" i="91"/>
  <c r="L240" i="91"/>
  <c r="J245" i="91"/>
  <c r="J240" i="91"/>
  <c r="O242" i="91"/>
  <c r="G240" i="91"/>
  <c r="G261" i="91" s="1" a="1"/>
  <c r="G261" i="91" s="1"/>
  <c r="G265" i="91" s="1"/>
  <c r="F240" i="91"/>
  <c r="F261" i="91" s="1" a="1"/>
  <c r="F261" i="91" s="1"/>
  <c r="F265" i="91" s="1"/>
  <c r="F245" i="91"/>
  <c r="G266" i="91" l="1"/>
  <c r="H276" i="91"/>
  <c r="H280" i="91" s="1"/>
  <c r="F247" i="91"/>
  <c r="F249" i="91" s="1"/>
  <c r="F262" i="91" a="1"/>
  <c r="F262" i="91" s="1"/>
  <c r="F266" i="91" s="1"/>
  <c r="G248" i="91"/>
  <c r="G247" i="91"/>
  <c r="O280" i="91"/>
  <c r="O279" i="91"/>
  <c r="O146" i="91"/>
  <c r="O147" i="91" s="1"/>
  <c r="K280" i="91"/>
  <c r="K279" i="91"/>
  <c r="F276" i="91"/>
  <c r="J276" i="91"/>
  <c r="I276" i="91"/>
  <c r="L276" i="91"/>
  <c r="G276" i="91"/>
  <c r="K264" i="91"/>
  <c r="K267" i="91" s="1"/>
  <c r="K268" i="91" s="1"/>
  <c r="H264" i="91"/>
  <c r="I242" i="91"/>
  <c r="I243" i="91" s="1"/>
  <c r="K251" i="91"/>
  <c r="K252" i="91" s="1"/>
  <c r="H251" i="91"/>
  <c r="H252" i="91" s="1"/>
  <c r="G237" i="91"/>
  <c r="L242" i="91"/>
  <c r="J242" i="91"/>
  <c r="O264" i="91"/>
  <c r="F242" i="91"/>
  <c r="G242" i="91"/>
  <c r="O243" i="91"/>
  <c r="H279" i="91" l="1"/>
  <c r="E35" i="108"/>
  <c r="H163" i="91"/>
  <c r="K163" i="91"/>
  <c r="O201" i="91"/>
  <c r="G249" i="91"/>
  <c r="G280" i="91"/>
  <c r="G279" i="91"/>
  <c r="L280" i="91"/>
  <c r="L279" i="91"/>
  <c r="I280" i="91"/>
  <c r="I279" i="91"/>
  <c r="J280" i="91"/>
  <c r="J279" i="91"/>
  <c r="F280" i="91"/>
  <c r="F279" i="91"/>
  <c r="I264" i="91"/>
  <c r="I267" i="91" s="1"/>
  <c r="I268" i="91" s="1"/>
  <c r="O267" i="91"/>
  <c r="O268" i="91" s="1"/>
  <c r="H267" i="91"/>
  <c r="H268" i="91" s="1"/>
  <c r="I251" i="91"/>
  <c r="I252" i="91" s="1"/>
  <c r="I163" i="91" s="1"/>
  <c r="O252" i="91"/>
  <c r="O163" i="91" s="1"/>
  <c r="O251" i="91"/>
  <c r="G238" i="91"/>
  <c r="J264" i="91"/>
  <c r="L251" i="91"/>
  <c r="L243" i="91"/>
  <c r="J251" i="91"/>
  <c r="J243" i="91"/>
  <c r="L264" i="91"/>
  <c r="F264" i="91"/>
  <c r="F251" i="91"/>
  <c r="F243" i="91"/>
  <c r="K255" i="91"/>
  <c r="K254" i="91"/>
  <c r="K253" i="91"/>
  <c r="H255" i="91"/>
  <c r="H253" i="91"/>
  <c r="H254" i="91"/>
  <c r="G251" i="91"/>
  <c r="G243" i="91"/>
  <c r="G264" i="91"/>
  <c r="H164" i="91" l="1"/>
  <c r="H180" i="91" s="1"/>
  <c r="H181" i="91" s="1"/>
  <c r="H182" i="91" s="1"/>
  <c r="H203" i="91" s="1"/>
  <c r="K164" i="91"/>
  <c r="K180" i="91" s="1"/>
  <c r="K181" i="91" s="1"/>
  <c r="K182" i="91" s="1"/>
  <c r="K203" i="91" s="1"/>
  <c r="I164" i="91"/>
  <c r="I180" i="91" s="1"/>
  <c r="I181" i="91" s="1"/>
  <c r="I182" i="91" s="1"/>
  <c r="I203" i="91" s="1"/>
  <c r="O164" i="91"/>
  <c r="O180" i="91" s="1"/>
  <c r="O181" i="91" s="1"/>
  <c r="O182" i="91" s="1"/>
  <c r="O203" i="91" s="1"/>
  <c r="O253" i="91"/>
  <c r="I253" i="91"/>
  <c r="F35" i="108"/>
  <c r="J267" i="91"/>
  <c r="J268" i="91" s="1"/>
  <c r="G267" i="91"/>
  <c r="G268" i="91" s="1"/>
  <c r="L267" i="91"/>
  <c r="L268" i="91" s="1"/>
  <c r="I255" i="91"/>
  <c r="I254" i="91"/>
  <c r="O254" i="91"/>
  <c r="O271" i="91" s="1"/>
  <c r="O255" i="91"/>
  <c r="J252" i="91"/>
  <c r="J163" i="91" s="1"/>
  <c r="L252" i="91"/>
  <c r="L163" i="91" s="1"/>
  <c r="G252" i="91"/>
  <c r="G163" i="91" s="1"/>
  <c r="F252" i="91"/>
  <c r="F163" i="91" s="1"/>
  <c r="F267" i="91"/>
  <c r="F164" i="91" l="1"/>
  <c r="L164" i="91"/>
  <c r="L180" i="91" s="1"/>
  <c r="L181" i="91" s="1"/>
  <c r="L182" i="91" s="1"/>
  <c r="L203" i="91" s="1"/>
  <c r="J164" i="91"/>
  <c r="J180" i="91" s="1"/>
  <c r="J181" i="91" s="1"/>
  <c r="J182" i="91" s="1"/>
  <c r="J203" i="91" s="1"/>
  <c r="G164" i="91"/>
  <c r="G180" i="91" s="1"/>
  <c r="G181" i="91" s="1"/>
  <c r="G182" i="91" s="1"/>
  <c r="G203" i="91" s="1"/>
  <c r="G35" i="108"/>
  <c r="C35" i="108"/>
  <c r="D35" i="108"/>
  <c r="O275" i="91"/>
  <c r="O274" i="91"/>
  <c r="J255" i="91"/>
  <c r="J254" i="91"/>
  <c r="J253" i="91"/>
  <c r="L253" i="91"/>
  <c r="L254" i="91"/>
  <c r="L255" i="91"/>
  <c r="F268" i="91"/>
  <c r="G255" i="91"/>
  <c r="G254" i="91"/>
  <c r="G253" i="91"/>
  <c r="F255" i="91"/>
  <c r="F253" i="91"/>
  <c r="F254" i="91"/>
  <c r="F189" i="91" l="1"/>
  <c r="F180" i="91"/>
  <c r="C39" i="108" l="1"/>
  <c r="F54" i="108" l="1"/>
  <c r="E54" i="108"/>
  <c r="G54" i="108"/>
  <c r="C54" i="108"/>
  <c r="D54" i="108"/>
  <c r="G122" i="91" a="1"/>
  <c r="G122" i="91" s="1"/>
  <c r="G123" i="91" s="1"/>
  <c r="G125" i="91" s="1"/>
  <c r="J301" i="91"/>
  <c r="I122" i="91" a="1"/>
  <c r="I122" i="91" s="1"/>
  <c r="I123" i="91" s="1"/>
  <c r="I124" i="91" s="1"/>
  <c r="I301" i="91"/>
  <c r="F122" i="91" a="1"/>
  <c r="F122" i="91" s="1"/>
  <c r="F123" i="91" s="1"/>
  <c r="F125" i="91" s="1"/>
  <c r="J122" i="91" a="1"/>
  <c r="J122" i="91" s="1"/>
  <c r="J123" i="91" s="1"/>
  <c r="J124" i="91" s="1"/>
  <c r="K122" i="91" a="1"/>
  <c r="K122" i="91" s="1"/>
  <c r="K123" i="91" s="1"/>
  <c r="K124" i="91" s="1"/>
  <c r="L301" i="91"/>
  <c r="L122" i="91" a="1"/>
  <c r="L122" i="91" s="1"/>
  <c r="L123" i="91" s="1"/>
  <c r="L124" i="91" s="1"/>
  <c r="H122" i="91" a="1"/>
  <c r="H122" i="91" s="1"/>
  <c r="H123" i="91" s="1"/>
  <c r="H125" i="91" s="1"/>
  <c r="O122" i="91" a="1"/>
  <c r="O122" i="91" s="1"/>
  <c r="F144" i="91"/>
  <c r="C33" i="108" s="1"/>
  <c r="M122" i="91" a="1"/>
  <c r="M122" i="91" s="1"/>
  <c r="N122" i="91" a="1"/>
  <c r="N122" i="91" s="1"/>
  <c r="E32" i="108" l="1"/>
  <c r="H124" i="91"/>
  <c r="C32" i="108"/>
  <c r="F124" i="91"/>
  <c r="D32" i="108"/>
  <c r="G124" i="91"/>
  <c r="H301" i="91"/>
  <c r="H144" i="91"/>
  <c r="E33" i="108" s="1"/>
  <c r="G301" i="91"/>
  <c r="G144" i="91"/>
  <c r="D33" i="108" s="1"/>
  <c r="F301" i="91"/>
  <c r="J146" i="91"/>
  <c r="H146" i="91"/>
  <c r="F146" i="91"/>
  <c r="F147" i="91" s="1"/>
  <c r="C34" i="108" s="1"/>
  <c r="L146" i="91"/>
  <c r="L147" i="91" s="1"/>
  <c r="G146" i="91"/>
  <c r="I146" i="91"/>
  <c r="K146" i="91"/>
  <c r="K147" i="91" s="1"/>
  <c r="I147" i="91" l="1"/>
  <c r="F34" i="108" s="1"/>
  <c r="J147" i="91"/>
  <c r="J201" i="91" s="1"/>
  <c r="G147" i="91"/>
  <c r="G201" i="91" s="1"/>
  <c r="H147" i="91"/>
  <c r="H201" i="91" s="1"/>
  <c r="L201" i="91"/>
  <c r="K201" i="91"/>
  <c r="F201" i="91"/>
  <c r="F178" i="91"/>
  <c r="F179" i="91" s="1"/>
  <c r="F202" i="91" s="1"/>
  <c r="F227" i="91"/>
  <c r="I201" i="91" l="1"/>
  <c r="E34" i="108"/>
  <c r="G34" i="108"/>
  <c r="D34" i="108"/>
  <c r="F184" i="91"/>
  <c r="C29" i="108"/>
  <c r="F181" i="91"/>
  <c r="F182" i="91" s="1"/>
  <c r="F203" i="91" s="1"/>
  <c r="C38" i="108" l="1"/>
  <c r="F192" i="91"/>
  <c r="C41" i="108" s="1"/>
  <c r="F209" i="91" l="1"/>
  <c r="F194" i="91"/>
  <c r="C42" i="108" s="1"/>
  <c r="S180" i="91"/>
  <c r="S181" i="91" s="1"/>
  <c r="S182" i="91" s="1"/>
  <c r="S203" i="91" s="1"/>
  <c r="S161" i="91"/>
  <c r="F204"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tc={A464369C-2722-485D-A52A-B5A3BA55F0E1}</author>
    <author>tc={7089EB0C-200F-427F-9FFF-CCD7362095B8}</author>
    <author>tc={3DEB80D2-4B41-426A-889A-9E5BF47594A0}</author>
    <author>tc={C841681A-BD05-4152-825F-65C44898E3A0}</author>
  </authors>
  <commentList>
    <comment ref="F92" authorId="0" shapeId="0" xr:uid="{A464369C-2722-485D-A52A-B5A3BA55F0E1}">
      <text>
        <t xml:space="preserve">[Threaded comment]
Your version of Excel allows you to read this threaded comment; however, any edits to it will get removed if the file is opened in a newer version of Excel. Learn more: https://go.microsoft.com/fwlink/?linkid=870924
Comment:
    This should read the same as row 88 kbtu of Prim fuel if there is no secondary. 
Reply:
    Jen/others: Template fix? (inputs are protected)  
I adjusted formula in F92 to include an IfError(,0). 
and the Data Accuracy checks now reference F92 instead of f91. 
Now the QC checks work in row 104. </t>
      </text>
    </comment>
    <comment ref="G92" authorId="1" shapeId="0" xr:uid="{7089EB0C-200F-427F-9FFF-CCD7362095B8}">
      <text>
        <t xml:space="preserve">[Threaded comment]
Your version of Excel allows you to read this threaded comment; however, any edits to it will get removed if the file is opened in a newer version of Excel. Learn more: https://go.microsoft.com/fwlink/?linkid=870924
Comment:
    This should read the same as row 88 kbtu of Prim fuel if there is no secondary. 
Reply:
    Jen/others: Template fix? (inputs are protected)  
I adjusted formula in F92 to include an IfError(,0). 
and the Data Accuracy checks now reference F92 instead of f91. 
Now the QC checks work in row 104. </t>
      </text>
    </comment>
    <comment ref="S92" authorId="2" shapeId="0" xr:uid="{3DEB80D2-4B41-426A-889A-9E5BF47594A0}">
      <text>
        <t xml:space="preserve">[Threaded comment]
Your version of Excel allows you to read this threaded comment; however, any edits to it will get removed if the file is opened in a newer version of Excel. Learn more: https://go.microsoft.com/fwlink/?linkid=870924
Comment:
    This should read the same as row 88 kbtu of Prim fuel if there is no secondary. 
Reply:
    Jen/others: Template fix? (inputs are protected)  
I adjusted formula in F92 to include an IfError(,0). 
and the Data Accuracy checks now reference F92 instead of f91. 
Now the QC checks work in row 104. </t>
      </text>
    </comment>
    <comment ref="T96" authorId="3" shapeId="0" xr:uid="{C841681A-BD05-4152-825F-65C44898E3A0}">
      <text>
        <t xml:space="preserve">[Threaded comment]
Your version of Excel allows you to read this threaded comment; however, any edits to it will get removed if the file is opened in a newer version of Excel. Learn more: https://go.microsoft.com/fwlink/?linkid=870924
Comment:
    automate (1-g88)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tc={E928CAFD-8BEF-4B30-B971-F269A01F9CBF}</author>
  </authors>
  <commentList>
    <comment ref="B2"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The below should match workbook for easy scraping</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tc={5F64DBA7-20E1-4A0D-BB09-F7C51C9299B2}</author>
  </authors>
  <commentList>
    <comment ref="F63"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Please review and advice placeholder value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<sst xmlns="http://schemas.openxmlformats.org/spreadsheetml/2006/main" count="2873" uniqueCount="1224">
  <si>
    <t xml:space="preserve">                         REDi: EB Project Proforma</t>
  </si>
  <si>
    <t>Project Information</t>
  </si>
  <si>
    <t>TAP Summary &amp; Comments</t>
  </si>
  <si>
    <t>Submittal Type/ Date</t>
  </si>
  <si>
    <t>Application</t>
  </si>
  <si>
    <t>To be filled in by TAP</t>
  </si>
  <si>
    <t>&lt;----Any critcial comments here, including whether we recommend a scope change, or have questions, if we are sharing an alternate scope, etc. Can also note any contingencies like "we assume that space will be available for DHW tanks" or "pending a chenge to utility billing"</t>
  </si>
  <si>
    <t>HPD Project ID</t>
  </si>
  <si>
    <t>Developer</t>
  </si>
  <si>
    <t>Architect</t>
  </si>
  <si>
    <t>MEP Engineer</t>
  </si>
  <si>
    <t>HPD Primary Program</t>
  </si>
  <si>
    <t>Building Summary</t>
  </si>
  <si>
    <t>Building Address:</t>
  </si>
  <si>
    <t>&lt;----If there are more than 5 buildings, add columns &amp; reformat</t>
  </si>
  <si>
    <t xml:space="preserve">Ownership Type </t>
  </si>
  <si>
    <t>Number of Units</t>
  </si>
  <si>
    <t>Primary Fuel Type</t>
  </si>
  <si>
    <t>Floodprone?</t>
  </si>
  <si>
    <t>`</t>
  </si>
  <si>
    <t xml:space="preserve"> LL97 Pathway</t>
  </si>
  <si>
    <t>Proposed REDi Scope</t>
  </si>
  <si>
    <t>&lt;---Erase extraneous buildings</t>
  </si>
  <si>
    <t>Scope 1: Hot Water Heating</t>
  </si>
  <si>
    <t>&lt;---Flag for Electric Resistance due to costs</t>
  </si>
  <si>
    <t>Scope 2: Residential Heating</t>
  </si>
  <si>
    <t>Scope 2: Commercial Heating (if any)</t>
  </si>
  <si>
    <t xml:space="preserve">Scope 2: Electrical Wiring </t>
  </si>
  <si>
    <t>&lt;---Autofills for Prewar that has Scope 2 and/or cooking</t>
  </si>
  <si>
    <t>Scope 2: Electrical Panel Upgrade</t>
  </si>
  <si>
    <t>Scope 3: Wall Insulation</t>
  </si>
  <si>
    <t>Scope 3: High Perf. Windows</t>
  </si>
  <si>
    <t>Scope 3: Enhanced Ventilation</t>
  </si>
  <si>
    <t xml:space="preserve">Demand Management </t>
  </si>
  <si>
    <t>Cooking (not REDi-eligible)</t>
  </si>
  <si>
    <t>&lt;---Not Funded by REDi</t>
  </si>
  <si>
    <r>
      <t>Incremental Cost/ bldg</t>
    </r>
    <r>
      <rPr>
        <b/>
        <vertAlign val="superscript"/>
        <sz val="8"/>
        <color theme="1"/>
        <rFont val="Aptos Narrow"/>
        <family val="2"/>
      </rPr>
      <t>1</t>
    </r>
  </si>
  <si>
    <t>REDi eligibility (does not factor in per/project REDi cap)</t>
  </si>
  <si>
    <t>&lt;---For Mitchell Lamas, there isn't a per/ building cap only a per project cap</t>
  </si>
  <si>
    <t>Estimated Savings from Electrification of Heating &amp; Hot Water (assumes REDi's estimated utility rates)</t>
  </si>
  <si>
    <t>Est. Heating Cost Savings</t>
  </si>
  <si>
    <t>&lt;---If savings are negative, suggest scope revisions</t>
  </si>
  <si>
    <t>Est. Hot Water Cost Savings</t>
  </si>
  <si>
    <t>Aggregated Cost Savings</t>
  </si>
  <si>
    <r>
      <t>Est. GHG Reductions</t>
    </r>
    <r>
      <rPr>
        <b/>
        <vertAlign val="superscript"/>
        <sz val="8"/>
        <color theme="1"/>
        <rFont val="Aptos Narrow"/>
        <family val="2"/>
      </rPr>
      <t>2</t>
    </r>
  </si>
  <si>
    <t>Incentive Summary (Based on Proposed Scope(s) and Incentives for REDi-Funded Buildings)*</t>
  </si>
  <si>
    <t>REDi Funding Determination</t>
  </si>
  <si>
    <r>
      <t>Incremental Cost</t>
    </r>
    <r>
      <rPr>
        <b/>
        <vertAlign val="superscript"/>
        <sz val="8"/>
        <color theme="1"/>
        <rFont val="Aptos Narrow"/>
        <family val="2"/>
      </rPr>
      <t>1</t>
    </r>
  </si>
  <si>
    <t>Offset Eligibility (displaces REDi)</t>
  </si>
  <si>
    <t>&lt;-- LL97 Offset Funds will displace REDi to the extent funding is available. This will be done on the PIOL. Not available for Mitchell Lamas</t>
  </si>
  <si>
    <t xml:space="preserve">Total REDi Incentives: </t>
  </si>
  <si>
    <t>&lt;---Now accounts for Mitchell Lamas, which have $3 million per building or campus</t>
  </si>
  <si>
    <r>
      <t>Net Incremental Cost after REDi and Offsets</t>
    </r>
    <r>
      <rPr>
        <b/>
        <vertAlign val="superscript"/>
        <sz val="8"/>
        <color theme="1"/>
        <rFont val="Aptos Narrow"/>
        <family val="2"/>
      </rPr>
      <t>3</t>
    </r>
  </si>
  <si>
    <t>1. Proposed Scope compared to a Business As Usual (BAU) non-electrification scope</t>
  </si>
  <si>
    <t>See Page 3 for detailed methodology and assumptions</t>
  </si>
  <si>
    <t>2. Using LL97 2030 coefficients for electric grid. Reductions will be higher as grid gets cleaner</t>
  </si>
  <si>
    <t>3. Additional funding for non-REDi buildings may be available thru Clean Heat &amp; AMEEP</t>
  </si>
  <si>
    <t>Continues on next page ---&gt;</t>
  </si>
  <si>
    <r>
      <rPr>
        <b/>
        <sz val="10"/>
        <color rgb="FFFFFFFF"/>
        <rFont val="Aptos Narrow"/>
      </rPr>
      <t>Underwriting Owner-Paid Electric Utilities - based on HDC 2025 M&amp;O standards</t>
    </r>
    <r>
      <rPr>
        <b/>
        <vertAlign val="superscript"/>
        <sz val="10"/>
        <color rgb="FFFFFFFF"/>
        <rFont val="Aptos Narrow"/>
      </rPr>
      <t xml:space="preserve">1
</t>
    </r>
    <r>
      <rPr>
        <b/>
        <sz val="10"/>
        <color rgb="FFFFFFFF"/>
        <rFont val="Aptos Narrow"/>
      </rPr>
      <t xml:space="preserve">Always underwrite to current standards. Items in </t>
    </r>
    <r>
      <rPr>
        <b/>
        <sz val="10"/>
        <color rgb="FFFF0000"/>
        <rFont val="Aptos Narrow"/>
      </rPr>
      <t>red</t>
    </r>
    <r>
      <rPr>
        <b/>
        <sz val="10"/>
        <color rgb="FFFFFFFF"/>
        <rFont val="Aptos Narrow"/>
      </rPr>
      <t xml:space="preserve"> may not comply w/ HPD Electric Heating Policy</t>
    </r>
    <r>
      <rPr>
        <b/>
        <vertAlign val="superscript"/>
        <sz val="10"/>
        <color rgb="FFFFFFFF"/>
        <rFont val="Aptos Narrow"/>
      </rPr>
      <t>3</t>
    </r>
  </si>
  <si>
    <t>&lt;---Update Annually, ensure current!</t>
  </si>
  <si>
    <t>Hot Water Htg/ Room</t>
  </si>
  <si>
    <t>Hot Water Htg Total</t>
  </si>
  <si>
    <t>Who will pay?</t>
  </si>
  <si>
    <r>
      <t>Space Heating/ Room</t>
    </r>
    <r>
      <rPr>
        <b/>
        <vertAlign val="superscript"/>
        <sz val="8"/>
        <color theme="1"/>
        <rFont val="Aptos Narrow"/>
        <family val="2"/>
      </rPr>
      <t>2</t>
    </r>
  </si>
  <si>
    <t>Space Heating Total</t>
  </si>
  <si>
    <t>Owner-Paid Cooling/ Room</t>
  </si>
  <si>
    <t>Cooling Total</t>
  </si>
  <si>
    <t>&lt;----Ensure project design allows cooling setup via metering or other</t>
  </si>
  <si>
    <t xml:space="preserve">Note: Commercial &amp; Community Spaces are assumed to be paid by commercial tenant and not included in M&amp;O. </t>
  </si>
  <si>
    <t>1. If expenses are resident-paid (meeting HPD's Electric Heating Policy), use applicable Utilty Allowance and adjust M&amp;O accordingly</t>
  </si>
  <si>
    <t>2. For Scope 3 projects, M&amp;O for heating is reduced by 20%</t>
  </si>
  <si>
    <t>3. Click here for information about HPD's Electric Heating Policy, M&amp;O Standards and Utility Allowances</t>
  </si>
  <si>
    <t>REDi Incentives 
(Max per DU, will be weighted for unit size)</t>
  </si>
  <si>
    <t xml:space="preserve">M&amp;O Standards for 2025 (cost/ room/ year)* 
Always use current standard when underwriting
</t>
  </si>
  <si>
    <t>REDi Scope 1: Hot Water</t>
  </si>
  <si>
    <t>Hot Water: Gas**</t>
  </si>
  <si>
    <t>REDi Scope 2: Space Heating*</t>
  </si>
  <si>
    <t>Hot Water: Electric Resistance</t>
  </si>
  <si>
    <t>Boost: Partial/ Full Elec. Upgrade</t>
  </si>
  <si>
    <t>$2,000/ $4,000</t>
  </si>
  <si>
    <t>Hot Water: Electric Heat Pump</t>
  </si>
  <si>
    <t>REDi Scope 3: Base</t>
  </si>
  <si>
    <t>Hot Water: Partial Hot Water Electrification</t>
  </si>
  <si>
    <t>TBD, based on %</t>
  </si>
  <si>
    <t>Boost: Enhanced Insulation</t>
  </si>
  <si>
    <t>$4,000/ $8,000</t>
  </si>
  <si>
    <t>Heating: Gas**</t>
  </si>
  <si>
    <t>Boost: Passive House Windows</t>
  </si>
  <si>
    <t>Heating: Electric Heat Pump</t>
  </si>
  <si>
    <t>Boost: ERV</t>
  </si>
  <si>
    <t>Heating: Electric Heat Pump, Scope 3</t>
  </si>
  <si>
    <t>Max Incentives for Scope 2+3</t>
  </si>
  <si>
    <t>Heating: Electric Heat Pump, Passive House</t>
  </si>
  <si>
    <t>Max Incentives per DU</t>
  </si>
  <si>
    <t>Cooling: Apartment Cooling if Owner Paid***</t>
  </si>
  <si>
    <t>Max Incentives Per Building**</t>
  </si>
  <si>
    <t>Repairs/Replacement for Elec. Buildings</t>
  </si>
  <si>
    <t>Add $100</t>
  </si>
  <si>
    <t>Max Incentives Per Project**</t>
  </si>
  <si>
    <t>*See HPD Utility Allowances for resident-paid expenses</t>
  </si>
  <si>
    <t>*PTHPs will be incentived at $14,000/ DU</t>
  </si>
  <si>
    <t>**Does not factor in higher costs for gas in Con Ed territory</t>
  </si>
  <si>
    <t>*PTHPs replacing PTACs will be incentived at $12,000</t>
  </si>
  <si>
    <t>***Reduce by 20% for Passive House</t>
  </si>
  <si>
    <t>**Up to $3,000,000 for Mitchell Lama projects</t>
  </si>
  <si>
    <t>HPD Approvals*</t>
  </si>
  <si>
    <t>TAP Signature</t>
  </si>
  <si>
    <t>HPD  Director Name</t>
  </si>
  <si>
    <t>HPD Director Signature</t>
  </si>
  <si>
    <t>Date</t>
  </si>
  <si>
    <t>*HPD Program Approval required for REDi participation</t>
  </si>
  <si>
    <t>Additional information,  Resources and Next Steps</t>
  </si>
  <si>
    <t>HPD REDi webpage w/ FAQs and all required documentation</t>
  </si>
  <si>
    <t>FAQ-Selecting the Right Type of Heat Pump for your project</t>
  </si>
  <si>
    <t>redi-process-steps.pdf</t>
  </si>
  <si>
    <t>Underwriting Electric and High-Performance Buildings</t>
  </si>
  <si>
    <t>HPD Electric Heating Policy</t>
  </si>
  <si>
    <t>VRF System Maintenance Plan</t>
  </si>
  <si>
    <t>Assumptions in this Tool</t>
  </si>
  <si>
    <t>Estimated Cost savings are estimated based on submitted fuel usage in the IPNA or utility bills, and are calculated based on:</t>
  </si>
  <si>
    <t>Cost savings are compared to the current building utility costs, but "normalized" to current utility rates</t>
  </si>
  <si>
    <t xml:space="preserve">     2025 assumptions: $4/ gallon for oil, $1.15/ therm for gas in Nat Grid or $2.35/ therm for gas in Con Ed, $0.30/ kWh for electricity</t>
  </si>
  <si>
    <t xml:space="preserve">Assumes Average COP for the selected type of heat pumps for space heating and DHW </t>
  </si>
  <si>
    <t>Includes additional efficiency measures in scope, including building envelope (space heating) and fixtures/ insulation (DHW)</t>
  </si>
  <si>
    <t>If project is Passive House, savings will be higher than shown, and project can underwrite to the Passive House M&amp;O.</t>
  </si>
  <si>
    <t>Cost Assumptions: Incremental Cost of REDi Scope Items (for ease of modeling, most costs are based on SF of floor area)</t>
  </si>
  <si>
    <t>Costs are estimates only, based on similar projects to date where info is available. They do not include GC markup</t>
  </si>
  <si>
    <t>VRF: We estimate split system VRF will cost approximately $50/ SF installed, depending on configuration</t>
  </si>
  <si>
    <t>PTHP: We estimate PTHPs will cost approximately $22/SF installed in existing PTAC sleeves, or $27/ SF otherwise</t>
  </si>
  <si>
    <t>Central DHW Heat Pump: Assumes $15/ SF installed. CO2 systems assume $25/ SF.</t>
  </si>
  <si>
    <t>Electric Panel &amp; Wiring: We estimate up to $3.50/ SF for wiring upgrades and $3,000/ apartment for panel upgrades, prewar bldgs only</t>
  </si>
  <si>
    <t xml:space="preserve">For Cooking: In SROs, we assume 1 kitchen per floor. For all other unit types, 1 kitchen per apartment is assumed. </t>
  </si>
  <si>
    <t>Wall Insulation: if selected, assumes ~$5/ building SF for interior insulation/  $20/ building SF for exterior insulation/ EIFS</t>
  </si>
  <si>
    <t>Windows &amp; Roof only calculated if REDi-eligible (near-Passive House levels of performance)</t>
  </si>
  <si>
    <t>Ventilation only calculated if ERVs are specified. Exhaust-only is assumed to be "BAU")</t>
  </si>
  <si>
    <t>Cost Assumptions: Business As Usual non-electrification scope ("BAU") for Sub/ Gut Rehabs</t>
  </si>
  <si>
    <t>BAU costs are only factored in for REDi-eligible scope items</t>
  </si>
  <si>
    <t>Heating System: Varies based on existing system. Assumes boiler/ equipment replacement and distribution upgrades.</t>
  </si>
  <si>
    <t>Cooling: Not assumed/ cost of cooling not factored in</t>
  </si>
  <si>
    <t>DHW: Assumes $4/ SF to decouple and install standalone  gas DHW system, which is assumed to be typical for Sub/ Gut Rehabs</t>
  </si>
  <si>
    <t>Electric Panel &amp; Wiring: None assumed for BAU retrofit, unless needed for reasons other than electrification</t>
  </si>
  <si>
    <t>If cooking is included, BAU assumes replacing with gas stoves</t>
  </si>
  <si>
    <t xml:space="preserve">A nominal amount of cost is included for floodproofing non-electric equipment in coastal flood-prone sites </t>
  </si>
  <si>
    <t>Wall Insulation: None assumed for BAU retrofit</t>
  </si>
  <si>
    <t xml:space="preserve">Project teams that believe that calculated cost savings and/or incremental costs for their project varies from the estimates in this tool may submit additional information and/or request a meeting to discuss. </t>
  </si>
  <si>
    <t>Filter</t>
  </si>
  <si>
    <t>REDi Tool: V2.1 (May 2025)</t>
  </si>
  <si>
    <t>TAP Team Notes</t>
  </si>
  <si>
    <t>P</t>
  </si>
  <si>
    <r>
      <t xml:space="preserve">Instructions: Fill in </t>
    </r>
    <r>
      <rPr>
        <b/>
        <sz val="9"/>
        <color theme="0"/>
        <rFont val="Aptos"/>
        <family val="2"/>
      </rPr>
      <t>all</t>
    </r>
    <r>
      <rPr>
        <sz val="9"/>
        <color theme="0"/>
        <rFont val="Aptos"/>
        <family val="2"/>
      </rPr>
      <t xml:space="preserve"> green and light blue cells. </t>
    </r>
  </si>
  <si>
    <t>The Public REDi Tool is for pre-evaluation of scopes only and does not represent application or acceptance to REDi. Items in bold/ red text signify potential policy or other issues.</t>
  </si>
  <si>
    <t>T</t>
  </si>
  <si>
    <t># Dwelling Units</t>
  </si>
  <si>
    <t>-</t>
  </si>
  <si>
    <t>Scope (from below)</t>
  </si>
  <si>
    <t>&lt;---Unhide Addt'l Columns</t>
  </si>
  <si>
    <t>Added</t>
  </si>
  <si>
    <t>Gas Service Territory</t>
  </si>
  <si>
    <t>Fund (from below)</t>
  </si>
  <si>
    <t>Use these rows for comments</t>
  </si>
  <si>
    <t>Step 1: Input green cells as VALUES only from REDi Bridge</t>
  </si>
  <si>
    <t xml:space="preserve">Input all green and blue cells from the HPD REDI Bridge Tab. Use VALUES -only pasting. </t>
  </si>
  <si>
    <t>p</t>
  </si>
  <si>
    <t>Project &amp; Building Information</t>
  </si>
  <si>
    <t>Comments</t>
  </si>
  <si>
    <t xml:space="preserve">If pasting from HPD Workbook, paste values only. Do not paste in source formatting! </t>
  </si>
  <si>
    <t>TAP Comments</t>
  </si>
  <si>
    <t>Do not paste in source formatting! Paste values only.</t>
  </si>
  <si>
    <t>HPD 5-Digit ID</t>
  </si>
  <si>
    <t>Populates from HPD Workbook</t>
  </si>
  <si>
    <t>HPD Project Name</t>
  </si>
  <si>
    <t>Example 1</t>
  </si>
  <si>
    <t>Example 2</t>
  </si>
  <si>
    <t>Example 3</t>
  </si>
  <si>
    <t>Developer/ Sponsor Name</t>
  </si>
  <si>
    <t>Architect of Record</t>
  </si>
  <si>
    <t>MEP Engineer of Record</t>
  </si>
  <si>
    <t>Green Consultant</t>
  </si>
  <si>
    <t>Building Information</t>
  </si>
  <si>
    <t>765 E 166 St</t>
  </si>
  <si>
    <t xml:space="preserve">Building Address </t>
  </si>
  <si>
    <t>Building HPD Rehab Classification</t>
  </si>
  <si>
    <t>HPD Moderate Rehab</t>
  </si>
  <si>
    <t>Existing Building Typology</t>
  </si>
  <si>
    <t>Post-War 7+ stories (post-1940)</t>
  </si>
  <si>
    <t>Existing Total # Dwelling Units</t>
  </si>
  <si>
    <t xml:space="preserve">Existing Fuel Type (primary) </t>
  </si>
  <si>
    <t>Natural Gas</t>
  </si>
  <si>
    <t xml:space="preserve">Existing Fuel Type (secondary) </t>
  </si>
  <si>
    <t>Populates from HPD Workbook, must not be blank</t>
  </si>
  <si>
    <t>#2 Oil</t>
  </si>
  <si>
    <t xml:space="preserve">Existing Heating System </t>
  </si>
  <si>
    <t xml:space="preserve">2 pipe Steam </t>
  </si>
  <si>
    <t>Existing Domestic Hot Water (DHW) System</t>
  </si>
  <si>
    <t>Direct Fired Storage Tank</t>
  </si>
  <si>
    <t xml:space="preserve">Existing In-Unit Ventilation </t>
  </si>
  <si>
    <t>New Exhaust Only Ventilation</t>
  </si>
  <si>
    <t>Is building in ConEd or PSEG territory (electric)?</t>
  </si>
  <si>
    <t>ConEd</t>
  </si>
  <si>
    <t>Is building in ConEd or NGrid territory (natural gas)?</t>
  </si>
  <si>
    <t>NGrid</t>
  </si>
  <si>
    <t>Is site subject to flooding per the Design Guidelines?</t>
  </si>
  <si>
    <t>Coastal Flooding</t>
  </si>
  <si>
    <t>Is building subject to LL97 and what is the required Compliance Pathway?</t>
  </si>
  <si>
    <t>Article 320: 2035 Pathway</t>
  </si>
  <si>
    <t>Is building a landmark/ in landmarked area?</t>
  </si>
  <si>
    <t>N/A, Not Landmark</t>
  </si>
  <si>
    <t>Where will tenants be located during construction?</t>
  </si>
  <si>
    <t>Community Room</t>
  </si>
  <si>
    <t>Eligibility &amp; Intentions</t>
  </si>
  <si>
    <t>Scope 1+2 - Electrification</t>
  </si>
  <si>
    <t>Is building eligible for REDi?</t>
  </si>
  <si>
    <t>Eligible and Prioritized</t>
  </si>
  <si>
    <t>Proposed REDi Scope(s) of Work per Applicant</t>
  </si>
  <si>
    <t>Reasons for electrifying (per applicant)</t>
  </si>
  <si>
    <t>Boiler has passed its useful life. Meet LL97 2035 Limit</t>
  </si>
  <si>
    <t>Proposed Heating Scope if not electrifying</t>
  </si>
  <si>
    <r>
      <rPr>
        <i/>
        <sz val="9"/>
        <color rgb="FF000000"/>
        <rFont val="Aptos"/>
        <family val="2"/>
      </rPr>
      <t xml:space="preserve">Populates from HPD Workbook. </t>
    </r>
    <r>
      <rPr>
        <i/>
        <sz val="9"/>
        <color rgb="FFFF0000"/>
        <rFont val="Aptos"/>
        <family val="2"/>
      </rPr>
      <t>TAP to use to vet BAU costs for heating</t>
    </r>
  </si>
  <si>
    <t>Renovate Steam distribution: vacuum system, traps, control valves</t>
  </si>
  <si>
    <t>HPD recommended / required scope(s)</t>
  </si>
  <si>
    <t>HPD Comments</t>
  </si>
  <si>
    <t xml:space="preserve">Proposed Building Info </t>
  </si>
  <si>
    <t>Existing # Stories</t>
  </si>
  <si>
    <t>Proposed Total # Dwelling Units</t>
  </si>
  <si>
    <t># SRO (assumed at 1 room/ per SRO)</t>
  </si>
  <si>
    <t># Studio</t>
  </si>
  <si>
    <t># 1-BR</t>
  </si>
  <si>
    <t># 2-BR</t>
  </si>
  <si>
    <t xml:space="preserve"># 3-BR </t>
  </si>
  <si>
    <t xml:space="preserve"># 4-BR </t>
  </si>
  <si>
    <t>Proposed Total # of Rooms (# bedrooms + 2)</t>
  </si>
  <si>
    <t xml:space="preserve">Proposed Residential GSF </t>
  </si>
  <si>
    <t>GSF Commercial + Community Space</t>
  </si>
  <si>
    <t>Scope for Commercial, Community Space</t>
  </si>
  <si>
    <t xml:space="preserve">, </t>
  </si>
  <si>
    <t>Proposed Building Total GSF</t>
  </si>
  <si>
    <t>Proposed Scope and Equipment</t>
  </si>
  <si>
    <t>Will the proposed building be a rental, coop or mixed?</t>
  </si>
  <si>
    <t>Critical for verifying Heating Policy</t>
  </si>
  <si>
    <t>Rental</t>
  </si>
  <si>
    <t>Proposed Heating System,
Residential Spaces</t>
  </si>
  <si>
    <t>Select TBD if system is not yet selected</t>
  </si>
  <si>
    <t>Electric Heat Pump-PTHP (if replacing PTAC)</t>
  </si>
  <si>
    <t>Electric Heat Pump-PTHP</t>
  </si>
  <si>
    <t>Electric Heat Pump-Central VRF (2-pipe)</t>
  </si>
  <si>
    <t>Who will pay heating?</t>
  </si>
  <si>
    <t>Default: Owner</t>
  </si>
  <si>
    <t>Owner</t>
  </si>
  <si>
    <t>Who will pay cooling?</t>
  </si>
  <si>
    <t>Default: Resident</t>
  </si>
  <si>
    <t>Proposed Heating System,
Commercial Spaces, if applicable</t>
  </si>
  <si>
    <t>Proposed Domestic Hot Water (DHW) system</t>
  </si>
  <si>
    <t>Electric Heat Pump, Central</t>
  </si>
  <si>
    <t>Electric Heat Pump, Partial Load</t>
  </si>
  <si>
    <t>Check Row</t>
  </si>
  <si>
    <t>Percent of DHW electrified</t>
  </si>
  <si>
    <t>Default: 100% typical, 50% for partial electrification</t>
  </si>
  <si>
    <t>Who will pay DHW?</t>
  </si>
  <si>
    <t>What DHW efficiency measures will be included?</t>
  </si>
  <si>
    <t>Default: Low Flow Fixtures &amp; Minimal Pipe Insulation</t>
  </si>
  <si>
    <t>Low Flow Fixtures Only</t>
  </si>
  <si>
    <t>Will Demand Management be included</t>
  </si>
  <si>
    <t xml:space="preserve">E.g., Demand Response </t>
  </si>
  <si>
    <t>No</t>
  </si>
  <si>
    <t>Proposed in-unit ventilation system</t>
  </si>
  <si>
    <t>Mech. Ventilation req'd for most Sub and all Gut Rehabs</t>
  </si>
  <si>
    <t>Existing Mechanical Ventilation, No Change</t>
  </si>
  <si>
    <t>Proposed Roof Scope</t>
  </si>
  <si>
    <t>Default: NYCECC Compliant Roof</t>
  </si>
  <si>
    <t>New Roof - NYCECC Compliant</t>
  </si>
  <si>
    <t>Proposed Window Scope</t>
  </si>
  <si>
    <t>Default: NYCECC Compliant Windows</t>
  </si>
  <si>
    <t>New Windows - NYCECC Compliant</t>
  </si>
  <si>
    <t>Proposed Wall Insulation</t>
  </si>
  <si>
    <t>Default: Not in Scope</t>
  </si>
  <si>
    <t>All exposed exterior walls - exterior insulation meeting code</t>
  </si>
  <si>
    <t>All exposed exterior walls - using a mix of interior &amp; exterior insulation meeting code</t>
  </si>
  <si>
    <t>Proposed Cooking Equipment Scope</t>
  </si>
  <si>
    <t>Default: Not in Scope except for certain Gut Rehabs</t>
  </si>
  <si>
    <t>Convert to Electric Stoves</t>
  </si>
  <si>
    <t>No stoves in Scope</t>
  </si>
  <si>
    <t>Electrical Wiring Upgrades</t>
  </si>
  <si>
    <t>Typically triggered if Prewar + Scope 2 and/or Cooking. If owner paid heating/ cooling, upgrade may not be necessary</t>
  </si>
  <si>
    <t>No Electric Upgrade</t>
  </si>
  <si>
    <t>Electrical Wiring, Partial</t>
  </si>
  <si>
    <t>Electrical Wiring, Full (Apartments)</t>
  </si>
  <si>
    <t>Electrical Panel Upgrades</t>
  </si>
  <si>
    <t>Typically triggered if Prewar + Scope 2 and/or Cooking - SRO's may have common panels per floor</t>
  </si>
  <si>
    <t>Electrical Panel, Partial (SRO)</t>
  </si>
  <si>
    <t>Electrical Panel, Apartments + Main Panel</t>
  </si>
  <si>
    <t>t</t>
  </si>
  <si>
    <t>Step 2: Input green cells as VALUES only from REDi Bridge, and check blue cells</t>
  </si>
  <si>
    <t>Inputs from HPD Workbook, IPNA, Utility Bills</t>
  </si>
  <si>
    <t>Fill in all rows using best available info, including IPNA or Utility Bills</t>
  </si>
  <si>
    <t>Electric Panel Size to Apartments (Amps)</t>
  </si>
  <si>
    <t>40 Amps</t>
  </si>
  <si>
    <t>How is building currently metered for Gas?</t>
  </si>
  <si>
    <t>Master Meter</t>
  </si>
  <si>
    <t>How is building currently metered for Electric?</t>
  </si>
  <si>
    <t xml:space="preserve">Does Building have Adequate Space on Roof and Mechanical Room for Proposed Electrification? </t>
  </si>
  <si>
    <r>
      <t xml:space="preserve">Populates from HPD Workbook, </t>
    </r>
    <r>
      <rPr>
        <i/>
        <sz val="8"/>
        <color rgb="FFFF0000"/>
        <rFont val="Aptos"/>
        <family val="2"/>
      </rPr>
      <t>TAP to verify/ discuss</t>
    </r>
  </si>
  <si>
    <t>Yes</t>
  </si>
  <si>
    <t>Are electrical wiring and/or panel upgrades necessary for reasons other than Electrification of Heating / DHW?</t>
  </si>
  <si>
    <r>
      <rPr>
        <i/>
        <sz val="8"/>
        <color rgb="FF000000"/>
        <rFont val="Aptos"/>
        <family val="2"/>
      </rPr>
      <t xml:space="preserve">The IPNA typically notes this </t>
    </r>
    <r>
      <rPr>
        <i/>
        <sz val="8"/>
        <color rgb="FFFF0000"/>
        <rFont val="Aptos"/>
        <family val="2"/>
      </rPr>
      <t>TAP can overwrite Electrical Uprade BAU</t>
    </r>
  </si>
  <si>
    <r>
      <t xml:space="preserve">Are there any factors or uses leading to unusual energy use </t>
    </r>
    <r>
      <rPr>
        <sz val="10"/>
        <color rgb="FFFF0000"/>
        <rFont val="Aptos"/>
        <family val="2"/>
      </rPr>
      <t xml:space="preserve">- </t>
    </r>
    <r>
      <rPr>
        <sz val="10"/>
        <rFont val="Aptos"/>
        <family val="2"/>
      </rPr>
      <t>Describe.</t>
    </r>
  </si>
  <si>
    <r>
      <t xml:space="preserve">Populates from HPD Workbook. </t>
    </r>
    <r>
      <rPr>
        <i/>
        <sz val="8"/>
        <color rgb="FFFF0000"/>
        <rFont val="Aptos"/>
        <family val="2"/>
      </rPr>
      <t>TAP should check becaues this could impact savings rubric</t>
    </r>
  </si>
  <si>
    <t>Primary Fuel Use (gal/ therm/ kWh)</t>
  </si>
  <si>
    <t>Secondary Fuel Use (if any)</t>
  </si>
  <si>
    <t>Conversion to kBTU (from gal or therm)</t>
  </si>
  <si>
    <t>Primary Heating System</t>
  </si>
  <si>
    <t>kBTU for Primary Fuel</t>
  </si>
  <si>
    <t>Secondary Heating System Fuel Type (if any)</t>
  </si>
  <si>
    <t>Pulled from above</t>
  </si>
  <si>
    <t>Secondary Heating System</t>
  </si>
  <si>
    <t>kBTU for Secondary Fuel</t>
  </si>
  <si>
    <t xml:space="preserve">Total kBTU </t>
  </si>
  <si>
    <t>Automatically calculated</t>
  </si>
  <si>
    <t>Boiler Efficiency (from IPNA)</t>
  </si>
  <si>
    <r>
      <rPr>
        <i/>
        <sz val="8"/>
        <color rgb="FF000000"/>
        <rFont val="Aptos"/>
        <family val="2"/>
      </rPr>
      <t xml:space="preserve">Automatically calculated based on system type - </t>
    </r>
    <r>
      <rPr>
        <i/>
        <sz val="8"/>
        <color rgb="FFFF0000"/>
        <rFont val="Aptos"/>
        <family val="2"/>
      </rPr>
      <t>TAP can overwrite</t>
    </r>
  </si>
  <si>
    <t>Heating Distribution Efficiency (from IPNA)</t>
  </si>
  <si>
    <t>% of Primary Fuel Use for Space Heating</t>
  </si>
  <si>
    <t>60% is typical - Overwrite if IPNA suggests otherwise</t>
  </si>
  <si>
    <t>% of Secondary Fuel Use for Space Heating</t>
  </si>
  <si>
    <t>Input if known or estimate if not known</t>
  </si>
  <si>
    <t>Existing DHW System</t>
  </si>
  <si>
    <t>Default is Indirect Heat Exhanger but see row 24 and modify if req'd</t>
  </si>
  <si>
    <t>Indirect Heat Exchanger</t>
  </si>
  <si>
    <t xml:space="preserve">Existing DHW System efficiency </t>
  </si>
  <si>
    <t>Default is Poor for Steam and Decent for non-Steam</t>
  </si>
  <si>
    <t>Poor (Steam immersion coil combi system)</t>
  </si>
  <si>
    <t>DHW Efficiency; Plant Efficiency</t>
  </si>
  <si>
    <t>Based on DHW efficiency selection</t>
  </si>
  <si>
    <t>% of Primary Fuel Use for DHW</t>
  </si>
  <si>
    <t>Derived based on Row 91</t>
  </si>
  <si>
    <t>% of Secondary Fuel Use for DHW</t>
  </si>
  <si>
    <t>Derived based on Row 92</t>
  </si>
  <si>
    <t>Data Accuracy Check</t>
  </si>
  <si>
    <t>Sanity Check: Heating Site EUI compared to median</t>
  </si>
  <si>
    <t xml:space="preserve">Median for 1-pipe steam is 51. </t>
  </si>
  <si>
    <t>Sanity Check: Site Fuel EUI compared to median</t>
  </si>
  <si>
    <t>Median is 73.7 for steam</t>
  </si>
  <si>
    <t>Step 4: Incentive and Cost Analysis</t>
  </si>
  <si>
    <t>Estimated Utility Costs and Savings using current rates</t>
  </si>
  <si>
    <t>These are estimates only, comparing proposed scope to pre-retrofit conditions, using current utility rates</t>
  </si>
  <si>
    <t>These are estimates only, and are based on proposed scope and current utility rates</t>
  </si>
  <si>
    <t>Space Heating &amp; DHW: Pre-Retrofit  Costs (normalized)</t>
  </si>
  <si>
    <t>Pre-Retrofit</t>
  </si>
  <si>
    <t>Current Est. Cost for Space Heating + DHW</t>
  </si>
  <si>
    <t>Using current utility rates</t>
  </si>
  <si>
    <t>Space Heating &amp; Cooling</t>
  </si>
  <si>
    <t>Primary Fuel Use per year (total, from above)</t>
  </si>
  <si>
    <r>
      <rPr>
        <i/>
        <sz val="9"/>
        <color rgb="FF000000"/>
        <rFont val="Aptos"/>
        <family val="2"/>
      </rPr>
      <t xml:space="preserve">Automatic, </t>
    </r>
    <r>
      <rPr>
        <i/>
        <sz val="9"/>
        <color rgb="FFFF0000"/>
        <rFont val="Aptos"/>
        <family val="2"/>
      </rPr>
      <t>TAP can overwrite</t>
    </r>
  </si>
  <si>
    <t>Normalized Utility Rate for Fuel Type</t>
  </si>
  <si>
    <t>Secondary Fuel Use per year (total, from above)</t>
  </si>
  <si>
    <t>Secondary Fuel Type</t>
  </si>
  <si>
    <t>Fix formula for N/A 2ndary fuel type</t>
  </si>
  <si>
    <t>Heating: Pre-Retrofit Cost (normalized)</t>
  </si>
  <si>
    <t>Using total fuel use from IPNA</t>
  </si>
  <si>
    <t>Space Heating: Calculated Costs</t>
  </si>
  <si>
    <t>Calculated</t>
  </si>
  <si>
    <t>Fix Blanks</t>
  </si>
  <si>
    <t>Load: KBtu/year for Space Heating</t>
  </si>
  <si>
    <t>If full insulation or Scope 3</t>
  </si>
  <si>
    <t xml:space="preserve">Reduced Envelope Losses </t>
  </si>
  <si>
    <t>Automatically calc. as 10% or 50%</t>
  </si>
  <si>
    <t>Assumed COP (Space Heating)</t>
  </si>
  <si>
    <t>Automatically Calculated</t>
  </si>
  <si>
    <t>ADDED</t>
  </si>
  <si>
    <t>Demand Management</t>
  </si>
  <si>
    <t>Estimated kWh per year (if electrified)</t>
  </si>
  <si>
    <t>Cost per kwh (master or direct)</t>
  </si>
  <si>
    <t>Electric</t>
  </si>
  <si>
    <t>Heating: Post-Retrofit Cost (calculated)</t>
  </si>
  <si>
    <t>Uses pre-retrofit if not electrified</t>
  </si>
  <si>
    <t>Estimated Cost Savings for Space Heating</t>
  </si>
  <si>
    <t>Estimated w/ current utility costs</t>
  </si>
  <si>
    <t>Domestic Hot Water</t>
  </si>
  <si>
    <t>JL is Working on updates</t>
  </si>
  <si>
    <t>Primary Fuel Type, Automatically updated</t>
  </si>
  <si>
    <t>Secondary Fuel Type, Automatically updated</t>
  </si>
  <si>
    <t>DHW: Pre-Retrofit Cost (normalized)</t>
  </si>
  <si>
    <t>DHW: Calculated Costs if Electrified</t>
  </si>
  <si>
    <t>Load: KBtu/year for Domestic Hot Water (DHW)</t>
  </si>
  <si>
    <t>Assumed COP (DHW)</t>
  </si>
  <si>
    <t>Default is 1.76</t>
  </si>
  <si>
    <t>Reduced DHW losses from low-flow fixtures &amp; pipe insulation</t>
  </si>
  <si>
    <t xml:space="preserve">% of DHW electrified </t>
  </si>
  <si>
    <t>Default is 100%, or 50% if partial</t>
  </si>
  <si>
    <t>Estimated Kwh per year (if electrified)</t>
  </si>
  <si>
    <t>DHW: Projected Annual Cost for Electrified DHW</t>
  </si>
  <si>
    <t>Fix for partial</t>
  </si>
  <si>
    <t>DHW: Projected Cost for Non-Electric DHW</t>
  </si>
  <si>
    <t>Only for Partial or No Electrification</t>
  </si>
  <si>
    <t>DHW: Post-Retrofit Cost (calculated)</t>
  </si>
  <si>
    <t>Estimated Cost Savings for Hot Water</t>
  </si>
  <si>
    <t>Combined Space Heating + DHW</t>
  </si>
  <si>
    <t>Combined Post-Retrofit Cost for Heating &amp; DHW (Calculated Method)</t>
  </si>
  <si>
    <t>Assumes no savings for scopes not being electrified</t>
  </si>
  <si>
    <t>Estimated Savings: Heating + Hot Water</t>
  </si>
  <si>
    <t>Incentive Eligibility based on Proposed Scope, if funded</t>
  </si>
  <si>
    <t>Zero-out unused columns</t>
  </si>
  <si>
    <t>Incentive Scaler (accounts for blend of unit sizes)</t>
  </si>
  <si>
    <t>Based on unit size and Row 3</t>
  </si>
  <si>
    <t>Scope 1 Incentive</t>
  </si>
  <si>
    <t>Regardless of type, full or partial</t>
  </si>
  <si>
    <t>Scope 2 Incentive</t>
  </si>
  <si>
    <t>Lower incentive for certain HPs</t>
  </si>
  <si>
    <t>Fixed for Partial</t>
  </si>
  <si>
    <t>Scope 2 Wiring Boost (Partial or Full)</t>
  </si>
  <si>
    <t>Assumed for Prewar Scope 2 Projects</t>
  </si>
  <si>
    <t>Scope 2 Panel Boost (Partial or Full)</t>
  </si>
  <si>
    <t>Scope 3 Incentive</t>
  </si>
  <si>
    <t>If Envelope meets Scope 3 Req'mts</t>
  </si>
  <si>
    <t>NEW</t>
  </si>
  <si>
    <t>Scope 3 Total Boosts (when Scope 2 &lt; $24K)</t>
  </si>
  <si>
    <t>Total of Boosts --&gt; Scope 2+ 3 &lt; $28K</t>
  </si>
  <si>
    <t>Scope 3 Exterior Insulation Boost</t>
  </si>
  <si>
    <t>Incl. above up to max boost</t>
  </si>
  <si>
    <t>Scope 3 High Perf. Window Boost</t>
  </si>
  <si>
    <t>Scope 3 ERV Boost</t>
  </si>
  <si>
    <t>Max REDi  per Scope &amp; TAP Decision</t>
  </si>
  <si>
    <t>Without per/ bldg cap</t>
  </si>
  <si>
    <t xml:space="preserve">Potential REDi  funding based on Scope </t>
  </si>
  <si>
    <t>If funded, excluding project cap</t>
  </si>
  <si>
    <t>Offset Funding Eligible Amount</t>
  </si>
  <si>
    <t>Based on GHG reductions, not allowed LL97 2030 projects</t>
  </si>
  <si>
    <t>Max Offset Funds if fundable</t>
  </si>
  <si>
    <t>If eligible for offsets and if funds are available - flows in ahead of REDi. 90% of GHG reductions</t>
  </si>
  <si>
    <t xml:space="preserve">Cost Analysis - Building Level </t>
  </si>
  <si>
    <t>Always zero out Example Scopes</t>
  </si>
  <si>
    <t>Final Costs</t>
  </si>
  <si>
    <t>FIX</t>
  </si>
  <si>
    <t>Proposed DHW system</t>
  </si>
  <si>
    <t>DHW Systems Proposed</t>
  </si>
  <si>
    <t>Proposed Heating System (Residential)</t>
  </si>
  <si>
    <t>Heating System Residential</t>
  </si>
  <si>
    <t>Proposed Heating System (Commercial)</t>
  </si>
  <si>
    <t>Heating System Commercial</t>
  </si>
  <si>
    <t>ADDED, need index</t>
  </si>
  <si>
    <t>Proposed Demand Management</t>
  </si>
  <si>
    <t>Proposed Cooking Scope (1/ unit or 1/ floor for SRO)</t>
  </si>
  <si>
    <t>Cooking</t>
  </si>
  <si>
    <t>Electrical Wiring</t>
  </si>
  <si>
    <t>Electrical Upgrades</t>
  </si>
  <si>
    <t>FIX DU/SF</t>
  </si>
  <si>
    <t>Electrical Panel</t>
  </si>
  <si>
    <t>Proposed Ventilation system</t>
  </si>
  <si>
    <t>Envelope Ventilation</t>
  </si>
  <si>
    <t>Envelope Roof</t>
  </si>
  <si>
    <t>Envelope Window</t>
  </si>
  <si>
    <t>Envelope Wall</t>
  </si>
  <si>
    <t xml:space="preserve">Total Estimated REDi Scope Hard Cost </t>
  </si>
  <si>
    <t>Based on proposed scope</t>
  </si>
  <si>
    <t>BAU Cost for Non-Electric Scope</t>
  </si>
  <si>
    <t>From BAU chart below</t>
  </si>
  <si>
    <t>Incremental Cost compared to BAU Scope</t>
  </si>
  <si>
    <t>Excluding REDi</t>
  </si>
  <si>
    <t>Max Potential Incentive per Building</t>
  </si>
  <si>
    <t>Using higher of Offset or REDi</t>
  </si>
  <si>
    <t>Incremental Cost after Potential REDi funding</t>
  </si>
  <si>
    <t>Doesn't factor in project cap</t>
  </si>
  <si>
    <t>Incremental Cost/ DU after Potential REDi</t>
  </si>
  <si>
    <t>Incentive Analysis: Project Level</t>
  </si>
  <si>
    <t>Incremental Cost (without incentives)</t>
  </si>
  <si>
    <t>Project Level, before incentives</t>
  </si>
  <si>
    <t>Max eligible funding based on Scopes</t>
  </si>
  <si>
    <t>Includes bldg. but not project caps, based on TAP determination</t>
  </si>
  <si>
    <t>Max REDi Funding w/ building caps</t>
  </si>
  <si>
    <t>Max REDi Funding based on Project Cap</t>
  </si>
  <si>
    <t>Max REDi Funding Available to Project</t>
  </si>
  <si>
    <t>Min of Eligible Scope and project caps. $3MM for Mitchell Lamas</t>
  </si>
  <si>
    <t>Offset Eligibility (Offsets displace REDi funds)</t>
  </si>
  <si>
    <t>Excludes 2035 Pathway, up to the  REDi per/bldg limit</t>
  </si>
  <si>
    <t>Incentive Calculator</t>
  </si>
  <si>
    <t>REDi (fills gap after Offsets)</t>
  </si>
  <si>
    <t>Max Eligible Amt minus Offsets</t>
  </si>
  <si>
    <t>Incremental Cost (after incentives)</t>
  </si>
  <si>
    <t>Before incentives</t>
  </si>
  <si>
    <t xml:space="preserve">Total Dwelling Units in Project </t>
  </si>
  <si>
    <t>Includes all buildings in tool</t>
  </si>
  <si>
    <t>Incremental Cost after REDi/ DU</t>
  </si>
  <si>
    <t>Flagged if &gt; $10K/ DU</t>
  </si>
  <si>
    <t>Step 5: TAP Evaluation &amp; Determination</t>
  </si>
  <si>
    <t>TAP Evaluation</t>
  </si>
  <si>
    <t xml:space="preserve">TAP to fill in any notes and concerns below. </t>
  </si>
  <si>
    <t xml:space="preserve">Is Building Eligible/ Prioritized for REDi? </t>
  </si>
  <si>
    <t>If not eligible, can't be funded</t>
  </si>
  <si>
    <t xml:space="preserve">Which Scope is Recommended by HPD? </t>
  </si>
  <si>
    <t>Per HPD/ Giulia</t>
  </si>
  <si>
    <t>Heating/ Cooling Policy Issue?</t>
  </si>
  <si>
    <t>Flags rentals w/ tenant-paid costs</t>
  </si>
  <si>
    <t>Aggregated Heating/ DHW Cost Savings w/ Proposed Scope</t>
  </si>
  <si>
    <t>Combined Heat &amp; DHW savings if both are in scope</t>
  </si>
  <si>
    <t>Incremental Cost per DU w/out Incentives</t>
  </si>
  <si>
    <t>For reference &amp; evaluation</t>
  </si>
  <si>
    <t>Incremental Cost per DU w/ REDi Funding</t>
  </si>
  <si>
    <t>For projects that are "Funded", doesn't factor in project caps</t>
  </si>
  <si>
    <t>New</t>
  </si>
  <si>
    <t>Overall Project Incremental Costs w/ Incentives</t>
  </si>
  <si>
    <r>
      <rPr>
        <i/>
        <sz val="9"/>
        <color rgb="FF000000"/>
        <rFont val="Aptos"/>
        <family val="2"/>
      </rPr>
      <t>Flagged if costs &gt;$10K/ DU.</t>
    </r>
    <r>
      <rPr>
        <i/>
        <sz val="9"/>
        <color rgb="FFFF0000"/>
        <rFont val="Aptos"/>
        <family val="2"/>
      </rPr>
      <t xml:space="preserve"> TAP can recommend cost-saving scope changes in Proforma.</t>
    </r>
  </si>
  <si>
    <t xml:space="preserve">TAP questions for applicant or HPD necessary before making determination? </t>
  </si>
  <si>
    <t>Not any critical info missing for TAP analysis</t>
  </si>
  <si>
    <t>TAP to fill in</t>
  </si>
  <si>
    <t>Why DHW? It is super expensive</t>
  </si>
  <si>
    <t>Why are you using Passive House Windows and Roof? Is this necessary to meet Scope 3 b/c it is very costly</t>
  </si>
  <si>
    <t>Determination for REDi Funding</t>
  </si>
  <si>
    <t>If incremental costs too high or REDi caps exceeded, revise scope and/or flag buildings for "Review Track Only."</t>
  </si>
  <si>
    <t>Fund!</t>
  </si>
  <si>
    <t>Total Eligible Funding - if Funded</t>
  </si>
  <si>
    <t>Excludes Project Caps</t>
  </si>
  <si>
    <t>Max Eligible Funding for Project - if Funded</t>
  </si>
  <si>
    <t>Including Caps, flags if higher than available funding</t>
  </si>
  <si>
    <t>Incremental Cost after REDi/ Offsets</t>
  </si>
  <si>
    <t>Flags if very high</t>
  </si>
  <si>
    <t>TAP Explanation &amp; Proposed Next Steps</t>
  </si>
  <si>
    <t>Explain decision and next steps for applicant (e.g. proposed revised scope)</t>
  </si>
  <si>
    <t>Revise to Scope 2/ Scope 2 partial</t>
  </si>
  <si>
    <t>Revise &amp; Update Scope</t>
  </si>
  <si>
    <t>dfafadfadsf</t>
  </si>
  <si>
    <t>Next Steps</t>
  </si>
  <si>
    <t>No action required</t>
  </si>
  <si>
    <t>Note: If "Revise Scope" is suggested, create a new REDi Tool w/ alt. scope so that incremental costs adjust (this can include a different REDi scope, or some less costly scope items)
If project is very large, eligible for Offset funding, and Offset funding is available, we may decide to increase the per/building and per/ project caps.</t>
  </si>
  <si>
    <t>Step 5: If necessary, overwrite this section based on applicant's BAU cost</t>
  </si>
  <si>
    <t>Business As Usual Costs (BAU)</t>
  </si>
  <si>
    <t>This is automated but can be overwritten if applicant has information</t>
  </si>
  <si>
    <t>BAU DHW Scope</t>
  </si>
  <si>
    <t>If  Scope 1 is included</t>
  </si>
  <si>
    <t xml:space="preserve">BAU Heating Scope </t>
  </si>
  <si>
    <t>Based on exist. system type, does not assume full system rplcment</t>
  </si>
  <si>
    <t xml:space="preserve">BAU Heating Scope if Oil Baseline </t>
  </si>
  <si>
    <t xml:space="preserve">Assumes $3/ SF for oil-to-gas </t>
  </si>
  <si>
    <t>Cadmus-verify fix</t>
  </si>
  <si>
    <t>BAU Cooking Scope</t>
  </si>
  <si>
    <t>BAU Electrical Upgrades</t>
  </si>
  <si>
    <t>References rows F64, F65 and F84 (upgrades req'd for other reasons)</t>
  </si>
  <si>
    <t>BAU Floodproof Heating Equipment</t>
  </si>
  <si>
    <t>Only for bldgs w/ coastal flood risk</t>
  </si>
  <si>
    <t>BAU Ventilation Scope, where req'd</t>
  </si>
  <si>
    <t>Assumes Exhaust Only if ventilation is in scope</t>
  </si>
  <si>
    <t xml:space="preserve">BAU Roof Scope </t>
  </si>
  <si>
    <t>Assumes code-comp. new roof</t>
  </si>
  <si>
    <t xml:space="preserve">BAU Window Scope </t>
  </si>
  <si>
    <t>Assumes new code-compliant windows if windows are in scope</t>
  </si>
  <si>
    <t xml:space="preserve">BAU Insulation Scope </t>
  </si>
  <si>
    <t>Notes &amp; Comments on BAU if alternate is being proposed by applicant</t>
  </si>
  <si>
    <t>Use this row to explain any BAU costs that are different than the Standard Assumptions</t>
  </si>
  <si>
    <t>Estimated BAU Cost</t>
  </si>
  <si>
    <t>BAU Cost/ DU</t>
  </si>
  <si>
    <t>Use these rows for comments, notes, and final post-bid data</t>
  </si>
  <si>
    <t>GHG &amp; MMBTU Impacts</t>
  </si>
  <si>
    <t>These are estimates only, comparing proposed scope to pre-retrofit conditions, using LL97's 2030 coefficient for electricity</t>
  </si>
  <si>
    <t>These are estimates only, and are based on proposed scope and 2030 GHG emissions limits</t>
  </si>
  <si>
    <t>Existing GHG Emissions from Heating &amp; Hot Water</t>
  </si>
  <si>
    <t>Existing</t>
  </si>
  <si>
    <t>kBTU per year (Primary Fuel)</t>
  </si>
  <si>
    <t>From above</t>
  </si>
  <si>
    <t>GHG Emissions Coefficient</t>
  </si>
  <si>
    <t>Primary Fuel</t>
  </si>
  <si>
    <t>kBTU per year (Secondary Fuel)</t>
  </si>
  <si>
    <t>Secondary Fuel</t>
  </si>
  <si>
    <t>Current GHG Emissions from Space Heating</t>
  </si>
  <si>
    <t>Current GHG Emissions from DHW</t>
  </si>
  <si>
    <t>Current GHG Emissions from Heating &amp; DHW</t>
  </si>
  <si>
    <t>Total in summary column</t>
  </si>
  <si>
    <t>Current GHG Emissions from Heating &amp; DHW/ SF</t>
  </si>
  <si>
    <t>Projected GHG Emissions from Space Heating</t>
  </si>
  <si>
    <t>Projected</t>
  </si>
  <si>
    <t>Projected kWh for Space Heating Electrification</t>
  </si>
  <si>
    <t xml:space="preserve">Projected GHG Emissions for Space Heating </t>
  </si>
  <si>
    <t>Using 2030 coefficiencts</t>
  </si>
  <si>
    <t>GHG Emissions Reductions from Space Heating</t>
  </si>
  <si>
    <t>Projected GHG Emissions from DHW</t>
  </si>
  <si>
    <t>Projected kWh for DHW Electrification</t>
  </si>
  <si>
    <t>Projected GHG Emissions for DHW Electrification</t>
  </si>
  <si>
    <t>using 2030 coefficiencts</t>
  </si>
  <si>
    <t>Additional GHG Emissions from non-electric if Partial DHW Elec.</t>
  </si>
  <si>
    <t>Partial DHW Electrification</t>
  </si>
  <si>
    <t>GHG Emissions Reductions from DHW</t>
  </si>
  <si>
    <t>Projected GHG Emissions from Heating &amp; DHW</t>
  </si>
  <si>
    <t>Projected GHG Emissions for Heating &amp; DHW</t>
  </si>
  <si>
    <t>GHG Emissions Reductions: Heating &amp; DHW</t>
  </si>
  <si>
    <t>GHG Emissions Reductions/ DU (average)</t>
  </si>
  <si>
    <t>Average in summary column</t>
  </si>
  <si>
    <t>GHG Emissions Reductions/ SF (for comparison)</t>
  </si>
  <si>
    <t>GHG Emissions Reductions (%)</t>
  </si>
  <si>
    <t>MMBTU Impacts</t>
  </si>
  <si>
    <t>Current MMBTU for Space Heating</t>
  </si>
  <si>
    <t>Current MMBTU for DHW</t>
  </si>
  <si>
    <t xml:space="preserve">Current MMBTU </t>
  </si>
  <si>
    <t>For reference</t>
  </si>
  <si>
    <t>Projected MMBTU for Space Heating</t>
  </si>
  <si>
    <t>MMBTU Conversion</t>
  </si>
  <si>
    <t>Projected MMBTU for Electrified DHW</t>
  </si>
  <si>
    <t>Projected MMBTU for Non-Electrified DHW portion</t>
  </si>
  <si>
    <t xml:space="preserve">Projected MMBTU </t>
  </si>
  <si>
    <t>Projected MMBTU savings for Heating</t>
  </si>
  <si>
    <t>Projected MMBTU savings for DHW</t>
  </si>
  <si>
    <t>This should be 0 if neither space heating nor DHW are electrified</t>
  </si>
  <si>
    <t>MMBTU Reductions/ Year for electrification scopes only</t>
  </si>
  <si>
    <t>Used for NYSERDA</t>
  </si>
  <si>
    <t>MMBTU Reductions (%)</t>
  </si>
  <si>
    <t>BTU/ SF/ HDD Calc for Space Heating Load</t>
  </si>
  <si>
    <t>Current BTU for Space Heating</t>
  </si>
  <si>
    <t>Project GSF</t>
  </si>
  <si>
    <t>Average # Heating Degree Days</t>
  </si>
  <si>
    <t>Uses 2020-2024 average, but  can match to the year that energy data was collected, per the IPNA and using the HDD tab</t>
  </si>
  <si>
    <t>Min BTU/ SF/ HDD</t>
  </si>
  <si>
    <t>&lt;8 is optimal if electrifying heating</t>
  </si>
  <si>
    <t>Max BTU/ SF/ HDD</t>
  </si>
  <si>
    <t>Projected BTU for Space Heating</t>
  </si>
  <si>
    <t>M&amp;O Budget, Owner Paid Utilities if Electrified w/ Heat Pumps</t>
  </si>
  <si>
    <t>These are based on proposed scope and HPD/HDC's current M&amp;O Standards</t>
  </si>
  <si>
    <t>Costs: M&amp;O based on Current Setup</t>
  </si>
  <si>
    <t>Based on current fuel type</t>
  </si>
  <si>
    <t>Index?</t>
  </si>
  <si>
    <t xml:space="preserve">Cost/ Room (Heating) </t>
  </si>
  <si>
    <t xml:space="preserve">Cost/ Room (Owner Paid Cooling) </t>
  </si>
  <si>
    <t>Typically not owner-paid</t>
  </si>
  <si>
    <t xml:space="preserve">Cost/ Room (DHW) </t>
  </si>
  <si>
    <t>Budgeted Cost Total for Building</t>
  </si>
  <si>
    <t>M&amp;O Cost for Electrification</t>
  </si>
  <si>
    <t>Costs for Owner-Paid Electrification</t>
  </si>
  <si>
    <t>Shows as 0 if not in scope/ not owner-paid. If in scope and not owner-paid, assume cost is covered by tenant via Utility Allowance (if allowed by HPD Policy)</t>
  </si>
  <si>
    <t>Space Heating: M&amp;O if Electrified</t>
  </si>
  <si>
    <t>Budgeted</t>
  </si>
  <si>
    <t>Cost/ Room (Heating) based on Scope</t>
  </si>
  <si>
    <t>Using 2025 M&amp;O</t>
  </si>
  <si>
    <t>If Owner-paid Heat Pumps</t>
  </si>
  <si>
    <t>Annual Heating Costs (Residential Areas)</t>
  </si>
  <si>
    <t>Excludes Commercial Space</t>
  </si>
  <si>
    <t>Estimated Heating Costs for Commercial Space</t>
  </si>
  <si>
    <t>Proportional using M&amp;O</t>
  </si>
  <si>
    <t>Cooling: M&amp;O if Electrified/ Owner Pd</t>
  </si>
  <si>
    <t>Cost/ Room (Owner Paid Cooling)</t>
  </si>
  <si>
    <t>If Owner-paid Cooling</t>
  </si>
  <si>
    <t>Annual Cooling Costs (Residential Areas)</t>
  </si>
  <si>
    <t>If Owner Paid</t>
  </si>
  <si>
    <t>DHW: Budgeted Costs (Only if Electrified)</t>
  </si>
  <si>
    <t>Cost/ Room (DHW)</t>
  </si>
  <si>
    <t>If Owner-paid HPWH</t>
  </si>
  <si>
    <t>Annual DHW Costs for apartments (per M&amp;O)</t>
  </si>
  <si>
    <t>Estimated DHW Costs for Commercial Space</t>
  </si>
  <si>
    <t>Calculated, for reference only</t>
  </si>
  <si>
    <t>Use of this tool does not signify an application to the REDi program or guarantee that project will be accepted!</t>
  </si>
  <si>
    <t>See REDi Tool User Instructions for additional information, assumptions, and other resource</t>
  </si>
  <si>
    <t>These are estimates only, based on proposed scope and current average equipment efficiencies and utility rates</t>
  </si>
  <si>
    <t>Resilient &amp; Equitable Decarbonization Initiative (REDi) Proforma</t>
  </si>
  <si>
    <t>TAP to pull info from HPD Workbook and add contacts</t>
  </si>
  <si>
    <t>PROJECT INFORMATION AND ELIGIBILITY (From Intake Tab)</t>
  </si>
  <si>
    <t>Name (autopopulated)</t>
  </si>
  <si>
    <t>Contact info/ Emails</t>
  </si>
  <si>
    <t>HPD 5-digit Project ID</t>
  </si>
  <si>
    <t>Developer/ Sponsor Names</t>
  </si>
  <si>
    <t xml:space="preserve">MEP Engineer of Record </t>
  </si>
  <si>
    <t>Green Consultant?</t>
  </si>
  <si>
    <t xml:space="preserve">HPD &amp; TAP </t>
  </si>
  <si>
    <t>Name (autopopulated where known)</t>
  </si>
  <si>
    <t>BLDS MEP Team</t>
  </si>
  <si>
    <t>Jesus Deras, Tom Cavallo</t>
  </si>
  <si>
    <t>derasj@hpd.nyc.gov, cavallot@hpd.nyc.gov</t>
  </si>
  <si>
    <t>HPD PM</t>
  </si>
  <si>
    <t>HPD Program Director (cc on important emails)</t>
  </si>
  <si>
    <t>HPD Sustainabiliy</t>
  </si>
  <si>
    <t>Giulia Luci, Rosy Tavares</t>
  </si>
  <si>
    <t>lucig@hpd.nyc.gov, sustainablity@hpd.nyc.gov, tavaresR@hpd.nyc.gov</t>
  </si>
  <si>
    <t>TAP Champion</t>
  </si>
  <si>
    <t>TAP general address</t>
  </si>
  <si>
    <t>NYSERDA</t>
  </si>
  <si>
    <t>James baker, Maelyn Southers</t>
  </si>
  <si>
    <t>james.baker@nyserda.ny.gov, maelyn.southers@nyserda.ny.gov</t>
  </si>
  <si>
    <t xml:space="preserve">Miscelaneous TAP Scratch calculations and work can be done on this tab that is not write protected. </t>
  </si>
  <si>
    <t>LL97 Guidance for Affordable Housing - HPD</t>
  </si>
  <si>
    <t>BEX NYC LL97 Calculator</t>
  </si>
  <si>
    <t>LL97 Fine est.</t>
  </si>
  <si>
    <t>ton CO2/Yr</t>
  </si>
  <si>
    <t>Step (Yrs)</t>
  </si>
  <si>
    <t>Years</t>
  </si>
  <si>
    <t>threshold</t>
  </si>
  <si>
    <t>current</t>
  </si>
  <si>
    <t>Overage</t>
  </si>
  <si>
    <t>Fines/Yr</t>
  </si>
  <si>
    <t>Total Fines</t>
  </si>
  <si>
    <t xml:space="preserve">Link: </t>
  </si>
  <si>
    <t>Google Maps (Example Link, replace)</t>
  </si>
  <si>
    <t>2030-34*</t>
  </si>
  <si>
    <t>ZoLa |2344 Davidson EXAMPLE</t>
  </si>
  <si>
    <t>2035-39</t>
  </si>
  <si>
    <t>2040-49</t>
  </si>
  <si>
    <t>2050+</t>
  </si>
  <si>
    <t>Total NPV</t>
  </si>
  <si>
    <t>sample below</t>
  </si>
  <si>
    <t xml:space="preserve">Example photo below. Delete this text when replaced. </t>
  </si>
  <si>
    <t>Utility bills</t>
  </si>
  <si>
    <t>Rate Class</t>
  </si>
  <si>
    <t>Sum-&gt;</t>
  </si>
  <si>
    <t>therms</t>
  </si>
  <si>
    <t>Cost</t>
  </si>
  <si>
    <t xml:space="preserve"> avg Rate </t>
  </si>
  <si>
    <t>GENERAL INSTRUCTIONS</t>
  </si>
  <si>
    <r>
      <rPr>
        <b/>
        <sz val="11"/>
        <color rgb="FFC00000"/>
        <rFont val="Calibri"/>
        <family val="2"/>
        <scheme val="minor"/>
      </rPr>
      <t>Password: REDi"</t>
    </r>
    <r>
      <rPr>
        <sz val="11"/>
        <color rgb="FF000000"/>
        <rFont val="Calibri"/>
        <family val="2"/>
        <scheme val="minor"/>
      </rPr>
      <t xml:space="preserve"> to unlock sheets or workbook, but please try NOT to do this (or reprotect afterward)</t>
    </r>
  </si>
  <si>
    <t>Let Jen know ASAP if there are weird issues with formulas or anything else</t>
  </si>
  <si>
    <t>STEP 1: INPUT BUILDING AND SCOPE INFORMATION FROM HPD WORKBOOK</t>
  </si>
  <si>
    <t>If necessary, unfilter Cell B1 to expose all rows for inputting (you can later filter out blank rows for ease of use)</t>
  </si>
  <si>
    <t>Open HPD Workbook - REDi Bridge Tab (HPD2023 to unlock sheet &amp; workbook)</t>
  </si>
  <si>
    <r>
      <rPr>
        <b/>
        <sz val="11"/>
        <color rgb="FF000000"/>
        <rFont val="Calibri"/>
        <family val="2"/>
        <scheme val="minor"/>
      </rPr>
      <t xml:space="preserve">Copy Info into Green Cells (rows 12-82). </t>
    </r>
    <r>
      <rPr>
        <b/>
        <sz val="11"/>
        <color rgb="FFC00000"/>
        <rFont val="Calibri"/>
        <family val="2"/>
        <scheme val="minor"/>
      </rPr>
      <t>Do not overwrite formatting - use Paste Values (and/or do not keep source formatting)</t>
    </r>
  </si>
  <si>
    <t>Do not copy columns for buildings where there is no electrification being requested</t>
  </si>
  <si>
    <r>
      <rPr>
        <b/>
        <sz val="11"/>
        <color rgb="FF000000"/>
        <rFont val="Calibri"/>
        <family val="2"/>
      </rPr>
      <t xml:space="preserve">TAP fills in/ overwrites light blue cells for likely Electrical Upgrades. Instructions are in </t>
    </r>
    <r>
      <rPr>
        <b/>
        <sz val="11"/>
        <color rgb="FFFF0000"/>
        <rFont val="Calibri"/>
        <family val="2"/>
      </rPr>
      <t>red</t>
    </r>
    <r>
      <rPr>
        <b/>
        <sz val="11"/>
        <color rgb="FF000000"/>
        <rFont val="Calibri"/>
        <family val="2"/>
      </rPr>
      <t xml:space="preserve"> in Column D, but use your discretion. Check how building is metered, who pays for what, etc.</t>
    </r>
  </si>
  <si>
    <t>The last several columns have example scopes for reference &amp; which you can play around with</t>
  </si>
  <si>
    <t>STEP 2: ADDITIONAL INPUT FROM HPD WORKSHEET, IPNA, BILLS, AND TAP EXPERTISE</t>
  </si>
  <si>
    <t xml:space="preserve">Input green rows from HPD Workbook where information is available. If cells are blank, use IPNA or bills to fill in cells. </t>
  </si>
  <si>
    <r>
      <rPr>
        <b/>
        <sz val="11"/>
        <color rgb="FF000000"/>
        <rFont val="Calibri"/>
        <family val="2"/>
        <scheme val="minor"/>
      </rPr>
      <t xml:space="preserve">Fill in all blue rows using information from IPNA or use defaults when info is not available. Instructions are in </t>
    </r>
    <r>
      <rPr>
        <b/>
        <sz val="11"/>
        <color rgb="FFC00000"/>
        <rFont val="Calibri"/>
        <family val="2"/>
        <scheme val="minor"/>
      </rPr>
      <t>red</t>
    </r>
    <r>
      <rPr>
        <b/>
        <sz val="11"/>
        <color rgb="FF000000"/>
        <rFont val="Calibri"/>
        <family val="2"/>
        <scheme val="minor"/>
      </rPr>
      <t xml:space="preserve"> in Column D</t>
    </r>
  </si>
  <si>
    <t xml:space="preserve">Review Sanity Check rows (light red) - that may reveal a fuel usage error </t>
  </si>
  <si>
    <t>If there are discrepancies between sources, flag for follow up in the TAP Determination section</t>
  </si>
  <si>
    <t>STEP 3: REVIEW COST &amp; SAVINGS ANALYSIS</t>
  </si>
  <si>
    <t>This section includes calculated methodology only based on this tool and current utility rates (including different rates for NG and Con Ed gas)</t>
  </si>
  <si>
    <t>Make sure all numbers are calculating - if not see if info is missing above (you can unfilter rows if necessary to check formulas)</t>
  </si>
  <si>
    <t xml:space="preserve">Make sure the numbers look right - and flag if they don't and you don't see errors in data input above. </t>
  </si>
  <si>
    <r>
      <rPr>
        <i/>
        <sz val="11"/>
        <color rgb="FF000000"/>
        <rFont val="Calibri"/>
        <family val="2"/>
        <scheme val="minor"/>
      </rPr>
      <t xml:space="preserve">Any items with </t>
    </r>
    <r>
      <rPr>
        <b/>
        <i/>
        <sz val="11"/>
        <color rgb="FFC00000"/>
        <rFont val="Calibri"/>
        <family val="2"/>
        <scheme val="minor"/>
      </rPr>
      <t>dark red, bold font</t>
    </r>
    <r>
      <rPr>
        <i/>
        <sz val="11"/>
        <color rgb="FF000000"/>
        <rFont val="Calibri"/>
        <family val="2"/>
        <scheme val="minor"/>
      </rPr>
      <t xml:space="preserve"> is signifies that this is something that should get further scrutiny</t>
    </r>
  </si>
  <si>
    <t>STEP 4: COST AND INCENTIVE ANALYSIS</t>
  </si>
  <si>
    <t>This section is automated, but should be checked for any noticable errors or missing information</t>
  </si>
  <si>
    <t>Incentive Scaler assumes Studios &amp; 1BR at 66% and 1BR at 83.5% of max incentive amount, and only allocates Offset funds to eligible scopes</t>
  </si>
  <si>
    <t>If applicant has provided their own BAU costs, or if electrical upgrades are already required, adjust numbers in Section 6, BAU</t>
  </si>
  <si>
    <t>Several signficant cost-drivers are ERV and Passive-House/ High Performance windows &amp; roof if not needed to meet Scope 3</t>
  </si>
  <si>
    <t>STEP 5: TAP EVALUATION &amp; DETERMINATION</t>
  </si>
  <si>
    <r>
      <rPr>
        <b/>
        <sz val="11"/>
        <color rgb="FF000000"/>
        <rFont val="Calibri"/>
        <family val="2"/>
        <scheme val="minor"/>
      </rPr>
      <t xml:space="preserve">Review white cells: Any items with </t>
    </r>
    <r>
      <rPr>
        <b/>
        <sz val="11"/>
        <color rgb="FFC00000"/>
        <rFont val="Calibri"/>
        <family val="2"/>
        <scheme val="minor"/>
      </rPr>
      <t>dark red, bold font</t>
    </r>
    <r>
      <rPr>
        <b/>
        <sz val="11"/>
        <color rgb="FF000000"/>
        <rFont val="Calibri"/>
        <family val="2"/>
        <scheme val="minor"/>
      </rPr>
      <t xml:space="preserve"> is signifies that this is something that should get further scrutiny</t>
    </r>
  </si>
  <si>
    <t xml:space="preserve">Is building eligible for REDi? If "No" then REDi funds cannot be used. However, offset funding can be used outside Con Ed territory. </t>
  </si>
  <si>
    <t>Is building eligible prioritized by HPD? This should factor into decision, especially if costs are high/ savings are low</t>
  </si>
  <si>
    <t>Are there any flags related to HPD's heating policy? This may require a change in scope.</t>
  </si>
  <si>
    <t xml:space="preserve">Are costs/ savings in line with REDi goals? Flagged if not. </t>
  </si>
  <si>
    <t xml:space="preserve">Offset eligiblity counted, but </t>
  </si>
  <si>
    <t>Identify any critical questions or missing info needed to finalize REDi tool (and fill in the blue cells)</t>
  </si>
  <si>
    <t>Offset Amount no longer counted in Tool,</t>
  </si>
  <si>
    <t>Determine which building scopes should be funded - based on alignment w/ HPD recommendations, cost effectiveness of scope, savings, and overall funding availability.</t>
  </si>
  <si>
    <t xml:space="preserve">Fund!: OK to fund/ include in REDi </t>
  </si>
  <si>
    <t>Review Track Only: For buildings that will be reviewed by TAP but can't be funded, and need to be isolated for other funding sources</t>
  </si>
  <si>
    <t xml:space="preserve">Revise Scope: If TAP feels scope should be revised due to costs, negative savings, policy issues, etc. </t>
  </si>
  <si>
    <t>Ineligible: For buildings that are ineligible for the REDi program and will not be reviewed by TAP</t>
  </si>
  <si>
    <t>Check to see if your choices result in a signficant funding gap. If so, revise determination</t>
  </si>
  <si>
    <t>Fill in any comments/ recommendations that relate to how/ why TAP is making a determination</t>
  </si>
  <si>
    <t xml:space="preserve">Review Next Steps  - including proposing an alternative scope if necessary, and then move to ProForma step. </t>
  </si>
  <si>
    <t xml:space="preserve">Feel free to bring this up w/ HPD if there are questions about determination! </t>
  </si>
  <si>
    <t>PROFORMA</t>
  </si>
  <si>
    <t xml:space="preserve">Most cells are autopopulated, but: </t>
  </si>
  <si>
    <t>TAP to fill ALL blue cells in Project Information, noting any information necessary to applicant (and noting if an alt. scope is recommended)</t>
  </si>
  <si>
    <t>If being asked to rescope, explain why a building is being asked to rescope (and how), etc. This could include different REDi scope, or reducing some of the high cost measures (like Passive House windows not required for Scope 3)</t>
  </si>
  <si>
    <t>Note any contingencies (like - "assuming adeqate space in mechancial room for DHW tanks")</t>
  </si>
  <si>
    <t xml:space="preserve">Review w/ HPD Sustainability, and then send Proforma (or multiple if "Alt" scope is being proposed) to HPD Program first. </t>
  </si>
  <si>
    <t>Once HPD Program OK's, send to Project Team. A meeting may be requested before PIOL step if an alternative scope is proposed and applicant has ?s</t>
  </si>
  <si>
    <t>Remind PM to review the full Proforma, including methodology to avoid confusion</t>
  </si>
  <si>
    <t>ALTERNATE SCOPES</t>
  </si>
  <si>
    <t>TAP may save out an "_Alt" version of the REDiTool and revise the scope</t>
  </si>
  <si>
    <t>Can be done to propose an alternative scope to applicant, or as project evolves during the course of the project</t>
  </si>
  <si>
    <t>Be sure to save the Proforma as "_Alt" and note this in Project Information section</t>
  </si>
  <si>
    <t>You can also use the Example Scope Columns in the far right of the worksheet to play around, but it won't calculate total project costs/ incentives</t>
  </si>
  <si>
    <t>GENERAL INSTRUCTIONS for PUBLIC REDi TOOL</t>
  </si>
  <si>
    <t>Use filter to select only rows labelled as "P" for Public</t>
  </si>
  <si>
    <t>Update the Assumptions by copy-pasting from the Proforma (if updated)</t>
  </si>
  <si>
    <t>Hide Columns B and Q through U</t>
  </si>
  <si>
    <t xml:space="preserve">Make sure Fund! Is selected </t>
  </si>
  <si>
    <t>Hide all tabs except REDiTool and User Instructions</t>
  </si>
  <si>
    <t>Make sure REDi Tool tab and Workbook are protected!</t>
  </si>
  <si>
    <t>Clear out all non-locked cells</t>
  </si>
  <si>
    <t>Save as "REDi Cost and Savings Tool: VX.X", and post on REDi website</t>
  </si>
  <si>
    <t>REDi Cost &amp; Savings Calculator</t>
  </si>
  <si>
    <t>This tool is for preliminary analysis of scopes only, and provides estimated incremental costs &amp; energy cost savings with the goal of helping potential applicants determine REDi applicability, and to optimize for Beneficial Electrification.</t>
  </si>
  <si>
    <t>This tool does not constitute an application to or guarantee approval into the REDi Program</t>
  </si>
  <si>
    <t>To apply to REDi: Fill in the REDi Application Tab in the HPD Design Guidelines Workbook</t>
  </si>
  <si>
    <t>Wondering how to select the right heat pump?</t>
  </si>
  <si>
    <t>Comments/ Notes</t>
  </si>
  <si>
    <t>Item</t>
  </si>
  <si>
    <t>Category</t>
  </si>
  <si>
    <t>Value</t>
  </si>
  <si>
    <t>Units</t>
  </si>
  <si>
    <t xml:space="preserve">Cost/ DU (for reference) or notes </t>
  </si>
  <si>
    <t>Electrification of Heating Not in Scope</t>
  </si>
  <si>
    <t>Cost/SF</t>
  </si>
  <si>
    <t>Electric Heat Pump-Cold Climate Split System</t>
  </si>
  <si>
    <t>Cadmus Feb 2025: $45 + $5 for dunnage and patching, excludes O+P</t>
  </si>
  <si>
    <t>$47/ Cadence Sept 2024</t>
  </si>
  <si>
    <t>Electric Heat Pump-Central VRF (3-pipe)</t>
  </si>
  <si>
    <t>Estimate, don't have info</t>
  </si>
  <si>
    <t>Revised 4/28/2025 based on ANCP numbers</t>
  </si>
  <si>
    <t>Based on C</t>
  </si>
  <si>
    <t>Value require QC - Placeholder assumption</t>
  </si>
  <si>
    <t>Electric Heat Pump-Ground Source/Geothermal</t>
  </si>
  <si>
    <t>Very rough estimate, excluding any extra incentives</t>
  </si>
  <si>
    <t>Electric Heat Pump-Water Source/ Water Loop</t>
  </si>
  <si>
    <t>Based on Nicole Ceci's presentation in Feb 24</t>
  </si>
  <si>
    <t xml:space="preserve">$26 Cadence, Sept 2024 assumes no sleeve </t>
  </si>
  <si>
    <t>Electric Heat Pump - TBD</t>
  </si>
  <si>
    <t>Estimated Midpoint</t>
  </si>
  <si>
    <t>Cadence, Sept 2024 assumes sleeve or similar + $5 for safety</t>
  </si>
  <si>
    <t>Very rough estimate</t>
  </si>
  <si>
    <t>Based only on one AEA project that is underway as of Oct 2024</t>
  </si>
  <si>
    <t xml:space="preserve">Cadence, Sept 2024 assumes no sleeve </t>
  </si>
  <si>
    <t>New Boiler + Steam Upgrades</t>
  </si>
  <si>
    <t>BAU Heating Scope</t>
  </si>
  <si>
    <t>For BAU</t>
  </si>
  <si>
    <t>New Boiler + Hydronic Upgrades</t>
  </si>
  <si>
    <t>New Boiler + Steam to Hydronic</t>
  </si>
  <si>
    <t>New Boiler +</t>
  </si>
  <si>
    <t>Cost/ Room (Heating)</t>
  </si>
  <si>
    <t>Cost/Room</t>
  </si>
  <si>
    <t>Budgeted Costs for Elec. Space Heating Lookup</t>
  </si>
  <si>
    <t>Electric Heat Pump - Typical</t>
  </si>
  <si>
    <t>Assumes 10% envelope improvements</t>
  </si>
  <si>
    <t xml:space="preserve">Electric Heat Pump - Scope 3 </t>
  </si>
  <si>
    <t>Assumes 20% cost reduction from standard</t>
  </si>
  <si>
    <t>Electric Heat Pump - Passive House</t>
  </si>
  <si>
    <t>Assumes 40% cost reduction from standard</t>
  </si>
  <si>
    <t>Counterfactual Cost Impact Lookup - New Boiler &amp; Distribution Upgrades</t>
  </si>
  <si>
    <t>BAU if Oil heating (addt'l)</t>
  </si>
  <si>
    <t>Cost to Electrify Proposed Scope Lookup</t>
  </si>
  <si>
    <t>Revised to reflect conversion, flue &amp; oil tank removal</t>
  </si>
  <si>
    <t>#4 Oil</t>
  </si>
  <si>
    <t>Calculated Costs for Elec. Space Heating Lookup</t>
  </si>
  <si>
    <t>From Zach Fink, who said 4.2, awaiting other inputs</t>
  </si>
  <si>
    <t>1 pipe Steam</t>
  </si>
  <si>
    <t>Existing Heating System</t>
  </si>
  <si>
    <t>Existing Heating Sysyem Dropdown response</t>
  </si>
  <si>
    <t>Assumes major overhaul of steam system + boiler replacment</t>
  </si>
  <si>
    <t>Per 2021 BLDS analysis-escalated, $20/ SF for steam to hydro</t>
  </si>
  <si>
    <t>Hydronic baseboard</t>
  </si>
  <si>
    <t>Estimate from Pilot</t>
  </si>
  <si>
    <t>Hydronic PTAC</t>
  </si>
  <si>
    <t>Estimate for PTAC replacement</t>
  </si>
  <si>
    <t>Gas PTAC</t>
  </si>
  <si>
    <t>Electric PTAC</t>
  </si>
  <si>
    <t>Electric Resistance</t>
  </si>
  <si>
    <t>Estimate, assumes cooling is already in scope</t>
  </si>
  <si>
    <t>Efficiency (%)</t>
  </si>
  <si>
    <t>Very rough estimates from Pilot</t>
  </si>
  <si>
    <t>verify if different</t>
  </si>
  <si>
    <t>Jen's guess</t>
  </si>
  <si>
    <t>DHW</t>
  </si>
  <si>
    <t>Electrification of DHW Not in Scope</t>
  </si>
  <si>
    <t>Electric Heat Pump, Central CO2</t>
  </si>
  <si>
    <t>Based on New Senate, likely too high</t>
  </si>
  <si>
    <t>Temporary. Assumes 50% electrification + upgrades to non-electric portion - awating SWA info</t>
  </si>
  <si>
    <t>Likely would be Central, so the same cost</t>
  </si>
  <si>
    <t xml:space="preserve">Hybrid Heat Pump, In-unit </t>
  </si>
  <si>
    <t>from Pilot</t>
  </si>
  <si>
    <t>Packaged Hybrid Heat Pump</t>
  </si>
  <si>
    <t>Not sure what this would even be</t>
  </si>
  <si>
    <t xml:space="preserve">Electric DHW units, In-unit </t>
  </si>
  <si>
    <t>estimated</t>
  </si>
  <si>
    <t>Counterfactual Cost Impact Lookup</t>
  </si>
  <si>
    <t>Revsied to reflect Decouple + Demo</t>
  </si>
  <si>
    <t>Calculated Costs for HPWH</t>
  </si>
  <si>
    <t>Lookup associated with Budgeted HPWH Cost/ Room prompt</t>
  </si>
  <si>
    <t>2025 HDC Standard</t>
  </si>
  <si>
    <t>Assumes split between Budgeted HPWH and Gas DHW</t>
  </si>
  <si>
    <t>Lookup associated with Budgeted HPWH Cost/ Room prompt. Cost for Electric DHW in-unit (Electric Resistance) is 2.4 times Heat Pump cost</t>
  </si>
  <si>
    <t>DHW System (from Workbook or IPNA) dropdown response</t>
  </si>
  <si>
    <t>Separate Hot Water Boiler</t>
  </si>
  <si>
    <t>Tankless Coil</t>
  </si>
  <si>
    <t>Plant Efficiency</t>
  </si>
  <si>
    <t>Decent (Non-Steam system)-default</t>
  </si>
  <si>
    <t>Good (code-compliant, dedicated DHW sealed combustion)</t>
  </si>
  <si>
    <t>DHW Efficiency Measures</t>
  </si>
  <si>
    <t>DHW Efficiency Measures Dropdown Response</t>
  </si>
  <si>
    <t>Low Flow + Minimal Pipe Insulation</t>
  </si>
  <si>
    <t>Low Flow + Extensive Pipe Insulation</t>
  </si>
  <si>
    <t>Low Flow + Recirc Piping w/ Insulation</t>
  </si>
  <si>
    <t>Index Lookup for Losses in Utility Cost Section</t>
  </si>
  <si>
    <t>Index Lookup for Losses in Utility Cost Section (20% loss + 10% gain from insulation)</t>
  </si>
  <si>
    <t>ELECTRICAL UPGRADES &amp; DEMAND MGMT</t>
  </si>
  <si>
    <t>TBD</t>
  </si>
  <si>
    <t>Revsed based on Momentum &amp; J-51 Analysis for riser + panel</t>
  </si>
  <si>
    <t>Cost/DU</t>
  </si>
  <si>
    <t>Revised based on Pilot Expansion Analysis</t>
  </si>
  <si>
    <t>Electrical Panel, Apartments</t>
  </si>
  <si>
    <t>Revised, assumes 50% of full distribution upgrade</t>
  </si>
  <si>
    <t>Electrical Panel, Main Panel</t>
  </si>
  <si>
    <t xml:space="preserve">Revised based on Pilot Expansion Analysis </t>
  </si>
  <si>
    <t>Electrical Panel, Partial + Main Panel</t>
  </si>
  <si>
    <t>No Energy or Demand Management Proposed</t>
  </si>
  <si>
    <t>Energy or Demand Management is Proposed</t>
  </si>
  <si>
    <t>Demand Management Not in Scope</t>
  </si>
  <si>
    <t>From Kevin, 3/20/2025</t>
  </si>
  <si>
    <t>Demand Management Included</t>
  </si>
  <si>
    <t>Flue for Oil-to-Gas (per story)</t>
  </si>
  <si>
    <t>Miscellaneous items (integrated into costs above)</t>
  </si>
  <si>
    <t>Integrated into Heating Costs</t>
  </si>
  <si>
    <t>No Flue in Scope</t>
  </si>
  <si>
    <t>Dunnage &amp; Patching - Heating</t>
  </si>
  <si>
    <t>Dunnage &amp; Patching - DHW</t>
  </si>
  <si>
    <t>Dunnage - Htg &amp; DHW</t>
  </si>
  <si>
    <t>No Dunnage Req'd</t>
  </si>
  <si>
    <t>Pipe Insulation</t>
  </si>
  <si>
    <t>VENTILATION, ENVELOPE &amp; COOKING</t>
  </si>
  <si>
    <t>Natural Ventilation, No Change</t>
  </si>
  <si>
    <t>Proposed Ventilation Dropdown Response</t>
  </si>
  <si>
    <t>Proposed Ventilation Dropdown Response; Revised based on Pilot Expansion Analysis</t>
  </si>
  <si>
    <t>New ERV</t>
  </si>
  <si>
    <t>Proposed Ventilation Dropdown Response; added on 10/19/2023 based on Decarb Roadmap</t>
  </si>
  <si>
    <t>Assumes that if scope includes ventilation, mech. ventilation is a requirement</t>
  </si>
  <si>
    <t>from pre-Pilot analysis</t>
  </si>
  <si>
    <t>New Roof - High Performance</t>
  </si>
  <si>
    <t>Not in Scope</t>
  </si>
  <si>
    <t>New Windows - Passive House or Triple Glazed</t>
  </si>
  <si>
    <t>Boosted for 2024</t>
  </si>
  <si>
    <t>Partial wall insulation as part of Scope 3 strategy</t>
  </si>
  <si>
    <t>Guesstimate, provided by Jen</t>
  </si>
  <si>
    <t>Provided by Jen, based on Cadence</t>
  </si>
  <si>
    <t>All exposed exterior walls - interior insulation meeting code</t>
  </si>
  <si>
    <t>Updated 4/28/2025 to be halfway between interior and exterior</t>
  </si>
  <si>
    <t>Based on 50% improvement requirement</t>
  </si>
  <si>
    <t>For Cooking Equipment Dropdown and/or Cost Lookup, if needed</t>
  </si>
  <si>
    <t>Upgrade Gas Stoves</t>
  </si>
  <si>
    <t>Convert to Induction Stoves</t>
  </si>
  <si>
    <t>Floodproofing of Equipment if not Electrified</t>
  </si>
  <si>
    <t>BAU if floodprone building (coastal only)</t>
  </si>
  <si>
    <t>Guesstimate</t>
  </si>
  <si>
    <t>TECHNICAL, UNDERWRITING &amp; OTHER</t>
  </si>
  <si>
    <t>Utility Rate</t>
  </si>
  <si>
    <t>revised  Jan 2025 - based on NYSERDA 5-yr should be revised annually</t>
  </si>
  <si>
    <t>Electric - master meter (not used)</t>
  </si>
  <si>
    <t>revised Jan 2025 based on 2025 M&amp;O analysis for VRF</t>
  </si>
  <si>
    <t>Electric - direct meter (not used)</t>
  </si>
  <si>
    <t xml:space="preserve">revised Jan 2025 based on 2025 Utility Allowances rising 37% </t>
  </si>
  <si>
    <t>Blended rate for 2025 using M&amp;O with Bright Power comps</t>
  </si>
  <si>
    <t>Cost/ Therm, Momentum Jan 2025 + 4% inflation</t>
  </si>
  <si>
    <t>tCO2e per kBtu</t>
  </si>
  <si>
    <t>SKM_C550i22121312560 (cityofnewyork.us)</t>
  </si>
  <si>
    <t>District Steam</t>
  </si>
  <si>
    <t>tCO2e per kWh</t>
  </si>
  <si>
    <t>tCO2e per kWh using LL97 2030 coefficients</t>
  </si>
  <si>
    <t>Fuel Type</t>
  </si>
  <si>
    <t>Fuel Type Dropdown</t>
  </si>
  <si>
    <t xml:space="preserve"> </t>
  </si>
  <si>
    <t>Heating - Oil</t>
  </si>
  <si>
    <t>Cost/ Room (non-electric portion)</t>
  </si>
  <si>
    <t xml:space="preserve">Lookup associated with Budgeted Heating Cost/ Room prompt </t>
  </si>
  <si>
    <t>2025 M&amp;O Standards</t>
  </si>
  <si>
    <t>Heating - Gas</t>
  </si>
  <si>
    <t>Heating - Electric Resistance</t>
  </si>
  <si>
    <t>Guess - aligned w/ Oil</t>
  </si>
  <si>
    <t>DHW - Oil</t>
  </si>
  <si>
    <t xml:space="preserve">Lookup associated with Budgeted DHW Cost/ Room prompt </t>
  </si>
  <si>
    <t>DHW - Gas</t>
  </si>
  <si>
    <t>Lookup associated with Budgeted DHW Cost/ Room prompt</t>
  </si>
  <si>
    <t>DHW - Electric Resistance</t>
  </si>
  <si>
    <t>kBTU</t>
  </si>
  <si>
    <t>Inputs from IPNA or Building Inspection Usage Conversion Lookup</t>
  </si>
  <si>
    <t>Conversion</t>
  </si>
  <si>
    <t>kWh</t>
  </si>
  <si>
    <t>Binary Response</t>
  </si>
  <si>
    <t>TAP Tool Dropdown response</t>
  </si>
  <si>
    <t>Basic Response</t>
  </si>
  <si>
    <t>Maybe</t>
  </si>
  <si>
    <t>Default is 75%, use if not  noted in IPNA</t>
  </si>
  <si>
    <t>Conversion from kWh</t>
  </si>
  <si>
    <t>SCOPES &amp; INCENTIVES</t>
  </si>
  <si>
    <t>Scope 1 - DHW</t>
  </si>
  <si>
    <t>Proposed Scope</t>
  </si>
  <si>
    <t>Proposed Scope Dropdown response</t>
  </si>
  <si>
    <t>Scope 2 - Heating</t>
  </si>
  <si>
    <t>Scope 2+3 - Heating &amp; Shell</t>
  </si>
  <si>
    <t>Scope 1+2+3 - Full</t>
  </si>
  <si>
    <t>Review Track Only</t>
  </si>
  <si>
    <t>No Electrification in Scope</t>
  </si>
  <si>
    <t>REDi Incentive Amounts</t>
  </si>
  <si>
    <t>Revised 4/28/2025</t>
  </si>
  <si>
    <t>Revised March 2025 based on new cost estimates</t>
  </si>
  <si>
    <t>New 4/28/2025</t>
  </si>
  <si>
    <t>Scope 3 Boost</t>
  </si>
  <si>
    <t>See Updated Incentive Analysi Tab</t>
  </si>
  <si>
    <t>Scope 2 Wiring Boost</t>
  </si>
  <si>
    <t xml:space="preserve">Added 4/28/2025 </t>
  </si>
  <si>
    <t>Scope 2 Panel Boost</t>
  </si>
  <si>
    <t>Electrical Panel, Partial (SRO or Main Panel Only)</t>
  </si>
  <si>
    <t>Electrical Panel, Full (All Apartments)</t>
  </si>
  <si>
    <t>Caps may change w/ Offsets</t>
  </si>
  <si>
    <t>Maximum Per Building</t>
  </si>
  <si>
    <t>Max Incentive</t>
  </si>
  <si>
    <t>Maximum Per Project</t>
  </si>
  <si>
    <t>Maximum Per Project, Mitchell Lama</t>
  </si>
  <si>
    <t>Not subject to LL97, building &lt; 25,000 sf</t>
  </si>
  <si>
    <t>LL97 Category</t>
  </si>
  <si>
    <t>Article 321: Prescriptive Pathway</t>
  </si>
  <si>
    <t>Leave this row as-is</t>
  </si>
  <si>
    <t>NOTE: Add new entries here</t>
  </si>
  <si>
    <t/>
  </si>
  <si>
    <t>Momentum Notes:</t>
  </si>
  <si>
    <t xml:space="preserve">Our logic is that if a building is built before 1980 and the heating system isn't electric (ducted or baseboard or PTAC) then the apartments will need upgrades. The upgrade cost comes from some heat pump installer quotes and should be assumed to cover in-unit electrical upgrades as well as distribution up to units. That's what we're trying to cover with that cost estimate. </t>
  </si>
  <si>
    <t>Our cost estimates are trying to cover everything associated with getting the heat pumps installed, though it can of course be different based on all the other work a building owner is planning if there are overlaps in work scopes or rehab being done. </t>
  </si>
  <si>
    <t>PHTP Construction Cost: The cost is estimated at $5,612 per packaged heat pump including installation, with each heated room estimated as an average of 300 ft^2. For buildings that don't have existing PTAC sleeves, an extra $1000 is added for envelope work to create the penetrations, and $6000 per apartment for electrical upgrade work.</t>
  </si>
  <si>
    <t>With sleeve &amp; HPD rounding --&gt; $7,000/ each</t>
  </si>
  <si>
    <t xml:space="preserve">$6500*3 = $21,000/ DU / 750 SF --&gt; </t>
  </si>
  <si>
    <t>Cost/ SF</t>
  </si>
  <si>
    <t>Dual wiring would be part of wiring upgrade cost</t>
  </si>
  <si>
    <t>Without sleeve --&gt; $6,000/ each</t>
  </si>
  <si>
    <t xml:space="preserve">$5500*3 = $19,500/ DU / 750 SF --&gt; </t>
  </si>
  <si>
    <t>Revised REDi Incentive Menu, as of April 2025 (Draft)</t>
  </si>
  <si>
    <t>Example  Scopes (Unscaled)</t>
  </si>
  <si>
    <t>SCOPE</t>
  </si>
  <si>
    <t>ITEM</t>
  </si>
  <si>
    <t>2BR (unscaled)</t>
  </si>
  <si>
    <t>1BR</t>
  </si>
  <si>
    <t>0BR</t>
  </si>
  <si>
    <t>VRF + Scope 3</t>
  </si>
  <si>
    <t>PTHP w/ EIFS</t>
  </si>
  <si>
    <t>PTHP to replace PTAC</t>
  </si>
  <si>
    <t>Scope 1: Base Incentive</t>
  </si>
  <si>
    <t>Hot Water Heating: Central or Unitized, Full or Partial</t>
  </si>
  <si>
    <t>Scope 2: Base Incentive</t>
  </si>
  <si>
    <t>Space Heating: VRF or Split System</t>
  </si>
  <si>
    <t>Space Heating: PTHP*</t>
  </si>
  <si>
    <t>Space Heating: PTHP if replacing PTAC*</t>
  </si>
  <si>
    <t>Scope 2: Boost Incentives</t>
  </si>
  <si>
    <t>Electrical Upgrade, Partial</t>
  </si>
  <si>
    <t>+</t>
  </si>
  <si>
    <t>Electrical Upgrade, Full</t>
  </si>
  <si>
    <t>Scope 3: Base Incentive</t>
  </si>
  <si>
    <t>Interior Insulation as part of Scope 3 Strategy</t>
  </si>
  <si>
    <t>Scope 3: Boost Incentives* (Scope 2+3 combined are eligible for up to $28K)</t>
  </si>
  <si>
    <t>Mix of Interior/ Exterior Insulation as part of Scope 3 Strategy*</t>
  </si>
  <si>
    <t>Exterior Insulation as part of Scope 3 Strategy*</t>
  </si>
  <si>
    <t>Passive House/ Triple Pane Windows as part of Scope 3 Strategy*</t>
  </si>
  <si>
    <t>ERV as part of Scope 3 Strategy*</t>
  </si>
  <si>
    <t>MAXIMUM/ DWELLING UNIT (Scope 1+2+3)</t>
  </si>
  <si>
    <t>MAXIMUM/ DWELLING UNIT (Scope 2+3 Only)</t>
  </si>
  <si>
    <t>Incentives are based on incremental costs compared to BAU o do not reflect full cost of measures</t>
  </si>
  <si>
    <t>SCOPE 3 BOOST</t>
  </si>
  <si>
    <t>SF/ 2BR Unit</t>
  </si>
  <si>
    <t xml:space="preserve">Items </t>
  </si>
  <si>
    <t>Incremental Cost compared to bAU</t>
  </si>
  <si>
    <t>Interior Insulation (full)</t>
  </si>
  <si>
    <t xml:space="preserve">Mix of Int/ Ext Insulataion </t>
  </si>
  <si>
    <t xml:space="preserve">Full EIFS </t>
  </si>
  <si>
    <t xml:space="preserve">PH Windows </t>
  </si>
  <si>
    <t xml:space="preserve">ERV </t>
  </si>
  <si>
    <t>PTHP INCENTIVES (Including wall penetration)</t>
  </si>
  <si>
    <t>PTHP</t>
  </si>
  <si>
    <t>Unit Type</t>
  </si>
  <si>
    <t>SF Cost</t>
  </si>
  <si>
    <t>Studio</t>
  </si>
  <si>
    <t>2BR</t>
  </si>
  <si>
    <t>3BR</t>
  </si>
  <si>
    <t>SF by Room*</t>
  </si>
  <si>
    <t>Cost by SF</t>
  </si>
  <si>
    <t>Cost by Ephoca</t>
  </si>
  <si>
    <t>BAU (Avg of steam/ hydro)</t>
  </si>
  <si>
    <t>Net SF Cost after BAU</t>
  </si>
  <si>
    <t>Actual Weighted Incentive</t>
  </si>
  <si>
    <t>overincented</t>
  </si>
  <si>
    <t>VRF INCENTIVES</t>
  </si>
  <si>
    <t>Cost by Room</t>
  </si>
  <si>
    <t>*Cadmus Analysis showed an average room size of 260 SF</t>
  </si>
  <si>
    <t>Complete?</t>
  </si>
  <si>
    <t>Comments:</t>
  </si>
  <si>
    <t>X</t>
  </si>
  <si>
    <t>Change Commercial Use from Number to Text</t>
  </si>
  <si>
    <t>Fixed</t>
  </si>
  <si>
    <t xml:space="preserve">What happens if secondary fuel type is blank? </t>
  </si>
  <si>
    <t>Need logic if this is blank - Cadmus</t>
  </si>
  <si>
    <t>DHW secondary fuel split out as was done for St. Nicks</t>
  </si>
  <si>
    <t>Added 4 rows similar to 103-106 that can be overwritten by tAP</t>
  </si>
  <si>
    <t xml:space="preserve">Existing DHW questions - use logic but ovewrite? </t>
  </si>
  <si>
    <t>Discuss with team</t>
  </si>
  <si>
    <t>Wiring and Panel upgrades question/ logic</t>
  </si>
  <si>
    <t>12/16/2024 Edits (revised 1/07/2024)</t>
  </si>
  <si>
    <t>Item:</t>
  </si>
  <si>
    <t>HPD Workbook Changes</t>
  </si>
  <si>
    <t>Cadmus Notes</t>
  </si>
  <si>
    <t>Convert Gas unit cost to $2.26/ therm in Con Ed &amp; $1.10 in NGrid. Assume MN/BX (and Northern Queens) is Con Ed, BK/SI/Most of QNS is N.Grid</t>
  </si>
  <si>
    <t>This will be easy for every place but Queens. We can automate this roughtly, OR add a question on the HPD Workbook asking who is the gas utility</t>
  </si>
  <si>
    <t>Ask which gas utility - we already ask about Con Ed for electric</t>
  </si>
  <si>
    <t>Change implemented. New row (row 29) asks for natural gas provider (if applicable). If no provider is specified but natural gas is primary or secondary heating fuel, then a "#N/A" error will be thrown to indicate the utility name is missing.</t>
  </si>
  <si>
    <t>Insulation</t>
  </si>
  <si>
    <t>Not in scope</t>
  </si>
  <si>
    <t>modify dropdowns</t>
  </si>
  <si>
    <t>Changes made. Need to adjust Scope 3 incentives on row 164 to match new options here. In Dropdowns tab they are rows 253-256 and are in units of cost/DU.</t>
  </si>
  <si>
    <t>50% improvement and $25/ SF</t>
  </si>
  <si>
    <t>50% improvement and $5/ SF</t>
  </si>
  <si>
    <t>50% improvement and $15/ SF</t>
  </si>
  <si>
    <t>*Note: insulation of &lt;100% of exposed exterior walls is not factored into budget or cost analysis, although may be part of a Scope 3 strategy</t>
  </si>
  <si>
    <t xml:space="preserve">Reduced Envelope Losses: </t>
  </si>
  <si>
    <t>Baseline - required if Scope 2 is being implemented</t>
  </si>
  <si>
    <t>10% (min. from roof, walls and air-sealing)</t>
  </si>
  <si>
    <t>Changes implemented. Need cost/sf value for Partial wall insulation value (Dropdowns tab, cell D175)</t>
  </si>
  <si>
    <t>PARTIAL WALL INSULATION AS PART OF SCOPE 3 STRATEGY</t>
  </si>
  <si>
    <t>50% (see above table)</t>
  </si>
  <si>
    <t>Scope 3 acheived/ All exposed exterior walls</t>
  </si>
  <si>
    <t>50% improvement (if Scope 3 is selected)</t>
  </si>
  <si>
    <t>Energy Savings Metrics</t>
  </si>
  <si>
    <t>Ballpark performance and cost estimates</t>
  </si>
  <si>
    <t>Cadmus to fix MMBTU calcs - they assume full electrification, even when scope doesn't include both scope</t>
  </si>
  <si>
    <t>n/a</t>
  </si>
  <si>
    <t>The calculation was written to be performed regardless of electrification, so the MMBTU number that displayed if there was no electrification was that for the existing equipment with other upgrades (ex: gas heating with reduced loss from shell upgrade).</t>
  </si>
  <si>
    <t>I added rows for BTU/ SF/ HDD - would like to discuss w/ Cadmus how to do this more effectively or if worthwhile</t>
  </si>
  <si>
    <t>Would need annual consumption year, HDDs for that year, and conversions</t>
  </si>
  <si>
    <t>Will make it a range, low value and high value. Changes implemented.</t>
  </si>
  <si>
    <t>Status 4/21/2025</t>
  </si>
  <si>
    <t>1/22/2025 Tool Edits - added on 1/22</t>
  </si>
  <si>
    <t>Add BAU DHW Scope to the REDiTool</t>
  </si>
  <si>
    <t>Use $4/sf from Dropdown Tab</t>
  </si>
  <si>
    <t>There is existing BAU DHW scope in the Dropdowns tab (rows 82-89). Does any of this need to be changed?</t>
  </si>
  <si>
    <t>No!</t>
  </si>
  <si>
    <t>Update Utility Rates and M&amp;O Standards</t>
  </si>
  <si>
    <t>Jen updating</t>
  </si>
  <si>
    <t>Revise BAU for floodproofing - applicable to coastal flooding only (not stormwater)</t>
  </si>
  <si>
    <t>No action yet</t>
  </si>
  <si>
    <t>Review</t>
  </si>
  <si>
    <t>Other items in yellow, should already be fixed but please confirm.</t>
  </si>
  <si>
    <t>Items which have been addressed are re-colored to green (remove as you see fit). Unsure of actions needed for following rows: 24, 35, 68, 69, 81, 84, 85, 93, 94, 113, 168, 221, 222, 275</t>
  </si>
  <si>
    <t>Done by Jen but needs indexing</t>
  </si>
  <si>
    <t>New M&amp;O Heating Dropdown for Scope 3 of 20%</t>
  </si>
  <si>
    <t>Update BAU for Existing Heating w/ more nuance</t>
  </si>
  <si>
    <t>New envelope rows based on new categories</t>
  </si>
  <si>
    <t>still undone</t>
  </si>
  <si>
    <t>Cadmus to do</t>
  </si>
  <si>
    <t>Delete extraneous rows in Dropdown where no longer required due to new formulas</t>
  </si>
  <si>
    <t>27-35, 40-48, 150-153, 211-214 (if not used), 196, 274-277</t>
  </si>
  <si>
    <t>Fixed, automated</t>
  </si>
  <si>
    <t>Existing DHW row - can this be automataed and still have dropdown?</t>
  </si>
  <si>
    <t xml:space="preserve">M&amp;O Costs - if in scope and owner paid - can we fix this and have it be right in ProForma? </t>
  </si>
  <si>
    <t>Track through proforma</t>
  </si>
  <si>
    <t>Fixed, not indexed</t>
  </si>
  <si>
    <t>Reindex formula for partial DHW electrification to look up new M&amp;O</t>
  </si>
  <si>
    <t>Tool Version to 1.2</t>
  </si>
  <si>
    <t>Fix ProForma messaging if needed</t>
  </si>
  <si>
    <t>Elec Upgrades dropdowns</t>
  </si>
  <si>
    <t>Row 150 not working correctly - PTHP to replace PTAC</t>
  </si>
  <si>
    <t>Fix MMBTU calcs for partial electrification (see GHG reductions strategy)</t>
  </si>
  <si>
    <t>need data</t>
  </si>
  <si>
    <t>Cost for PTHP</t>
  </si>
  <si>
    <t>Incentive for PTHP</t>
  </si>
  <si>
    <t>HPD Workbook Edits</t>
  </si>
  <si>
    <t xml:space="preserve">REDi eligibility vs Offset eligibility - Con Ed stuff - need to discuss. </t>
  </si>
  <si>
    <t>Add rows for Gas service territory &amp; dropdowns on Intake tab</t>
  </si>
  <si>
    <t>Secondary Fuel - Dropdown for Natural Gas may have an extra space before the N, throwing everything off</t>
  </si>
  <si>
    <t>Deleted it on all tools</t>
  </si>
  <si>
    <t>Move Commercial Community Fuel use cell for ease of reading</t>
  </si>
  <si>
    <t>Update insulation choices</t>
  </si>
  <si>
    <t>PTHP if replacing ANY PHTP - not electric. Electric is already addressed in building age. Covers sleeve</t>
  </si>
  <si>
    <t>Fixed (automated it in Tool)</t>
  </si>
  <si>
    <t xml:space="preserve">Add row for partial DHW electrification </t>
  </si>
  <si>
    <t>Otherwise it gets lost in TAP section</t>
  </si>
  <si>
    <t>Add BAU Heating System Scope - if you weren't going to electrify</t>
  </si>
  <si>
    <t>Secondary Fuel Use - eliminate N/A answer because it isn't working</t>
  </si>
  <si>
    <t>Add Demand Management to workbook</t>
  </si>
  <si>
    <t>Public REDi Tool</t>
  </si>
  <si>
    <t>Identify all critical Public Rows in Tool</t>
  </si>
  <si>
    <t>Create Instructions Tab for saving Public Tool</t>
  </si>
  <si>
    <t>Add Assumptions to REDi Tool tab for public purpose</t>
  </si>
  <si>
    <t>Test &amp; Publish Tool</t>
  </si>
  <si>
    <t xml:space="preserve">Heating Degree Day, NYC per NYSERDA: </t>
  </si>
  <si>
    <t>Normal</t>
  </si>
  <si>
    <t>January</t>
  </si>
  <si>
    <t>February</t>
  </si>
  <si>
    <t>March</t>
  </si>
  <si>
    <t>April</t>
  </si>
  <si>
    <t>May</t>
  </si>
  <si>
    <t>June</t>
  </si>
  <si>
    <t>July</t>
  </si>
  <si>
    <t>August</t>
  </si>
  <si>
    <t>September</t>
  </si>
  <si>
    <t>October</t>
  </si>
  <si>
    <t>November</t>
  </si>
  <si>
    <t>December</t>
  </si>
  <si>
    <t> </t>
  </si>
  <si>
    <t>TOTAL</t>
  </si>
  <si>
    <t>Monthly Cooling and Heating Degree Day Data - NYSERDA</t>
  </si>
  <si>
    <t xml:space="preserve">Average  2020 thru current: </t>
  </si>
  <si>
    <t>Min</t>
  </si>
  <si>
    <t>Max</t>
  </si>
  <si>
    <t>ISSUE LOG</t>
  </si>
  <si>
    <t>Issue</t>
  </si>
  <si>
    <t>TAPTool Updates:</t>
  </si>
  <si>
    <t>Trigger</t>
  </si>
  <si>
    <t>Cost, Electrical Wiring</t>
  </si>
  <si>
    <t>Assume yes for any prewar buildings installing Scope 2 or converting to electric stoves</t>
  </si>
  <si>
    <t xml:space="preserve">Per DU? </t>
  </si>
  <si>
    <t>Partial Panel/ Panel Upgrades</t>
  </si>
  <si>
    <t>Full Panel/ Panel Upgrades</t>
  </si>
  <si>
    <t xml:space="preserve">Projects meeting both of the criteria above. </t>
  </si>
  <si>
    <t>Addressed</t>
  </si>
  <si>
    <t>REDi Incentives</t>
  </si>
  <si>
    <t>See Row 209-217</t>
  </si>
  <si>
    <t>We are now using a "scaler" instead of using room counts. See D208-D217. This will simpllify a lot of things. This is the max incentive shown below, they will scale down based on the Scaler.</t>
  </si>
  <si>
    <t>REDi DHW</t>
  </si>
  <si>
    <t>REDi Space Heating (residential)</t>
  </si>
  <si>
    <t>REDi Cooking (future)</t>
  </si>
  <si>
    <t>Placehholder</t>
  </si>
  <si>
    <t>REDi Electrical Wiring Upgrades (future)</t>
  </si>
  <si>
    <t>Use if there is any electrification</t>
  </si>
  <si>
    <t>REDi Electrical Panel Upgrades (future)</t>
  </si>
  <si>
    <t>Use if scope includes heat pumps for heating and/or if electrification of cooking</t>
  </si>
  <si>
    <t xml:space="preserve">REDi Envelope </t>
  </si>
  <si>
    <t>REDi Envelope 2 (future)</t>
  </si>
  <si>
    <t>Rows 49-52</t>
  </si>
  <si>
    <t>Why can't I see the formulas? It's driving me crazy. It is a named range - click on Data Validataion source range and it will show you in a lasso what is being reference</t>
  </si>
  <si>
    <t>not doing</t>
  </si>
  <si>
    <t>Add per room costs for DHW - for when Not In Scope or In Scope:</t>
  </si>
  <si>
    <t>Gas</t>
  </si>
  <si>
    <t xml:space="preserve">Oil </t>
  </si>
  <si>
    <t>Elec Resistance</t>
  </si>
  <si>
    <t>Add per room costs for Space Heating for when not in scope</t>
  </si>
  <si>
    <t>Fix Electric Resistance Baseline Buildings - the conversion is not working</t>
  </si>
  <si>
    <t>Jen to send info</t>
  </si>
  <si>
    <t>Prorate for stoves if only several kitchens - SRO: 1 per floor</t>
  </si>
  <si>
    <t>Resolved</t>
  </si>
  <si>
    <t>How to be sure we don't overwrite formulas/ dropdowns when importing? DO NOT USE CUT, ONLY USE COPY AND THEN DELETE CONTENTS</t>
  </si>
  <si>
    <t>I still don't understand how to create a dropdown using index</t>
  </si>
  <si>
    <t>already did</t>
  </si>
  <si>
    <t>Add Water Source Heat Pump as a dropdown option - although we don't have costs for this</t>
  </si>
  <si>
    <t>Jen to do</t>
  </si>
  <si>
    <t>TO TO ERRORS - Iferror - for all #n/A, #val.... can put a value in like "-"</t>
  </si>
  <si>
    <t>Scopes</t>
  </si>
  <si>
    <t>When: If Prewar AND</t>
  </si>
  <si>
    <t>Incentives:</t>
  </si>
  <si>
    <t>Costs/ SF</t>
  </si>
  <si>
    <t>2-BR</t>
  </si>
  <si>
    <t>25 Unit Bldg</t>
  </si>
  <si>
    <t>Electrical Wiring Upgrades - Partial</t>
  </si>
  <si>
    <t>Split Heat Pumps or Cooking</t>
  </si>
  <si>
    <t>Electrical Wiring Upgrades - Full</t>
  </si>
  <si>
    <t>All Heat Pumps or Cooking</t>
  </si>
  <si>
    <t>Electrical Panel Upgrades - Apartment</t>
  </si>
  <si>
    <t>PTHPs or Cooking except SRO</t>
  </si>
  <si>
    <t>Electrical Panel Upgrades - Main Panel</t>
  </si>
  <si>
    <t>Space Heating + Cookin, Space Heating + DHW, Cooking + DHW, Sometimes Space Heating or Cooking on their 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</si>
</sst>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0%\ &quot;savings&quot;"/>
    <numFmt numFmtId="168" formatCode="&quot;$&quot;#,##0\ &quot;per year&quot;"/>
    <numFmt numFmtId="169" formatCode="0%\ &quot;GHG reductions&quot;"/>
    <numFmt numFmtId="170" formatCode="0\ &quot;tCO2e/ year&quot;"/>
    <numFmt numFmtId="171" formatCode="&quot;$&quot;#,##0\ "/>
    <numFmt numFmtId="172" formatCode="0\ &quot;tons/ yr&quot;"/>
    <numFmt numFmtId="173" formatCode="&quot;$&quot;#,##0\ &quot;/year&quot;"/>
    <numFmt numFmtId="174" formatCode="&quot;$&quot;#,##0\ &quot;/ DU&quot;"/>
    <numFmt numFmtId="175" formatCode="0\ &quot;tons/ year&quot;"/>
    <numFmt numFmtId="176" formatCode="0.00\ &quot;tons/ year&quot;"/>
    <numFmt numFmtId="177" formatCode="&quot;$&quot;#,##0\ &quot;/ year&quot;"/>
    <numFmt numFmtId="178" formatCode="0.00000000"/>
    <numFmt numFmtId="179" formatCode="0.0000\ &quot;tons/ year&quot;"/>
    <numFmt numFmtId="180" formatCode="0.00000\ &quot;tons/ year&quot;"/>
    <numFmt numFmtId="181" formatCode="[$-F800]dddd\,\ mmmm\ dd\,\ yyyy"/>
    <numFmt numFmtId="182" formatCode="0%\ "/>
    <numFmt numFmtId="183" formatCode="0\ &quot;Units&quot;"/>
    <numFmt numFmtId="184" formatCode="&quot;$&quot;#,##0\ &quot;Net Cost/ DU after Incentives&quot;"/>
    <numFmt numFmtId="185" formatCode="0\ &quot;DU&quot;"/>
    <numFmt numFmtId="186" formatCode="&quot;$&quot;#,##0.00\ &quot;per DU for project with all incentives&quot;"/>
    <numFmt numFmtId="187" formatCode="&quot;$&quot;#,##0\ &quot;before incentives&quot;"/>
    <numFmt numFmtId="188" formatCode="&quot;$&quot;#,##0\ &quot;after all incentives&quot;"/>
    <numFmt numFmtId="189" formatCode="&quot;$&quot;#,##0\ &quot;per/ DU&quot;"/>
    <numFmt numFmtId="190" formatCode="&quot;$&quot;#,##0.00\ &quot;Eligible Incentives&quot;"/>
    <numFmt numFmtId="191" formatCode="0\ &quot;mt/ year&quot;"/>
    <numFmt numFmtId="192" formatCode="&quot;$&quot;#,##0\ &quot;*&quot;"/>
    <numFmt numFmtId="193" formatCode="&quot;$&quot;#,##0.00\ &quot;Based on Proposed Scope (but not factoring in caps)&quot;"/>
    <numFmt numFmtId="194" formatCode="0%\ &quot;(aggregated)&quot;"/>
  </numFmts>
  <fonts count="190">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rgb="FF000000"/>
      <name val="Arial"/>
      <family val="2"/>
    </font>
    <font>
      <u/>
      <sz val="11"/>
      <color theme="10"/>
      <name val="Calibri"/>
      <family val="2"/>
      <scheme val="minor"/>
    </font>
    <font>
      <sz val="11"/>
      <color rgb="FF9C6500"/>
      <name val="Calibri"/>
      <family val="2"/>
      <scheme val="minor"/>
    </font>
    <font>
      <sz val="10"/>
      <color rgb="FF000000"/>
      <name val="Arial"/>
      <family val="2"/>
    </font>
    <font>
      <u/>
      <sz val="10"/>
      <color theme="10"/>
      <name val="Arial"/>
      <family val="2"/>
    </font>
    <font>
      <sz val="10"/>
      <color theme="1"/>
      <name val="Calibri"/>
      <family val="2"/>
      <scheme val="minor"/>
    </font>
    <font>
      <sz val="11"/>
      <color theme="1"/>
      <name val="Arial"/>
      <family val="2"/>
    </font>
    <font>
      <b/>
      <sz val="11"/>
      <color theme="1"/>
      <name val="Calibri"/>
      <family val="2"/>
      <scheme val="minor"/>
    </font>
    <font>
      <sz val="10"/>
      <name val="Calibri"/>
      <family val="2"/>
      <scheme val="minor"/>
    </font>
    <font>
      <b/>
      <sz val="11"/>
      <color theme="1"/>
      <name val="Calibri"/>
      <family val="2"/>
      <scheme val="minor"/>
    </font>
    <font>
      <sz val="11"/>
      <name val="Calibri"/>
      <family val="2"/>
      <scheme val="minor"/>
    </font>
    <font>
      <b/>
      <sz val="16"/>
      <color theme="0"/>
      <name val="Calibri"/>
      <family val="2"/>
      <scheme val="minor"/>
    </font>
    <font>
      <sz val="10"/>
      <color rgb="FFFFFFFF"/>
      <name val="Calibri"/>
      <family val="2"/>
      <scheme val="minor"/>
    </font>
    <font>
      <b/>
      <sz val="11"/>
      <name val="Calibri"/>
      <family val="2"/>
      <scheme val="minor"/>
    </font>
    <font>
      <b/>
      <sz val="10"/>
      <color theme="0"/>
      <name val="Calibri"/>
      <family val="2"/>
      <scheme val="minor"/>
    </font>
    <font>
      <sz val="10"/>
      <color theme="0"/>
      <name val="Calibri"/>
      <family val="2"/>
      <scheme val="minor"/>
    </font>
    <font>
      <sz val="9"/>
      <color theme="0"/>
      <name val="Calibri"/>
      <family val="2"/>
      <scheme val="minor"/>
    </font>
    <font>
      <b/>
      <sz val="14"/>
      <color rgb="FFFFFF00"/>
      <name val="Calibri"/>
      <family val="2"/>
      <scheme val="minor"/>
    </font>
    <font>
      <sz val="9"/>
      <color theme="0"/>
      <name val="Aptos"/>
      <family val="2"/>
    </font>
    <font>
      <sz val="16"/>
      <color theme="0"/>
      <name val="Aptos"/>
      <family val="2"/>
    </font>
    <font>
      <sz val="11"/>
      <color theme="0"/>
      <name val="Aptos"/>
      <family val="2"/>
    </font>
    <font>
      <sz val="10"/>
      <color theme="1"/>
      <name val="Aptos"/>
      <family val="2"/>
    </font>
    <font>
      <sz val="9"/>
      <color theme="1"/>
      <name val="Aptos"/>
      <family val="2"/>
    </font>
    <font>
      <b/>
      <sz val="10"/>
      <color theme="0"/>
      <name val="Aptos"/>
      <family val="2"/>
    </font>
    <font>
      <b/>
      <sz val="10"/>
      <color theme="1"/>
      <name val="Aptos"/>
      <family val="2"/>
    </font>
    <font>
      <b/>
      <i/>
      <sz val="10"/>
      <color theme="0"/>
      <name val="Aptos"/>
      <family val="2"/>
    </font>
    <font>
      <b/>
      <sz val="11"/>
      <color theme="0"/>
      <name val="Aptos"/>
      <family val="2"/>
    </font>
    <font>
      <b/>
      <sz val="11"/>
      <color rgb="FFFFFFFF"/>
      <name val="Aptos"/>
      <family val="2"/>
    </font>
    <font>
      <sz val="11"/>
      <color theme="1"/>
      <name val="Aptos"/>
      <family val="2"/>
    </font>
    <font>
      <sz val="10"/>
      <color rgb="FF000000"/>
      <name val="Aptos"/>
      <family val="2"/>
    </font>
    <font>
      <sz val="10"/>
      <name val="Aptos"/>
      <family val="2"/>
    </font>
    <font>
      <i/>
      <sz val="10"/>
      <name val="Aptos"/>
      <family val="2"/>
    </font>
    <font>
      <b/>
      <sz val="10"/>
      <name val="Aptos"/>
      <family val="2"/>
    </font>
    <font>
      <i/>
      <sz val="10"/>
      <color rgb="FF000000"/>
      <name val="Aptos"/>
      <family val="2"/>
    </font>
    <font>
      <i/>
      <sz val="9"/>
      <color theme="0"/>
      <name val="Aptos"/>
      <family val="2"/>
    </font>
    <font>
      <i/>
      <sz val="10"/>
      <color theme="1"/>
      <name val="Aptos"/>
      <family val="2"/>
    </font>
    <font>
      <sz val="9"/>
      <name val="Aptos"/>
      <family val="2"/>
    </font>
    <font>
      <b/>
      <sz val="11"/>
      <color theme="1"/>
      <name val="Aptos"/>
      <family val="2"/>
    </font>
    <font>
      <b/>
      <i/>
      <sz val="10"/>
      <color theme="1"/>
      <name val="Aptos"/>
      <family val="2"/>
    </font>
    <font>
      <b/>
      <sz val="10"/>
      <color rgb="FF000000"/>
      <name val="Aptos"/>
      <family val="2"/>
    </font>
    <font>
      <sz val="12"/>
      <color theme="1"/>
      <name val="Aptos"/>
      <family val="2"/>
    </font>
    <font>
      <sz val="10"/>
      <color theme="0"/>
      <name val="Aptos"/>
      <family val="2"/>
    </font>
    <font>
      <i/>
      <sz val="9"/>
      <color theme="1"/>
      <name val="Aptos"/>
      <family val="2"/>
    </font>
    <font>
      <sz val="9"/>
      <color rgb="FF000000"/>
      <name val="Aptos"/>
      <family val="2"/>
    </font>
    <font>
      <i/>
      <sz val="8"/>
      <color theme="1"/>
      <name val="Aptos"/>
      <family val="2"/>
    </font>
    <font>
      <i/>
      <sz val="9"/>
      <name val="Aptos"/>
      <family val="2"/>
    </font>
    <font>
      <i/>
      <sz val="10"/>
      <color theme="0"/>
      <name val="Aptos"/>
      <family val="2"/>
    </font>
    <font>
      <i/>
      <sz val="9"/>
      <color rgb="FF000000"/>
      <name val="Aptos"/>
      <family val="2"/>
    </font>
    <font>
      <b/>
      <sz val="9"/>
      <color theme="1"/>
      <name val="Aptos"/>
      <family val="2"/>
    </font>
    <font>
      <b/>
      <sz val="12"/>
      <color theme="0"/>
      <name val="Aptos"/>
      <family val="2"/>
    </font>
    <font>
      <sz val="8"/>
      <color rgb="FFFFFF00"/>
      <name val="Aptos"/>
      <family val="2"/>
    </font>
    <font>
      <sz val="12"/>
      <color theme="0"/>
      <name val="Aptos"/>
      <family val="2"/>
    </font>
    <font>
      <sz val="8"/>
      <color theme="9"/>
      <name val="Aptos"/>
      <family val="2"/>
    </font>
    <font>
      <sz val="8"/>
      <name val="Calibri"/>
      <family val="2"/>
      <scheme val="minor"/>
    </font>
    <font>
      <i/>
      <sz val="10"/>
      <color rgb="FFFF0000"/>
      <name val="Aptos"/>
      <family val="2"/>
    </font>
    <font>
      <sz val="11"/>
      <color theme="0" tint="-0.34998626667073579"/>
      <name val="Aptos"/>
      <family val="2"/>
    </font>
    <font>
      <i/>
      <sz val="11"/>
      <color theme="1"/>
      <name val="Aptos"/>
      <family val="2"/>
    </font>
    <font>
      <sz val="9"/>
      <color theme="1"/>
      <name val="Calibri"/>
      <family val="2"/>
      <scheme val="minor"/>
    </font>
    <font>
      <i/>
      <sz val="10"/>
      <color theme="8"/>
      <name val="Aptos"/>
      <family val="2"/>
    </font>
    <font>
      <sz val="11"/>
      <color theme="8"/>
      <name val="Aptos"/>
      <family val="2"/>
    </font>
    <font>
      <b/>
      <sz val="8"/>
      <color rgb="FFFFFF00"/>
      <name val="Aptos"/>
      <family val="2"/>
    </font>
    <font>
      <i/>
      <sz val="8"/>
      <color rgb="FFFFFF00"/>
      <name val="Aptos"/>
      <family val="2"/>
    </font>
    <font>
      <sz val="8"/>
      <color theme="8"/>
      <name val="Aptos"/>
      <family val="2"/>
    </font>
    <font>
      <i/>
      <sz val="10"/>
      <color theme="1"/>
      <name val="Calibri"/>
      <family val="2"/>
      <scheme val="minor"/>
    </font>
    <font>
      <sz val="9"/>
      <color rgb="FFFFFF00"/>
      <name val="Aptos"/>
      <family val="2"/>
    </font>
    <font>
      <sz val="8"/>
      <color theme="9" tint="0.39997558519241921"/>
      <name val="Aptos"/>
      <family val="2"/>
    </font>
    <font>
      <sz val="8"/>
      <color theme="0"/>
      <name val="Aptos"/>
      <family val="2"/>
    </font>
    <font>
      <b/>
      <sz val="11"/>
      <color rgb="FFC00000"/>
      <name val="Calibri"/>
      <family val="2"/>
      <scheme val="minor"/>
    </font>
    <font>
      <b/>
      <i/>
      <sz val="9"/>
      <color theme="1"/>
      <name val="Aptos"/>
      <family val="2"/>
    </font>
    <font>
      <b/>
      <sz val="9"/>
      <color theme="0"/>
      <name val="Aptos"/>
      <family val="2"/>
    </font>
    <font>
      <b/>
      <sz val="12"/>
      <color theme="1"/>
      <name val="Calibri"/>
      <family val="2"/>
      <scheme val="minor"/>
    </font>
    <font>
      <b/>
      <sz val="9"/>
      <name val="Aptos"/>
      <family val="2"/>
    </font>
    <font>
      <sz val="9"/>
      <color theme="8"/>
      <name val="Aptos"/>
      <family val="2"/>
    </font>
    <font>
      <sz val="10"/>
      <color rgb="FF000000"/>
      <name val="Calibri"/>
      <family val="2"/>
      <scheme val="minor"/>
    </font>
    <font>
      <sz val="10"/>
      <color theme="9"/>
      <name val="Calibri"/>
      <family val="2"/>
      <scheme val="minor"/>
    </font>
    <font>
      <sz val="10"/>
      <color rgb="FFFF0000"/>
      <name val="Calibri"/>
      <family val="2"/>
      <scheme val="minor"/>
    </font>
    <font>
      <sz val="10"/>
      <color theme="4"/>
      <name val="Calibri"/>
      <family val="2"/>
      <scheme val="minor"/>
    </font>
    <font>
      <u/>
      <sz val="10"/>
      <color theme="1"/>
      <name val="Calibri"/>
      <family val="2"/>
      <scheme val="minor"/>
    </font>
    <font>
      <sz val="9"/>
      <color rgb="FF242424"/>
      <name val="Segoe UI"/>
      <family val="2"/>
    </font>
    <font>
      <sz val="8"/>
      <color theme="1"/>
      <name val="Aptos"/>
      <family val="2"/>
    </font>
    <font>
      <b/>
      <sz val="10"/>
      <color rgb="FFFFFF00"/>
      <name val="Aptos"/>
      <family val="2"/>
    </font>
    <font>
      <sz val="11"/>
      <color rgb="FFFFFFFF"/>
      <name val="Aptos"/>
      <family val="2"/>
    </font>
    <font>
      <sz val="8"/>
      <color rgb="FFA9D08E"/>
      <name val="Aptos"/>
      <family val="2"/>
    </font>
    <font>
      <sz val="11"/>
      <color rgb="FFFFFF00"/>
      <name val="Aptos"/>
      <family val="2"/>
    </font>
    <font>
      <b/>
      <sz val="11"/>
      <color rgb="FFFFFF00"/>
      <name val="Aptos"/>
      <family val="2"/>
    </font>
    <font>
      <sz val="10"/>
      <color rgb="FF000000"/>
      <name val="Arial"/>
      <family val="2"/>
    </font>
    <font>
      <sz val="8"/>
      <color rgb="FF92D050"/>
      <name val="Aptos"/>
      <family val="2"/>
    </font>
    <font>
      <strike/>
      <sz val="11"/>
      <color theme="1"/>
      <name val="Calibri"/>
      <family val="2"/>
      <scheme val="minor"/>
    </font>
    <font>
      <strike/>
      <sz val="11"/>
      <color rgb="FFFF0000"/>
      <name val="Calibri"/>
      <family val="2"/>
      <scheme val="minor"/>
    </font>
    <font>
      <b/>
      <i/>
      <sz val="8"/>
      <color rgb="FF92D050"/>
      <name val="Aptos"/>
      <family val="2"/>
    </font>
    <font>
      <i/>
      <sz val="8"/>
      <color rgb="FFFF0000"/>
      <name val="Aptos"/>
      <family val="2"/>
    </font>
    <font>
      <i/>
      <sz val="8"/>
      <name val="Aptos"/>
      <family val="2"/>
    </font>
    <font>
      <i/>
      <sz val="8"/>
      <color rgb="FF000000"/>
      <name val="Aptos"/>
      <family val="2"/>
    </font>
    <font>
      <i/>
      <sz val="11"/>
      <color theme="1"/>
      <name val="Calibri"/>
      <family val="2"/>
      <scheme val="minor"/>
    </font>
    <font>
      <b/>
      <sz val="10"/>
      <color rgb="FF000000"/>
      <name val="Calibri"/>
      <family val="2"/>
      <scheme val="minor"/>
    </font>
    <font>
      <sz val="10"/>
      <color rgb="FF111111"/>
      <name val="Aptos"/>
      <family val="2"/>
    </font>
    <font>
      <b/>
      <sz val="10"/>
      <color theme="1"/>
      <name val="Calibri"/>
      <family val="2"/>
      <scheme val="minor"/>
    </font>
    <font>
      <i/>
      <sz val="9"/>
      <color rgb="FFFF0000"/>
      <name val="Aptos"/>
      <family val="2"/>
    </font>
    <font>
      <b/>
      <sz val="11"/>
      <color theme="1"/>
      <name val="Aptos"/>
      <family val="2"/>
    </font>
    <font>
      <sz val="11"/>
      <color theme="1"/>
      <name val="Aptos"/>
      <family val="2"/>
    </font>
    <font>
      <sz val="10"/>
      <color rgb="FFFF0000"/>
      <name val="Aptos"/>
      <family val="2"/>
    </font>
    <font>
      <sz val="11"/>
      <color rgb="FF212529"/>
      <name val="Proxima Nova"/>
      <charset val="1"/>
    </font>
    <font>
      <b/>
      <sz val="11"/>
      <color rgb="FF212529"/>
      <name val="Proxima Nova"/>
      <charset val="1"/>
    </font>
    <font>
      <b/>
      <sz val="11"/>
      <color rgb="FF6C757D"/>
      <name val="Proxima Nova"/>
      <charset val="1"/>
    </font>
    <font>
      <sz val="10"/>
      <color rgb="FFFFFF00"/>
      <name val="Aptos"/>
      <family val="2"/>
    </font>
    <font>
      <b/>
      <u/>
      <sz val="10"/>
      <color theme="10"/>
      <name val="Calibri"/>
      <family val="2"/>
      <scheme val="minor"/>
    </font>
    <font>
      <b/>
      <i/>
      <sz val="11"/>
      <color theme="1"/>
      <name val="Calibri"/>
      <family val="2"/>
      <scheme val="minor"/>
    </font>
    <font>
      <sz val="10"/>
      <color theme="9"/>
      <name val="Aptos"/>
      <family val="2"/>
    </font>
    <font>
      <sz val="10"/>
      <color theme="4"/>
      <name val="Aptos"/>
      <family val="2"/>
    </font>
    <font>
      <b/>
      <sz val="10"/>
      <color theme="9"/>
      <name val="Aptos"/>
      <family val="2"/>
    </font>
    <font>
      <b/>
      <sz val="10"/>
      <color theme="4"/>
      <name val="Aptos"/>
      <family val="2"/>
    </font>
    <font>
      <i/>
      <sz val="9"/>
      <color rgb="FFC00000"/>
      <name val="Aptos"/>
      <family val="2"/>
    </font>
    <font>
      <sz val="11"/>
      <color rgb="FFC00000"/>
      <name val="Calibri"/>
      <family val="2"/>
      <scheme val="minor"/>
    </font>
    <font>
      <i/>
      <sz val="10"/>
      <color theme="4"/>
      <name val="Aptos"/>
      <family val="2"/>
    </font>
    <font>
      <i/>
      <sz val="10"/>
      <color theme="9"/>
      <name val="Aptos"/>
      <family val="2"/>
    </font>
    <font>
      <b/>
      <sz val="8"/>
      <color theme="9"/>
      <name val="Aptos"/>
      <family val="2"/>
    </font>
    <font>
      <b/>
      <sz val="9"/>
      <color rgb="FFFFFF00"/>
      <name val="Aptos"/>
      <family val="2"/>
    </font>
    <font>
      <b/>
      <sz val="10"/>
      <color rgb="FFFF0000"/>
      <name val="Aptos"/>
      <family val="2"/>
    </font>
    <font>
      <sz val="11"/>
      <color rgb="FF000000"/>
      <name val="Calibri"/>
      <family val="2"/>
      <scheme val="minor"/>
    </font>
    <font>
      <b/>
      <sz val="11"/>
      <color rgb="FF000000"/>
      <name val="Calibri"/>
      <family val="2"/>
      <scheme val="minor"/>
    </font>
    <font>
      <i/>
      <sz val="11"/>
      <color rgb="FF000000"/>
      <name val="Calibri"/>
      <family val="2"/>
      <scheme val="minor"/>
    </font>
    <font>
      <b/>
      <i/>
      <sz val="10"/>
      <color rgb="FFFFFFFF"/>
      <name val="Aptos"/>
      <family val="2"/>
    </font>
    <font>
      <b/>
      <i/>
      <sz val="11"/>
      <color rgb="FFC00000"/>
      <name val="Calibri"/>
      <family val="2"/>
      <scheme val="minor"/>
    </font>
    <font>
      <sz val="10"/>
      <name val="Bahnschrift SemiLight"/>
      <family val="2"/>
    </font>
    <font>
      <b/>
      <sz val="11"/>
      <color rgb="FF000000"/>
      <name val="Calibri"/>
      <family val="2"/>
    </font>
    <font>
      <b/>
      <sz val="11"/>
      <color rgb="FFFF0000"/>
      <name val="Calibri"/>
      <family val="2"/>
    </font>
    <font>
      <sz val="9"/>
      <color rgb="FF000000"/>
      <name val="Arial"/>
      <family val="2"/>
    </font>
    <font>
      <i/>
      <sz val="8"/>
      <color rgb="FF92D050"/>
      <name val="Aptos"/>
      <family val="2"/>
    </font>
    <font>
      <sz val="11"/>
      <color rgb="FF000000"/>
      <name val="Calibri"/>
      <family val="2"/>
    </font>
    <font>
      <sz val="8"/>
      <color rgb="FF000000"/>
      <name val="Calibri"/>
      <family val="2"/>
    </font>
    <font>
      <b/>
      <sz val="10"/>
      <color theme="0"/>
      <name val="Aptos Narrow"/>
      <family val="2"/>
    </font>
    <font>
      <b/>
      <sz val="8"/>
      <color theme="1"/>
      <name val="Aptos Narrow"/>
      <family val="2"/>
    </font>
    <font>
      <sz val="8"/>
      <color theme="1"/>
      <name val="Aptos Narrow"/>
      <family val="2"/>
    </font>
    <font>
      <i/>
      <sz val="8"/>
      <color theme="1"/>
      <name val="Aptos Narrow"/>
      <family val="2"/>
    </font>
    <font>
      <b/>
      <sz val="9"/>
      <color theme="0"/>
      <name val="Aptos Narrow"/>
      <family val="2"/>
    </font>
    <font>
      <sz val="8"/>
      <color rgb="FF000000"/>
      <name val="Aptos Narrow"/>
      <family val="2"/>
    </font>
    <font>
      <sz val="8"/>
      <name val="Aptos Narrow"/>
      <family val="2"/>
    </font>
    <font>
      <sz val="8"/>
      <color rgb="FF33CCFF"/>
      <name val="Aptos Narrow"/>
      <family val="2"/>
    </font>
    <font>
      <b/>
      <sz val="8"/>
      <color rgb="FF000000"/>
      <name val="Aptos Narrow"/>
      <family val="2"/>
    </font>
    <font>
      <b/>
      <sz val="8"/>
      <color rgb="FF0099CC"/>
      <name val="Aptos Narrow"/>
      <family val="2"/>
    </font>
    <font>
      <b/>
      <sz val="9"/>
      <color theme="1"/>
      <name val="Aptos Narrow"/>
      <family val="2"/>
    </font>
    <font>
      <b/>
      <sz val="9"/>
      <color rgb="FF0099CC"/>
      <name val="Aptos Narrow"/>
      <family val="2"/>
    </font>
    <font>
      <b/>
      <i/>
      <sz val="8"/>
      <color theme="1"/>
      <name val="Aptos Narrow"/>
      <family val="2"/>
    </font>
    <font>
      <sz val="11"/>
      <color theme="1"/>
      <name val="Aptos Narrow"/>
      <family val="2"/>
    </font>
    <font>
      <b/>
      <sz val="18"/>
      <color theme="1"/>
      <name val="Aptos Narrow"/>
      <family val="2"/>
    </font>
    <font>
      <b/>
      <sz val="11"/>
      <color rgb="FF33CCFF"/>
      <name val="Aptos Narrow"/>
      <family val="2"/>
    </font>
    <font>
      <sz val="9"/>
      <color theme="1"/>
      <name val="Aptos Narrow"/>
      <family val="2"/>
    </font>
    <font>
      <sz val="9"/>
      <color rgb="FFC00000"/>
      <name val="Aptos Narrow"/>
      <family val="2"/>
    </font>
    <font>
      <sz val="9"/>
      <color rgb="FFFF0000"/>
      <name val="Aptos Narrow"/>
      <family val="2"/>
    </font>
    <font>
      <sz val="11"/>
      <color theme="9"/>
      <name val="Aptos Narrow"/>
      <family val="2"/>
    </font>
    <font>
      <i/>
      <sz val="10"/>
      <color theme="1"/>
      <name val="Aptos Narrow"/>
      <family val="2"/>
    </font>
    <font>
      <b/>
      <sz val="8"/>
      <color theme="0"/>
      <name val="Aptos Narrow"/>
      <family val="2"/>
    </font>
    <font>
      <i/>
      <u/>
      <sz val="9"/>
      <color theme="10"/>
      <name val="Aptos Narrow"/>
      <family val="2"/>
    </font>
    <font>
      <i/>
      <sz val="9"/>
      <color theme="1"/>
      <name val="Aptos Narrow"/>
      <family val="2"/>
    </font>
    <font>
      <i/>
      <u/>
      <sz val="9"/>
      <color theme="4"/>
      <name val="Aptos Narrow"/>
      <family val="2"/>
    </font>
    <font>
      <sz val="11"/>
      <color rgb="FFFF0000"/>
      <name val="Aptos Narrow"/>
      <family val="2"/>
    </font>
    <font>
      <b/>
      <sz val="10"/>
      <color theme="1"/>
      <name val="Aptos Narrow"/>
      <family val="2"/>
    </font>
    <font>
      <u/>
      <sz val="11"/>
      <color theme="10"/>
      <name val="Aptos Narrow"/>
      <family val="2"/>
    </font>
    <font>
      <b/>
      <sz val="8"/>
      <color rgb="FFFF0000"/>
      <name val="Aptos Narrow"/>
      <family val="2"/>
    </font>
    <font>
      <b/>
      <sz val="11"/>
      <color theme="1"/>
      <name val="Aptos Narrow"/>
      <family val="2"/>
    </font>
    <font>
      <b/>
      <vertAlign val="superscript"/>
      <sz val="8"/>
      <color theme="1"/>
      <name val="Aptos Narrow"/>
      <family val="2"/>
    </font>
    <font>
      <b/>
      <sz val="9"/>
      <color rgb="FFFF0000"/>
      <name val="Aptos"/>
      <family val="2"/>
    </font>
    <font>
      <i/>
      <sz val="8"/>
      <color theme="0"/>
      <name val="Aptos"/>
      <family val="2"/>
    </font>
    <font>
      <i/>
      <u/>
      <sz val="11"/>
      <color theme="10"/>
      <name val="Calibri"/>
      <family val="2"/>
      <scheme val="minor"/>
    </font>
    <font>
      <i/>
      <sz val="10"/>
      <color rgb="FF000000"/>
      <name val="Calibri"/>
      <family val="2"/>
      <scheme val="minor"/>
    </font>
    <font>
      <i/>
      <sz val="11"/>
      <color rgb="FFFF0000"/>
      <name val="Calibri"/>
      <family val="2"/>
      <scheme val="minor"/>
    </font>
    <font>
      <sz val="12"/>
      <color theme="1"/>
      <name val="Calibri"/>
      <family val="2"/>
      <scheme val="minor"/>
    </font>
    <font>
      <b/>
      <sz val="11"/>
      <color rgb="FFC00000"/>
      <name val="Aptos"/>
      <family val="2"/>
    </font>
    <font>
      <sz val="11"/>
      <color theme="9"/>
      <name val="Aptos"/>
      <family val="2"/>
    </font>
    <font>
      <b/>
      <sz val="14"/>
      <color theme="1"/>
      <name val="Calibri"/>
      <family val="2"/>
      <scheme val="minor"/>
    </font>
    <font>
      <sz val="10"/>
      <color theme="1"/>
      <name val="Aptos Narrow"/>
      <family val="2"/>
    </font>
    <font>
      <i/>
      <sz val="9"/>
      <color theme="9"/>
      <name val="Aptos Narrow"/>
      <family val="2"/>
    </font>
    <font>
      <sz val="11"/>
      <color rgb="FFFF0000"/>
      <name val="Calibri"/>
      <family val="2"/>
      <scheme val="minor"/>
    </font>
    <font>
      <sz val="9"/>
      <color theme="0"/>
      <name val="Aptos"/>
    </font>
    <font>
      <i/>
      <sz val="9"/>
      <color theme="1"/>
      <name val="Aptos"/>
    </font>
    <font>
      <b/>
      <sz val="10"/>
      <color rgb="FFFFFFFF"/>
      <name val="Aptos Narrow"/>
    </font>
    <font>
      <b/>
      <vertAlign val="superscript"/>
      <sz val="10"/>
      <color rgb="FFFFFFFF"/>
      <name val="Aptos Narrow"/>
    </font>
    <font>
      <b/>
      <sz val="10"/>
      <color rgb="FFFF0000"/>
      <name val="Aptos Narrow"/>
    </font>
    <font>
      <b/>
      <sz val="8"/>
      <color theme="1"/>
      <name val="Aptos Narrow"/>
    </font>
    <font>
      <sz val="8"/>
      <color theme="1"/>
      <name val="Aptos Narrow"/>
    </font>
    <font>
      <sz val="8"/>
      <color rgb="FF000000"/>
      <name val="Aptos Narrow"/>
    </font>
    <font>
      <i/>
      <sz val="8"/>
      <color theme="1"/>
      <name val="Aptos Narrow"/>
    </font>
    <font>
      <i/>
      <sz val="9"/>
      <color theme="0" tint="-0.14999847407452621"/>
      <name val="Aptos"/>
      <family val="2"/>
    </font>
    <font>
      <i/>
      <sz val="9"/>
      <color theme="0"/>
      <name val="Aptos"/>
    </font>
    <font>
      <b/>
      <sz val="10"/>
      <color theme="0"/>
      <name val="Aptos Narrow"/>
    </font>
  </fonts>
  <fills count="37">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5"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CFE5E9"/>
        <bgColor indexed="64"/>
      </patternFill>
    </fill>
    <fill>
      <patternFill patternType="solid">
        <fgColor rgb="FFF8996B"/>
        <bgColor indexed="64"/>
      </patternFill>
    </fill>
    <fill>
      <patternFill patternType="solid">
        <fgColor rgb="FFF15923"/>
        <bgColor indexed="64"/>
      </patternFill>
    </fill>
    <fill>
      <patternFill patternType="solid">
        <fgColor rgb="FF7AC4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79998168889431442"/>
        <bgColor rgb="FF000000"/>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theme="7" tint="0.79998168889431442"/>
        <bgColor indexed="64"/>
      </patternFill>
    </fill>
    <fill>
      <patternFill patternType="solid">
        <fgColor rgb="FFECECEC"/>
        <bgColor indexed="64"/>
      </patternFill>
    </fill>
    <fill>
      <patternFill patternType="solid">
        <fgColor theme="2"/>
        <bgColor indexed="64"/>
      </patternFill>
    </fill>
    <fill>
      <patternFill patternType="solid">
        <fgColor theme="7"/>
        <bgColor indexed="64"/>
      </patternFill>
    </fill>
    <fill>
      <patternFill patternType="solid">
        <fgColor rgb="FF808080"/>
        <bgColor rgb="FF000000"/>
      </patternFill>
    </fill>
    <fill>
      <patternFill patternType="solid">
        <fgColor theme="8" tint="0.79998168889431442"/>
        <bgColor indexed="64"/>
      </patternFill>
    </fill>
    <fill>
      <patternFill patternType="solid">
        <fgColor theme="9" tint="0.59999389629810485"/>
        <bgColor indexed="64"/>
      </patternFill>
    </fill>
    <fill>
      <patternFill patternType="solid">
        <fgColor rgb="FFE2EFDA"/>
        <bgColor rgb="FF000000"/>
      </patternFill>
    </fill>
    <fill>
      <patternFill patternType="solid">
        <fgColor rgb="FFA9D08E"/>
        <bgColor indexed="64"/>
      </patternFill>
    </fill>
    <fill>
      <patternFill patternType="solid">
        <fgColor rgb="FFA9D08E"/>
        <bgColor rgb="FF000000"/>
      </patternFill>
    </fill>
    <fill>
      <patternFill patternType="solid">
        <fgColor rgb="FF33CCFF"/>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FF"/>
        <bgColor rgb="FF000000"/>
      </patternFill>
    </fill>
    <fill>
      <patternFill patternType="solid">
        <fgColor rgb="FFCFE5E9"/>
        <bgColor rgb="FF000000"/>
      </patternFill>
    </fill>
    <fill>
      <patternFill patternType="solid">
        <fgColor rgb="FFE2EFDA"/>
        <bgColor indexed="64"/>
      </patternFill>
    </fill>
    <fill>
      <patternFill patternType="solid">
        <fgColor theme="8" tint="0.59999389629810485"/>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rgb="FF000000"/>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rgb="FF000000"/>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rgb="FF000000"/>
      </top>
      <bottom/>
      <diagonal/>
    </border>
    <border>
      <left/>
      <right style="thin">
        <color rgb="FF000000"/>
      </right>
      <top/>
      <bottom style="thin">
        <color rgb="FF000000"/>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style="medium">
        <color indexed="64"/>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medium">
        <color rgb="FF000000"/>
      </bottom>
      <diagonal/>
    </border>
    <border>
      <left style="thin">
        <color rgb="FF212529"/>
      </left>
      <right style="thin">
        <color rgb="FFDEE2E6"/>
      </right>
      <top style="thin">
        <color rgb="FF212529"/>
      </top>
      <bottom style="thin">
        <color rgb="FFDEE2E6"/>
      </bottom>
      <diagonal/>
    </border>
    <border>
      <left style="thin">
        <color rgb="FFDEE2E6"/>
      </left>
      <right style="thin">
        <color rgb="FFDEE2E6"/>
      </right>
      <top style="thin">
        <color rgb="FF212529"/>
      </top>
      <bottom style="thin">
        <color rgb="FFDEE2E6"/>
      </bottom>
      <diagonal/>
    </border>
    <border>
      <left style="thin">
        <color rgb="FFDEE2E6"/>
      </left>
      <right style="thin">
        <color rgb="FF212529"/>
      </right>
      <top style="thin">
        <color rgb="FF212529"/>
      </top>
      <bottom style="thin">
        <color rgb="FFDEE2E6"/>
      </bottom>
      <diagonal/>
    </border>
    <border>
      <left style="thin">
        <color rgb="FF212529"/>
      </left>
      <right style="thin">
        <color rgb="FFDEE2E6"/>
      </right>
      <top style="thin">
        <color rgb="FFDEE2E6"/>
      </top>
      <bottom style="thin">
        <color rgb="FFDEE2E6"/>
      </bottom>
      <diagonal/>
    </border>
    <border>
      <left style="thin">
        <color rgb="FFDEE2E6"/>
      </left>
      <right style="thin">
        <color rgb="FFDEE2E6"/>
      </right>
      <top style="thin">
        <color rgb="FFDEE2E6"/>
      </top>
      <bottom style="thin">
        <color rgb="FFDEE2E6"/>
      </bottom>
      <diagonal/>
    </border>
    <border>
      <left style="thin">
        <color rgb="FFDEE2E6"/>
      </left>
      <right style="thin">
        <color rgb="FF212529"/>
      </right>
      <top style="thin">
        <color rgb="FFDEE2E6"/>
      </top>
      <bottom style="thin">
        <color rgb="FFDEE2E6"/>
      </bottom>
      <diagonal/>
    </border>
    <border>
      <left style="thin">
        <color rgb="FF212529"/>
      </left>
      <right style="thin">
        <color rgb="FFDEE2E6"/>
      </right>
      <top style="thin">
        <color rgb="FFDEE2E6"/>
      </top>
      <bottom style="thin">
        <color rgb="FF212529"/>
      </bottom>
      <diagonal/>
    </border>
    <border>
      <left style="thin">
        <color rgb="FFDEE2E6"/>
      </left>
      <right style="thin">
        <color rgb="FFDEE2E6"/>
      </right>
      <top style="thin">
        <color rgb="FFDEE2E6"/>
      </top>
      <bottom style="thin">
        <color rgb="FF212529"/>
      </bottom>
      <diagonal/>
    </border>
    <border>
      <left style="thin">
        <color rgb="FFDEE2E6"/>
      </left>
      <right style="thin">
        <color rgb="FF212529"/>
      </right>
      <top style="thin">
        <color rgb="FFDEE2E6"/>
      </top>
      <bottom style="thin">
        <color rgb="FF212529"/>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rgb="FF000000"/>
      </bottom>
      <diagonal/>
    </border>
    <border>
      <left style="thin">
        <color indexed="64"/>
      </left>
      <right style="medium">
        <color rgb="FF000000"/>
      </right>
      <top/>
      <bottom style="medium">
        <color rgb="FF000000"/>
      </bottom>
      <diagonal/>
    </border>
    <border>
      <left style="thin">
        <color rgb="FF000000"/>
      </left>
      <right style="medium">
        <color rgb="FF000000"/>
      </right>
      <top/>
      <bottom style="thin">
        <color rgb="FF000000"/>
      </bottom>
      <diagonal/>
    </border>
    <border>
      <left/>
      <right/>
      <top style="medium">
        <color rgb="FF000000"/>
      </top>
      <bottom style="thin">
        <color indexed="64"/>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medium">
        <color rgb="FF000000"/>
      </right>
      <top/>
      <bottom style="medium">
        <color indexed="64"/>
      </bottom>
      <diagonal/>
    </border>
    <border>
      <left style="medium">
        <color rgb="FF000000"/>
      </left>
      <right style="thin">
        <color indexed="64"/>
      </right>
      <top/>
      <bottom style="medium">
        <color rgb="FF000000"/>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right style="thin">
        <color rgb="FF000000"/>
      </right>
      <top/>
      <bottom/>
      <diagonal/>
    </border>
    <border>
      <left style="thin">
        <color indexed="64"/>
      </left>
      <right style="thin">
        <color indexed="64"/>
      </right>
      <top style="medium">
        <color indexed="64"/>
      </top>
      <bottom/>
      <diagonal/>
    </border>
    <border>
      <left/>
      <right style="medium">
        <color rgb="FF000000"/>
      </right>
      <top/>
      <bottom style="medium">
        <color rgb="FF000000"/>
      </bottom>
      <diagonal/>
    </border>
    <border>
      <left/>
      <right/>
      <top style="medium">
        <color rgb="FF000000"/>
      </top>
      <bottom/>
      <diagonal/>
    </border>
    <border>
      <left style="medium">
        <color rgb="FF000000"/>
      </left>
      <right style="thin">
        <color indexed="64"/>
      </right>
      <top style="thin">
        <color indexed="64"/>
      </top>
      <bottom style="thin">
        <color rgb="FF000000"/>
      </bottom>
      <diagonal/>
    </border>
    <border>
      <left style="thin">
        <color indexed="64"/>
      </left>
      <right style="medium">
        <color rgb="FF000000"/>
      </right>
      <top style="thin">
        <color indexed="64"/>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bottom style="medium">
        <color rgb="FF000000"/>
      </bottom>
      <diagonal/>
    </border>
    <border>
      <left style="medium">
        <color rgb="FF000000"/>
      </left>
      <right/>
      <top/>
      <bottom style="thin">
        <color rgb="FF000000"/>
      </bottom>
      <diagonal/>
    </border>
    <border>
      <left style="medium">
        <color indexed="64"/>
      </left>
      <right style="thin">
        <color indexed="64"/>
      </right>
      <top/>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indexed="64"/>
      </right>
      <top/>
      <bottom style="medium">
        <color rgb="FF000000"/>
      </bottom>
      <diagonal/>
    </border>
    <border>
      <left style="thin">
        <color indexed="64"/>
      </left>
      <right style="medium">
        <color rgb="FF000000"/>
      </right>
      <top/>
      <bottom/>
      <diagonal/>
    </border>
    <border>
      <left style="thin">
        <color indexed="64"/>
      </left>
      <right style="thin">
        <color indexed="64"/>
      </right>
      <top style="thin">
        <color indexed="64"/>
      </top>
      <bottom style="thin">
        <color rgb="FF000000"/>
      </bottom>
      <diagonal/>
    </border>
    <border>
      <left style="thin">
        <color indexed="64"/>
      </left>
      <right style="medium">
        <color rgb="FF000000"/>
      </right>
      <top/>
      <bottom style="thin">
        <color rgb="FF000000"/>
      </bottom>
      <diagonal/>
    </border>
    <border>
      <left style="medium">
        <color rgb="FF000000"/>
      </left>
      <right/>
      <top style="thin">
        <color indexed="64"/>
      </top>
      <bottom style="thin">
        <color rgb="FF000000"/>
      </bottom>
      <diagonal/>
    </border>
    <border>
      <left style="medium">
        <color rgb="FF000000"/>
      </left>
      <right style="thin">
        <color indexed="64"/>
      </right>
      <top/>
      <bottom/>
      <diagonal/>
    </border>
  </borders>
  <cellStyleXfs count="26">
    <xf numFmtId="0" fontId="0" fillId="0" borderId="0"/>
    <xf numFmtId="9" fontId="4" fillId="0" borderId="0" applyFont="0" applyFill="0" applyBorder="0" applyAlignment="0" applyProtection="0"/>
    <xf numFmtId="0" fontId="3" fillId="0" borderId="0"/>
    <xf numFmtId="0" fontId="5" fillId="0" borderId="0"/>
    <xf numFmtId="0" fontId="6" fillId="0" borderId="0" applyNumberForma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7" fillId="2" borderId="0" applyNumberFormat="0" applyBorder="0" applyAlignment="0" applyProtection="0"/>
    <xf numFmtId="0" fontId="4"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0" fontId="8" fillId="0" borderId="0"/>
    <xf numFmtId="0" fontId="9"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11" fillId="0" borderId="0"/>
    <xf numFmtId="43" fontId="5"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0" fontId="90" fillId="0" borderId="0"/>
    <xf numFmtId="0" fontId="1" fillId="0" borderId="0"/>
  </cellStyleXfs>
  <cellXfs count="1298">
    <xf numFmtId="0" fontId="0" fillId="0" borderId="0" xfId="0"/>
    <xf numFmtId="0" fontId="12" fillId="0" borderId="0" xfId="0" applyFont="1"/>
    <xf numFmtId="0" fontId="15" fillId="11" borderId="0" xfId="0" applyFont="1" applyFill="1" applyAlignment="1" applyProtection="1">
      <alignment vertical="top"/>
      <protection locked="0"/>
    </xf>
    <xf numFmtId="0" fontId="2" fillId="0" borderId="0" xfId="0" applyFont="1"/>
    <xf numFmtId="0" fontId="18" fillId="11" borderId="0" xfId="0" applyFont="1" applyFill="1" applyAlignment="1" applyProtection="1">
      <alignment vertical="top"/>
      <protection locked="0"/>
    </xf>
    <xf numFmtId="0" fontId="19" fillId="9" borderId="2" xfId="0" applyFont="1" applyFill="1" applyBorder="1" applyAlignment="1">
      <alignment horizontal="left" vertical="top" wrapText="1"/>
    </xf>
    <xf numFmtId="0" fontId="14" fillId="0" borderId="0" xfId="0" applyFont="1" applyAlignment="1">
      <alignment vertical="top"/>
    </xf>
    <xf numFmtId="0" fontId="2" fillId="0" borderId="0" xfId="0" applyFont="1" applyAlignment="1">
      <alignment vertical="top"/>
    </xf>
    <xf numFmtId="0" fontId="21" fillId="9" borderId="9" xfId="0" applyFont="1" applyFill="1" applyBorder="1" applyAlignment="1">
      <alignment horizontal="center" vertical="center" wrapText="1"/>
    </xf>
    <xf numFmtId="0" fontId="15" fillId="0" borderId="0" xfId="0" applyFont="1" applyAlignment="1" applyProtection="1">
      <alignment vertical="top"/>
      <protection locked="0"/>
    </xf>
    <xf numFmtId="0" fontId="6" fillId="0" borderId="0" xfId="4" applyFill="1" applyBorder="1" applyAlignment="1"/>
    <xf numFmtId="0" fontId="6" fillId="0" borderId="0" xfId="4" applyFill="1" applyBorder="1"/>
    <xf numFmtId="0" fontId="6" fillId="0" borderId="19" xfId="4" applyBorder="1" applyAlignment="1">
      <alignment horizontal="left"/>
    </xf>
    <xf numFmtId="0" fontId="6" fillId="0" borderId="11" xfId="4" applyBorder="1" applyAlignment="1">
      <alignment horizontal="left" vertical="top" wrapText="1"/>
    </xf>
    <xf numFmtId="0" fontId="6" fillId="0" borderId="11" xfId="4" applyBorder="1" applyAlignment="1">
      <alignment horizontal="left"/>
    </xf>
    <xf numFmtId="0" fontId="1" fillId="0" borderId="0" xfId="0" applyFont="1"/>
    <xf numFmtId="0" fontId="1" fillId="0" borderId="0" xfId="0" applyFont="1" applyAlignment="1">
      <alignment vertical="top"/>
    </xf>
    <xf numFmtId="0" fontId="1" fillId="0" borderId="8" xfId="0" applyFont="1" applyBorder="1" applyAlignment="1">
      <alignment horizontal="center" vertical="top"/>
    </xf>
    <xf numFmtId="0" fontId="1" fillId="0" borderId="10" xfId="0" applyFont="1" applyBorder="1" applyAlignment="1">
      <alignment horizontal="left"/>
    </xf>
    <xf numFmtId="0" fontId="1" fillId="0" borderId="8" xfId="0" applyFont="1" applyBorder="1" applyAlignment="1">
      <alignment horizontal="center"/>
    </xf>
    <xf numFmtId="0" fontId="1" fillId="0" borderId="8" xfId="0" applyFont="1" applyBorder="1"/>
    <xf numFmtId="0" fontId="1" fillId="0" borderId="20" xfId="0" applyFont="1" applyBorder="1" applyAlignment="1">
      <alignment horizontal="center"/>
    </xf>
    <xf numFmtId="0" fontId="1" fillId="0" borderId="10" xfId="0" applyFont="1" applyBorder="1" applyAlignment="1">
      <alignment horizontal="center"/>
    </xf>
    <xf numFmtId="0" fontId="1" fillId="11" borderId="0" xfId="0" applyFont="1" applyFill="1"/>
    <xf numFmtId="0" fontId="12" fillId="0" borderId="0" xfId="0" applyFont="1" applyAlignment="1">
      <alignment vertical="top"/>
    </xf>
    <xf numFmtId="0" fontId="10" fillId="0" borderId="2" xfId="0" applyFont="1" applyBorder="1" applyAlignment="1">
      <alignment horizontal="left" vertical="top" wrapText="1"/>
    </xf>
    <xf numFmtId="0" fontId="10" fillId="0" borderId="8" xfId="0" applyFont="1" applyBorder="1" applyAlignment="1">
      <alignment horizontal="left" vertical="top" wrapText="1"/>
    </xf>
    <xf numFmtId="0" fontId="10" fillId="0" borderId="10" xfId="0" applyFont="1" applyBorder="1" applyAlignment="1">
      <alignment horizontal="left" vertical="top" wrapText="1"/>
    </xf>
    <xf numFmtId="0" fontId="17" fillId="11" borderId="0" xfId="0" applyFont="1" applyFill="1" applyAlignment="1" applyProtection="1">
      <alignment horizontal="left" vertical="center" wrapText="1"/>
      <protection locked="0"/>
    </xf>
    <xf numFmtId="0" fontId="23" fillId="15" borderId="0" xfId="0" applyFont="1" applyFill="1" applyAlignment="1" applyProtection="1">
      <alignment vertical="top"/>
      <protection locked="0"/>
    </xf>
    <xf numFmtId="0" fontId="25" fillId="15" borderId="0" xfId="0" applyFont="1" applyFill="1" applyAlignment="1" applyProtection="1">
      <alignment vertical="top"/>
      <protection locked="0"/>
    </xf>
    <xf numFmtId="0" fontId="26" fillId="0" borderId="0" xfId="0" applyFont="1"/>
    <xf numFmtId="0" fontId="23" fillId="9" borderId="1" xfId="0" applyFont="1" applyFill="1" applyBorder="1" applyAlignment="1">
      <alignment horizontal="center" vertical="center" wrapText="1"/>
    </xf>
    <xf numFmtId="0" fontId="33" fillId="0" borderId="0" xfId="0" applyFont="1"/>
    <xf numFmtId="0" fontId="29" fillId="0" borderId="0" xfId="0" applyFont="1"/>
    <xf numFmtId="0" fontId="35" fillId="0" borderId="1" xfId="0" applyFont="1" applyBorder="1" applyAlignment="1">
      <alignment horizontal="left" vertical="center" wrapText="1"/>
    </xf>
    <xf numFmtId="0" fontId="39" fillId="9" borderId="1" xfId="0" applyFont="1" applyFill="1" applyBorder="1" applyAlignment="1">
      <alignment horizontal="center" vertical="top" wrapText="1"/>
    </xf>
    <xf numFmtId="0" fontId="25" fillId="9" borderId="1" xfId="0" applyFont="1" applyFill="1" applyBorder="1" applyAlignment="1">
      <alignment horizontal="center" vertical="top" wrapText="1"/>
    </xf>
    <xf numFmtId="0" fontId="33" fillId="0" borderId="0" xfId="0" applyFont="1" applyAlignment="1">
      <alignment vertical="top"/>
    </xf>
    <xf numFmtId="0" fontId="36" fillId="8" borderId="1" xfId="0" applyFont="1" applyFill="1" applyBorder="1" applyAlignment="1">
      <alignment horizontal="left" vertical="center" wrapText="1"/>
    </xf>
    <xf numFmtId="0" fontId="41" fillId="8" borderId="1" xfId="0" applyFont="1" applyFill="1" applyBorder="1" applyAlignment="1">
      <alignment horizontal="center" vertical="center" wrapText="1"/>
    </xf>
    <xf numFmtId="0" fontId="35" fillId="8" borderId="1" xfId="0" applyFont="1" applyFill="1" applyBorder="1" applyAlignment="1">
      <alignment horizontal="center" vertical="center" wrapText="1"/>
    </xf>
    <xf numFmtId="0" fontId="31" fillId="9" borderId="1" xfId="0" applyFont="1" applyFill="1" applyBorder="1" applyAlignment="1">
      <alignment horizontal="center" vertical="center"/>
    </xf>
    <xf numFmtId="0" fontId="40" fillId="4" borderId="1"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3" fontId="26" fillId="0" borderId="1" xfId="15" applyNumberFormat="1" applyFont="1" applyBorder="1" applyAlignment="1">
      <alignment horizontal="center" vertical="center"/>
    </xf>
    <xf numFmtId="3" fontId="26" fillId="5" borderId="1" xfId="15" applyNumberFormat="1" applyFont="1" applyFill="1" applyBorder="1" applyAlignment="1">
      <alignment horizontal="center" vertical="center"/>
    </xf>
    <xf numFmtId="0" fontId="45" fillId="0" borderId="0" xfId="0" applyFont="1"/>
    <xf numFmtId="0" fontId="42" fillId="0" borderId="0" xfId="0" applyFont="1"/>
    <xf numFmtId="0" fontId="40" fillId="4" borderId="7" xfId="0" applyFont="1" applyFill="1" applyBorder="1" applyAlignment="1">
      <alignment horizontal="left" vertical="center" wrapText="1"/>
    </xf>
    <xf numFmtId="3" fontId="26" fillId="5" borderId="1" xfId="0" applyNumberFormat="1" applyFont="1" applyFill="1" applyBorder="1" applyAlignment="1">
      <alignment horizontal="center" vertical="center"/>
    </xf>
    <xf numFmtId="0" fontId="46" fillId="15" borderId="0" xfId="0" applyFont="1" applyFill="1" applyAlignment="1" applyProtection="1">
      <alignment vertical="top"/>
      <protection locked="0"/>
    </xf>
    <xf numFmtId="0" fontId="49" fillId="0" borderId="1" xfId="0" applyFont="1" applyBorder="1" applyAlignment="1">
      <alignment horizontal="left"/>
    </xf>
    <xf numFmtId="0" fontId="26" fillId="0" borderId="1" xfId="0" applyFont="1" applyBorder="1" applyAlignment="1">
      <alignment horizontal="left" vertical="center" wrapText="1"/>
    </xf>
    <xf numFmtId="0" fontId="28" fillId="15" borderId="0" xfId="0" applyFont="1" applyFill="1" applyAlignment="1" applyProtection="1">
      <alignment vertical="top"/>
      <protection locked="0"/>
    </xf>
    <xf numFmtId="0" fontId="39" fillId="9" borderId="1" xfId="0" applyFont="1" applyFill="1" applyBorder="1" applyAlignment="1">
      <alignment horizontal="left" vertical="center" wrapText="1"/>
    </xf>
    <xf numFmtId="0" fontId="50" fillId="0" borderId="1" xfId="0" applyFont="1" applyBorder="1" applyAlignment="1">
      <alignment horizontal="left" vertical="center" wrapText="1"/>
    </xf>
    <xf numFmtId="0" fontId="39" fillId="9" borderId="7" xfId="0" applyFont="1" applyFill="1" applyBorder="1" applyAlignment="1">
      <alignment horizontal="left" vertical="top" wrapText="1"/>
    </xf>
    <xf numFmtId="0" fontId="47" fillId="0" borderId="1" xfId="0" applyFont="1" applyBorder="1" applyAlignment="1">
      <alignment horizontal="left"/>
    </xf>
    <xf numFmtId="0" fontId="42" fillId="0" borderId="0" xfId="0" applyFont="1" applyAlignment="1">
      <alignment vertical="top"/>
    </xf>
    <xf numFmtId="0" fontId="34" fillId="0" borderId="1" xfId="0" applyFont="1" applyBorder="1" applyAlignment="1">
      <alignment horizontal="left" vertical="center" wrapText="1"/>
    </xf>
    <xf numFmtId="168" fontId="26" fillId="0" borderId="1" xfId="0" applyNumberFormat="1" applyFont="1" applyBorder="1" applyAlignment="1">
      <alignment horizontal="center" vertical="center"/>
    </xf>
    <xf numFmtId="168" fontId="26" fillId="0" borderId="7" xfId="0" applyNumberFormat="1" applyFont="1" applyBorder="1" applyAlignment="1">
      <alignment horizontal="center" vertical="center"/>
    </xf>
    <xf numFmtId="0" fontId="40" fillId="0" borderId="1" xfId="0" applyFont="1" applyBorder="1" applyAlignment="1">
      <alignment horizontal="left" vertical="center" wrapText="1"/>
    </xf>
    <xf numFmtId="0" fontId="47" fillId="0" borderId="1" xfId="15" applyFont="1" applyBorder="1" applyAlignment="1">
      <alignment horizontal="left"/>
    </xf>
    <xf numFmtId="0" fontId="47" fillId="0" borderId="21" xfId="15" applyFont="1" applyBorder="1" applyAlignment="1">
      <alignment horizontal="left"/>
    </xf>
    <xf numFmtId="0" fontId="55" fillId="15" borderId="0" xfId="0" applyFont="1" applyFill="1"/>
    <xf numFmtId="0" fontId="26" fillId="15" borderId="0" xfId="0" applyFont="1" applyFill="1"/>
    <xf numFmtId="0" fontId="26" fillId="15" borderId="0" xfId="0" applyFont="1" applyFill="1" applyAlignment="1">
      <alignment horizontal="left"/>
    </xf>
    <xf numFmtId="171" fontId="26" fillId="15" borderId="0" xfId="0" applyNumberFormat="1" applyFont="1" applyFill="1" applyAlignment="1">
      <alignment horizontal="center" vertical="center"/>
    </xf>
    <xf numFmtId="174" fontId="27" fillId="15" borderId="0" xfId="0" applyNumberFormat="1" applyFont="1" applyFill="1" applyAlignment="1">
      <alignment horizontal="center" vertical="center"/>
    </xf>
    <xf numFmtId="0" fontId="31" fillId="15" borderId="0" xfId="15" applyFont="1" applyFill="1" applyAlignment="1">
      <alignment horizontal="left"/>
    </xf>
    <xf numFmtId="0" fontId="47" fillId="0" borderId="1" xfId="4" applyFont="1" applyBorder="1" applyAlignment="1">
      <alignment horizontal="left" vertical="center" wrapText="1"/>
    </xf>
    <xf numFmtId="0" fontId="37" fillId="8" borderId="1" xfId="0" applyFont="1" applyFill="1" applyBorder="1" applyAlignment="1" applyProtection="1">
      <alignment horizontal="center" vertical="center" wrapText="1"/>
      <protection locked="0"/>
    </xf>
    <xf numFmtId="0" fontId="39" fillId="9" borderId="4" xfId="0" applyFont="1" applyFill="1" applyBorder="1" applyAlignment="1">
      <alignment horizontal="left" vertical="center" wrapText="1"/>
    </xf>
    <xf numFmtId="0" fontId="54" fillId="9" borderId="1" xfId="0" applyFont="1" applyFill="1" applyBorder="1" applyAlignment="1">
      <alignment horizontal="center" vertical="center"/>
    </xf>
    <xf numFmtId="0" fontId="56" fillId="15" borderId="0" xfId="0" applyFont="1" applyFill="1" applyAlignment="1" applyProtection="1">
      <alignment vertical="top"/>
      <protection locked="0"/>
    </xf>
    <xf numFmtId="0" fontId="56" fillId="9" borderId="1" xfId="0" applyFont="1" applyFill="1" applyBorder="1" applyAlignment="1">
      <alignment horizontal="center" vertical="center" wrapText="1"/>
    </xf>
    <xf numFmtId="0" fontId="56" fillId="9" borderId="1" xfId="0" applyFont="1" applyFill="1" applyBorder="1" applyAlignment="1">
      <alignment horizontal="center" vertical="center"/>
    </xf>
    <xf numFmtId="0" fontId="55" fillId="15" borderId="0" xfId="0" applyFont="1" applyFill="1" applyAlignment="1" applyProtection="1">
      <alignment vertical="top" wrapText="1"/>
      <protection locked="0"/>
    </xf>
    <xf numFmtId="0" fontId="54" fillId="9" borderId="8" xfId="0" applyFont="1" applyFill="1" applyBorder="1" applyAlignment="1">
      <alignment horizontal="center" vertical="center"/>
    </xf>
    <xf numFmtId="0" fontId="31" fillId="9" borderId="4" xfId="0" applyFont="1" applyFill="1" applyBorder="1" applyAlignment="1">
      <alignment horizontal="center" vertical="center"/>
    </xf>
    <xf numFmtId="0" fontId="40" fillId="4" borderId="1" xfId="0" applyFont="1" applyFill="1" applyBorder="1" applyAlignment="1">
      <alignment horizontal="left" vertical="center"/>
    </xf>
    <xf numFmtId="0" fontId="26" fillId="0" borderId="7" xfId="0" applyFont="1" applyBorder="1" applyAlignment="1">
      <alignment horizontal="left" vertical="center" wrapText="1"/>
    </xf>
    <xf numFmtId="0" fontId="30" fillId="15" borderId="0" xfId="0" applyFont="1" applyFill="1" applyAlignment="1" applyProtection="1">
      <alignment vertical="top"/>
      <protection locked="0"/>
    </xf>
    <xf numFmtId="0" fontId="33" fillId="0" borderId="1" xfId="0" applyFont="1" applyBorder="1" applyAlignment="1">
      <alignment vertical="center"/>
    </xf>
    <xf numFmtId="0" fontId="6" fillId="0" borderId="1" xfId="4" applyBorder="1" applyAlignment="1">
      <alignment vertical="center"/>
    </xf>
    <xf numFmtId="166" fontId="35" fillId="0" borderId="21" xfId="0" applyNumberFormat="1" applyFont="1" applyBorder="1" applyAlignment="1">
      <alignment horizontal="center" vertical="top" wrapText="1"/>
    </xf>
    <xf numFmtId="0" fontId="31" fillId="15" borderId="0" xfId="0" applyFont="1" applyFill="1" applyAlignment="1" applyProtection="1">
      <alignment vertical="top"/>
      <protection locked="0"/>
    </xf>
    <xf numFmtId="0" fontId="41" fillId="8" borderId="4" xfId="0" applyFont="1" applyFill="1" applyBorder="1" applyAlignment="1">
      <alignment horizontal="center" vertical="center" wrapText="1"/>
    </xf>
    <xf numFmtId="0" fontId="51" fillId="15" borderId="0" xfId="0" applyFont="1" applyFill="1" applyAlignment="1" applyProtection="1">
      <alignment vertical="top"/>
      <protection locked="0"/>
    </xf>
    <xf numFmtId="0" fontId="56" fillId="9" borderId="4" xfId="0" applyFont="1" applyFill="1" applyBorder="1" applyAlignment="1">
      <alignment horizontal="center" vertical="center" wrapText="1"/>
    </xf>
    <xf numFmtId="0" fontId="50" fillId="0" borderId="2" xfId="0" applyFont="1" applyBorder="1" applyAlignment="1">
      <alignment horizontal="left" vertical="top" wrapText="1"/>
    </xf>
    <xf numFmtId="0" fontId="47" fillId="0" borderId="2" xfId="0" applyFont="1" applyBorder="1" applyAlignment="1" applyProtection="1">
      <alignment horizontal="left" vertical="top" wrapText="1"/>
      <protection locked="0"/>
    </xf>
    <xf numFmtId="0" fontId="54" fillId="9" borderId="11" xfId="0" applyFont="1" applyFill="1" applyBorder="1" applyAlignment="1">
      <alignment horizontal="center" vertical="center"/>
    </xf>
    <xf numFmtId="166" fontId="35" fillId="0" borderId="1" xfId="0" applyNumberFormat="1" applyFont="1" applyBorder="1" applyAlignment="1">
      <alignment horizontal="center" vertical="top" wrapText="1"/>
    </xf>
    <xf numFmtId="0" fontId="47" fillId="5" borderId="2" xfId="0" applyFont="1" applyFill="1" applyBorder="1" applyAlignment="1">
      <alignment horizontal="left" vertical="top"/>
    </xf>
    <xf numFmtId="0" fontId="47" fillId="4" borderId="12" xfId="0" applyFont="1" applyFill="1" applyBorder="1" applyAlignment="1">
      <alignment horizontal="left" vertical="center" wrapText="1"/>
    </xf>
    <xf numFmtId="0" fontId="47" fillId="5" borderId="2" xfId="15" applyFont="1" applyFill="1" applyBorder="1" applyAlignment="1">
      <alignment horizontal="left"/>
    </xf>
    <xf numFmtId="0" fontId="40" fillId="4" borderId="2" xfId="0" applyFont="1" applyFill="1" applyBorder="1" applyAlignment="1">
      <alignment horizontal="left" vertical="center" wrapText="1"/>
    </xf>
    <xf numFmtId="0" fontId="39" fillId="9" borderId="2" xfId="0" applyFont="1" applyFill="1" applyBorder="1" applyAlignment="1">
      <alignment horizontal="left" vertical="center" wrapText="1"/>
    </xf>
    <xf numFmtId="0" fontId="50" fillId="0" borderId="2" xfId="0" applyFont="1" applyBorder="1" applyAlignment="1">
      <alignment horizontal="left"/>
    </xf>
    <xf numFmtId="0" fontId="50" fillId="0" borderId="12" xfId="0" applyFont="1" applyBorder="1" applyAlignment="1">
      <alignment horizontal="left"/>
    </xf>
    <xf numFmtId="0" fontId="35" fillId="0" borderId="21" xfId="0" applyFont="1" applyBorder="1" applyAlignment="1">
      <alignment horizontal="center" vertical="top" wrapText="1"/>
    </xf>
    <xf numFmtId="0" fontId="47" fillId="0" borderId="12" xfId="0" applyFont="1" applyBorder="1" applyAlignment="1">
      <alignment horizontal="left" vertical="top"/>
    </xf>
    <xf numFmtId="0" fontId="23" fillId="9" borderId="2" xfId="0" applyFont="1" applyFill="1" applyBorder="1" applyAlignment="1">
      <alignment horizontal="center" vertical="center" wrapText="1"/>
    </xf>
    <xf numFmtId="0" fontId="54" fillId="9" borderId="4" xfId="0" applyFont="1" applyFill="1" applyBorder="1" applyAlignment="1">
      <alignment horizontal="left" vertical="center" wrapText="1"/>
    </xf>
    <xf numFmtId="0" fontId="48" fillId="7" borderId="4" xfId="0" applyFont="1" applyFill="1" applyBorder="1"/>
    <xf numFmtId="0" fontId="35" fillId="6" borderId="1" xfId="0" applyFont="1" applyFill="1" applyBorder="1" applyAlignment="1" applyProtection="1">
      <alignment horizontal="center" vertical="center" wrapText="1"/>
      <protection locked="0"/>
    </xf>
    <xf numFmtId="0" fontId="35" fillId="6" borderId="1" xfId="5" applyNumberFormat="1" applyFont="1" applyFill="1" applyBorder="1" applyAlignment="1" applyProtection="1">
      <alignment horizontal="center" vertical="center" wrapText="1"/>
      <protection locked="0"/>
    </xf>
    <xf numFmtId="0" fontId="34" fillId="6" borderId="1" xfId="0" applyFont="1" applyFill="1" applyBorder="1" applyAlignment="1" applyProtection="1">
      <alignment horizontal="center" vertical="center" wrapText="1"/>
      <protection locked="0"/>
    </xf>
    <xf numFmtId="0" fontId="35" fillId="6" borderId="2" xfId="0" applyFont="1" applyFill="1" applyBorder="1" applyAlignment="1" applyProtection="1">
      <alignment horizontal="center" vertical="center" wrapText="1"/>
      <protection locked="0"/>
    </xf>
    <xf numFmtId="0" fontId="35" fillId="6" borderId="2" xfId="5" applyNumberFormat="1" applyFont="1" applyFill="1" applyBorder="1" applyAlignment="1" applyProtection="1">
      <alignment horizontal="center" vertical="center" wrapText="1"/>
      <protection locked="0"/>
    </xf>
    <xf numFmtId="2" fontId="34" fillId="13" borderId="1" xfId="0" applyNumberFormat="1" applyFont="1" applyFill="1" applyBorder="1" applyAlignment="1">
      <alignment horizontal="center" vertical="center"/>
    </xf>
    <xf numFmtId="0" fontId="26" fillId="6" borderId="1" xfId="0" applyFont="1" applyFill="1" applyBorder="1" applyAlignment="1" applyProtection="1">
      <alignment horizontal="center" vertical="center" wrapText="1"/>
      <protection locked="0"/>
    </xf>
    <xf numFmtId="177" fontId="44" fillId="0" borderId="1" xfId="0" applyNumberFormat="1" applyFont="1" applyBorder="1" applyAlignment="1">
      <alignment horizontal="center" vertical="center"/>
    </xf>
    <xf numFmtId="0" fontId="46" fillId="15" borderId="0" xfId="0" applyFont="1" applyFill="1" applyAlignment="1">
      <alignment horizontal="left" vertical="center"/>
    </xf>
    <xf numFmtId="0" fontId="46" fillId="9" borderId="1" xfId="0" applyFont="1" applyFill="1" applyBorder="1" applyAlignment="1">
      <alignment horizontal="center" vertical="top" wrapText="1"/>
    </xf>
    <xf numFmtId="0" fontId="46" fillId="9" borderId="7" xfId="0" applyFont="1" applyFill="1" applyBorder="1" applyAlignment="1">
      <alignment horizontal="center" vertical="top" wrapText="1"/>
    </xf>
    <xf numFmtId="0" fontId="46" fillId="9" borderId="12" xfId="0" applyFont="1" applyFill="1" applyBorder="1" applyAlignment="1">
      <alignment horizontal="center" vertical="top" wrapText="1"/>
    </xf>
    <xf numFmtId="0" fontId="10" fillId="0" borderId="8" xfId="0" applyFont="1" applyBorder="1" applyAlignment="1">
      <alignment horizontal="center" vertical="top" wrapText="1"/>
    </xf>
    <xf numFmtId="0" fontId="39" fillId="9" borderId="7" xfId="0" applyFont="1" applyFill="1" applyBorder="1" applyAlignment="1">
      <alignment horizontal="left" vertical="center" wrapText="1"/>
    </xf>
    <xf numFmtId="0" fontId="30" fillId="17" borderId="37" xfId="0" applyFont="1" applyFill="1" applyBorder="1" applyAlignment="1">
      <alignment horizontal="left" vertical="center" wrapText="1"/>
    </xf>
    <xf numFmtId="0" fontId="50" fillId="0" borderId="1" xfId="0" applyFont="1" applyBorder="1" applyAlignment="1">
      <alignment horizontal="left"/>
    </xf>
    <xf numFmtId="173" fontId="29" fillId="12" borderId="7" xfId="15" applyNumberFormat="1" applyFont="1" applyFill="1" applyBorder="1" applyAlignment="1">
      <alignment horizontal="center" vertical="center"/>
    </xf>
    <xf numFmtId="0" fontId="60" fillId="15" borderId="0" xfId="0" applyFont="1" applyFill="1" applyAlignment="1" applyProtection="1">
      <alignment vertical="top"/>
      <protection locked="0"/>
    </xf>
    <xf numFmtId="173" fontId="44" fillId="12" borderId="1" xfId="0" applyNumberFormat="1" applyFont="1" applyFill="1" applyBorder="1" applyAlignment="1">
      <alignment horizontal="center" vertical="center"/>
    </xf>
    <xf numFmtId="168" fontId="26" fillId="0" borderId="21" xfId="0" applyNumberFormat="1" applyFont="1" applyBorder="1" applyAlignment="1">
      <alignment horizontal="center" vertical="center"/>
    </xf>
    <xf numFmtId="0" fontId="47" fillId="4" borderId="5" xfId="0" applyFont="1" applyFill="1" applyBorder="1" applyAlignment="1">
      <alignment horizontal="left" vertical="center" wrapText="1"/>
    </xf>
    <xf numFmtId="173" fontId="29" fillId="12" borderId="1" xfId="0" applyNumberFormat="1" applyFont="1" applyFill="1" applyBorder="1" applyAlignment="1">
      <alignment horizontal="center" vertical="center"/>
    </xf>
    <xf numFmtId="170" fontId="26" fillId="5" borderId="7" xfId="1" applyNumberFormat="1" applyFont="1" applyFill="1" applyBorder="1" applyAlignment="1">
      <alignment horizontal="center" vertical="center"/>
    </xf>
    <xf numFmtId="0" fontId="47" fillId="5" borderId="1" xfId="0" applyFont="1" applyFill="1" applyBorder="1" applyAlignment="1">
      <alignment horizontal="left"/>
    </xf>
    <xf numFmtId="175" fontId="40" fillId="5" borderId="1" xfId="1" applyNumberFormat="1" applyFont="1" applyFill="1" applyBorder="1" applyAlignment="1">
      <alignment horizontal="center" vertical="center"/>
    </xf>
    <xf numFmtId="175" fontId="26" fillId="5" borderId="1" xfId="1" applyNumberFormat="1" applyFont="1" applyFill="1" applyBorder="1" applyAlignment="1">
      <alignment horizontal="center" vertical="center"/>
    </xf>
    <xf numFmtId="175" fontId="40" fillId="5" borderId="21" xfId="1" applyNumberFormat="1" applyFont="1" applyFill="1" applyBorder="1" applyAlignment="1">
      <alignment horizontal="center" vertical="center"/>
    </xf>
    <xf numFmtId="0" fontId="47" fillId="5" borderId="9" xfId="0" applyFont="1" applyFill="1" applyBorder="1" applyAlignment="1">
      <alignment horizontal="left"/>
    </xf>
    <xf numFmtId="0" fontId="55" fillId="15" borderId="0" xfId="0" applyFont="1" applyFill="1" applyAlignment="1" applyProtection="1">
      <alignment vertical="top"/>
      <protection locked="0"/>
    </xf>
    <xf numFmtId="0" fontId="46" fillId="4" borderId="1" xfId="0" applyFont="1" applyFill="1" applyBorder="1" applyAlignment="1">
      <alignment horizontal="left" vertical="center"/>
    </xf>
    <xf numFmtId="0" fontId="50" fillId="0" borderId="21" xfId="0" applyFont="1" applyBorder="1" applyAlignment="1">
      <alignment horizontal="left"/>
    </xf>
    <xf numFmtId="0" fontId="47" fillId="0" borderId="21" xfId="0" applyFont="1" applyBorder="1" applyAlignment="1">
      <alignment horizontal="left" vertical="center"/>
    </xf>
    <xf numFmtId="0" fontId="47" fillId="4" borderId="7" xfId="0" applyFont="1" applyFill="1" applyBorder="1" applyAlignment="1">
      <alignment horizontal="left" vertical="center" wrapText="1"/>
    </xf>
    <xf numFmtId="0" fontId="50" fillId="0" borderId="7" xfId="0" applyFont="1" applyBorder="1" applyAlignment="1">
      <alignment horizontal="left"/>
    </xf>
    <xf numFmtId="175" fontId="26" fillId="0" borderId="1" xfId="1" applyNumberFormat="1" applyFont="1" applyFill="1" applyBorder="1" applyAlignment="1">
      <alignment horizontal="center" vertical="center"/>
    </xf>
    <xf numFmtId="175" fontId="26" fillId="0" borderId="9" xfId="1" applyNumberFormat="1" applyFont="1" applyFill="1" applyBorder="1" applyAlignment="1">
      <alignment horizontal="center" vertical="center"/>
    </xf>
    <xf numFmtId="0" fontId="47" fillId="0" borderId="7" xfId="0" applyFont="1" applyBorder="1" applyAlignment="1">
      <alignment horizontal="left"/>
    </xf>
    <xf numFmtId="3" fontId="26" fillId="0" borderId="7" xfId="0" applyNumberFormat="1" applyFont="1" applyBorder="1" applyAlignment="1">
      <alignment horizontal="center" vertical="center"/>
    </xf>
    <xf numFmtId="0" fontId="64" fillId="15" borderId="0" xfId="0" applyFont="1" applyFill="1" applyAlignment="1" applyProtection="1">
      <alignment vertical="top"/>
      <protection locked="0"/>
    </xf>
    <xf numFmtId="0" fontId="26" fillId="5" borderId="1" xfId="15" applyFont="1" applyFill="1" applyBorder="1" applyAlignment="1">
      <alignment horizontal="left" vertical="center"/>
    </xf>
    <xf numFmtId="0" fontId="65" fillId="15" borderId="0" xfId="0" applyFont="1" applyFill="1" applyAlignment="1" applyProtection="1">
      <alignment vertical="top"/>
      <protection locked="0"/>
    </xf>
    <xf numFmtId="0" fontId="66" fillId="15" borderId="0" xfId="0" applyFont="1" applyFill="1" applyAlignment="1" applyProtection="1">
      <alignment vertical="top"/>
      <protection locked="0"/>
    </xf>
    <xf numFmtId="0" fontId="66" fillId="15" borderId="0" xfId="0" applyFont="1" applyFill="1" applyAlignment="1" applyProtection="1">
      <alignment vertical="top" wrapText="1"/>
      <protection locked="0"/>
    </xf>
    <xf numFmtId="0" fontId="65" fillId="15" borderId="0" xfId="0" applyFont="1" applyFill="1" applyAlignment="1" applyProtection="1">
      <alignment vertical="top" wrapText="1"/>
      <protection locked="0"/>
    </xf>
    <xf numFmtId="0" fontId="67" fillId="15" borderId="0" xfId="0" applyFont="1" applyFill="1"/>
    <xf numFmtId="175" fontId="29" fillId="12" borderId="1" xfId="1" applyNumberFormat="1" applyFont="1" applyFill="1" applyBorder="1" applyAlignment="1">
      <alignment horizontal="center" vertical="center"/>
    </xf>
    <xf numFmtId="175" fontId="29" fillId="12" borderId="7" xfId="1" applyNumberFormat="1" applyFont="1" applyFill="1" applyBorder="1" applyAlignment="1">
      <alignment horizontal="center" vertical="center"/>
    </xf>
    <xf numFmtId="3" fontId="29" fillId="12" borderId="1" xfId="15" applyNumberFormat="1" applyFont="1" applyFill="1" applyBorder="1" applyAlignment="1">
      <alignment horizontal="center" vertical="center"/>
    </xf>
    <xf numFmtId="0" fontId="47" fillId="12" borderId="1" xfId="0" applyFont="1" applyFill="1" applyBorder="1" applyAlignment="1">
      <alignment horizontal="left"/>
    </xf>
    <xf numFmtId="0" fontId="47" fillId="5" borderId="1" xfId="0" applyFont="1" applyFill="1" applyBorder="1" applyAlignment="1">
      <alignment horizontal="left" vertical="center"/>
    </xf>
    <xf numFmtId="164" fontId="35" fillId="6" borderId="1" xfId="5" applyNumberFormat="1" applyFont="1" applyFill="1" applyBorder="1" applyAlignment="1" applyProtection="1">
      <alignment horizontal="center" vertical="center" wrapText="1"/>
      <protection locked="0"/>
    </xf>
    <xf numFmtId="164" fontId="26" fillId="4" borderId="1" xfId="0" applyNumberFormat="1" applyFont="1" applyFill="1" applyBorder="1" applyAlignment="1">
      <alignment horizontal="center" vertical="center" wrapText="1"/>
    </xf>
    <xf numFmtId="9" fontId="35" fillId="5" borderId="1" xfId="1" applyFont="1" applyFill="1" applyBorder="1" applyAlignment="1" applyProtection="1">
      <alignment horizontal="center" vertical="top" wrapText="1"/>
    </xf>
    <xf numFmtId="173" fontId="34" fillId="5" borderId="7" xfId="0" applyNumberFormat="1" applyFont="1" applyFill="1" applyBorder="1" applyAlignment="1">
      <alignment horizontal="center" vertical="center"/>
    </xf>
    <xf numFmtId="0" fontId="66"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0" fillId="15" borderId="0" xfId="0" applyFont="1" applyFill="1" applyAlignment="1" applyProtection="1">
      <alignment vertical="center"/>
      <protection locked="0"/>
    </xf>
    <xf numFmtId="0" fontId="0" fillId="0" borderId="0" xfId="0" applyAlignment="1">
      <alignment horizontal="left" vertical="top"/>
    </xf>
    <xf numFmtId="0" fontId="26" fillId="0" borderId="9" xfId="0" applyFont="1" applyBorder="1" applyAlignment="1">
      <alignment horizontal="left" vertical="center" wrapText="1"/>
    </xf>
    <xf numFmtId="0" fontId="31" fillId="15" borderId="0" xfId="15" applyFont="1" applyFill="1" applyAlignment="1">
      <alignment horizontal="left" vertical="center"/>
    </xf>
    <xf numFmtId="0" fontId="34" fillId="0" borderId="1" xfId="0" applyFont="1" applyBorder="1" applyAlignment="1">
      <alignment horizontal="left" vertical="center"/>
    </xf>
    <xf numFmtId="0" fontId="34" fillId="0" borderId="7" xfId="0" applyFont="1" applyBorder="1" applyAlignment="1">
      <alignment horizontal="left" vertical="center" wrapText="1"/>
    </xf>
    <xf numFmtId="0" fontId="34" fillId="0" borderId="7" xfId="0" applyFont="1" applyBorder="1" applyAlignment="1">
      <alignment horizontal="left" vertical="center"/>
    </xf>
    <xf numFmtId="0" fontId="26" fillId="0" borderId="1" xfId="15" applyFont="1" applyBorder="1" applyAlignment="1">
      <alignment horizontal="left" vertical="center" wrapText="1"/>
    </xf>
    <xf numFmtId="0" fontId="26" fillId="0" borderId="9" xfId="15" applyFont="1" applyBorder="1" applyAlignment="1">
      <alignment horizontal="left" vertical="center" wrapText="1"/>
    </xf>
    <xf numFmtId="0" fontId="29" fillId="0" borderId="7" xfId="15" applyFont="1" applyBorder="1" applyAlignment="1">
      <alignment horizontal="left" vertical="center" wrapText="1"/>
    </xf>
    <xf numFmtId="0" fontId="26" fillId="0" borderId="1" xfId="15" applyFont="1" applyBorder="1" applyAlignment="1">
      <alignment horizontal="left" vertical="center"/>
    </xf>
    <xf numFmtId="0" fontId="26" fillId="0" borderId="21" xfId="15" applyFont="1" applyBorder="1" applyAlignment="1">
      <alignment horizontal="left" vertical="center"/>
    </xf>
    <xf numFmtId="0" fontId="29" fillId="12" borderId="1" xfId="15" applyFont="1" applyFill="1" applyBorder="1" applyAlignment="1">
      <alignment horizontal="left" vertical="center"/>
    </xf>
    <xf numFmtId="1" fontId="26" fillId="5" borderId="1" xfId="15" applyNumberFormat="1" applyFont="1" applyFill="1" applyBorder="1" applyAlignment="1">
      <alignment horizontal="left" vertical="center" wrapText="1"/>
    </xf>
    <xf numFmtId="1" fontId="26" fillId="5" borderId="21" xfId="15" applyNumberFormat="1" applyFont="1" applyFill="1" applyBorder="1" applyAlignment="1">
      <alignment horizontal="left" vertical="center" wrapText="1"/>
    </xf>
    <xf numFmtId="1" fontId="29" fillId="12" borderId="7" xfId="15" applyNumberFormat="1" applyFont="1" applyFill="1" applyBorder="1" applyAlignment="1">
      <alignment horizontal="left" vertical="center" wrapText="1"/>
    </xf>
    <xf numFmtId="1" fontId="26" fillId="5" borderId="1" xfId="15" applyNumberFormat="1" applyFont="1" applyFill="1" applyBorder="1" applyAlignment="1">
      <alignment horizontal="left" vertical="center"/>
    </xf>
    <xf numFmtId="1" fontId="26" fillId="5" borderId="7" xfId="15" applyNumberFormat="1" applyFont="1" applyFill="1" applyBorder="1" applyAlignment="1">
      <alignment horizontal="left" vertical="center"/>
    </xf>
    <xf numFmtId="0" fontId="34" fillId="0" borderId="4" xfId="0" applyFont="1" applyBorder="1" applyAlignment="1">
      <alignment horizontal="left" vertical="center"/>
    </xf>
    <xf numFmtId="0" fontId="26" fillId="0" borderId="4" xfId="15" applyFont="1" applyBorder="1" applyAlignment="1">
      <alignment horizontal="left" vertical="center"/>
    </xf>
    <xf numFmtId="0" fontId="26" fillId="0" borderId="34" xfId="15" applyFont="1" applyBorder="1" applyAlignment="1">
      <alignment horizontal="left" vertical="center"/>
    </xf>
    <xf numFmtId="0" fontId="26" fillId="0" borderId="16" xfId="15" applyFont="1" applyBorder="1" applyAlignment="1">
      <alignment horizontal="left" vertical="center"/>
    </xf>
    <xf numFmtId="0" fontId="29" fillId="12" borderId="4" xfId="15" applyFont="1" applyFill="1" applyBorder="1" applyAlignment="1">
      <alignment horizontal="left" vertical="center"/>
    </xf>
    <xf numFmtId="0" fontId="40" fillId="0" borderId="21" xfId="15" applyFont="1" applyBorder="1" applyAlignment="1">
      <alignment horizontal="left" vertical="center"/>
    </xf>
    <xf numFmtId="0" fontId="26" fillId="0" borderId="7" xfId="15" applyFont="1" applyBorder="1" applyAlignment="1">
      <alignment horizontal="left" vertical="center"/>
    </xf>
    <xf numFmtId="0" fontId="26" fillId="5" borderId="9" xfId="15" applyFont="1" applyFill="1" applyBorder="1" applyAlignment="1">
      <alignment horizontal="left" vertical="center"/>
    </xf>
    <xf numFmtId="0" fontId="29" fillId="12" borderId="16" xfId="15" applyFont="1" applyFill="1" applyBorder="1" applyAlignment="1">
      <alignment horizontal="left" vertical="center"/>
    </xf>
    <xf numFmtId="0" fontId="40" fillId="5" borderId="17" xfId="15" applyFont="1" applyFill="1" applyBorder="1" applyAlignment="1">
      <alignment horizontal="left" vertical="center"/>
    </xf>
    <xf numFmtId="0" fontId="40" fillId="5" borderId="1" xfId="15" applyFont="1" applyFill="1" applyBorder="1" applyAlignment="1">
      <alignment horizontal="left" vertical="center"/>
    </xf>
    <xf numFmtId="0" fontId="35" fillId="5" borderId="1" xfId="0" applyFont="1" applyFill="1" applyBorder="1" applyAlignment="1">
      <alignment horizontal="left" vertical="center" wrapText="1"/>
    </xf>
    <xf numFmtId="0" fontId="37" fillId="8" borderId="1" xfId="0" applyFont="1" applyFill="1" applyBorder="1" applyAlignment="1">
      <alignment horizontal="left" vertical="center" wrapText="1"/>
    </xf>
    <xf numFmtId="0" fontId="33" fillId="4" borderId="7" xfId="0" applyFont="1" applyFill="1" applyBorder="1" applyAlignment="1">
      <alignment horizontal="left" vertical="center"/>
    </xf>
    <xf numFmtId="0" fontId="33" fillId="4" borderId="1" xfId="0" applyFont="1" applyFill="1" applyBorder="1" applyAlignment="1">
      <alignment horizontal="left" vertical="center"/>
    </xf>
    <xf numFmtId="0" fontId="33" fillId="4" borderId="7" xfId="0" applyFont="1" applyFill="1" applyBorder="1" applyAlignment="1">
      <alignment horizontal="left" vertical="center" wrapText="1"/>
    </xf>
    <xf numFmtId="0" fontId="26" fillId="4" borderId="16" xfId="0" applyFont="1" applyFill="1" applyBorder="1" applyAlignment="1">
      <alignment horizontal="left" vertical="center" wrapText="1"/>
    </xf>
    <xf numFmtId="0" fontId="26" fillId="4" borderId="16" xfId="0" applyFont="1" applyFill="1" applyBorder="1" applyAlignment="1">
      <alignment horizontal="left" vertical="center"/>
    </xf>
    <xf numFmtId="0" fontId="26" fillId="4" borderId="4" xfId="0" applyFont="1" applyFill="1" applyBorder="1" applyAlignment="1">
      <alignment horizontal="left" vertical="center" wrapText="1"/>
    </xf>
    <xf numFmtId="0" fontId="61" fillId="0" borderId="0" xfId="0" applyFont="1" applyAlignment="1">
      <alignment vertical="center"/>
    </xf>
    <xf numFmtId="0" fontId="61" fillId="0" borderId="0" xfId="0" applyFont="1"/>
    <xf numFmtId="0" fontId="64" fillId="0" borderId="0" xfId="0" applyFont="1"/>
    <xf numFmtId="0" fontId="33" fillId="0" borderId="0" xfId="0" applyFont="1" applyAlignment="1">
      <alignment vertical="center"/>
    </xf>
    <xf numFmtId="0" fontId="55" fillId="0" borderId="0" xfId="0" applyFont="1"/>
    <xf numFmtId="0" fontId="33" fillId="0" borderId="0" xfId="0" applyFont="1" applyAlignment="1">
      <alignment horizontal="left" vertical="center"/>
    </xf>
    <xf numFmtId="0" fontId="29" fillId="17" borderId="37" xfId="0" applyFont="1" applyFill="1" applyBorder="1" applyAlignment="1">
      <alignment horizontal="left" vertical="center"/>
    </xf>
    <xf numFmtId="0" fontId="57" fillId="15" borderId="0" xfId="0" applyFont="1" applyFill="1" applyAlignment="1" applyProtection="1">
      <alignment vertical="top"/>
      <protection locked="0"/>
    </xf>
    <xf numFmtId="0" fontId="70" fillId="15" borderId="0" xfId="0" applyFont="1" applyFill="1" applyAlignment="1" applyProtection="1">
      <alignment vertical="top" wrapText="1"/>
      <protection locked="0"/>
    </xf>
    <xf numFmtId="0" fontId="28" fillId="9" borderId="1" xfId="0" applyFont="1" applyFill="1" applyBorder="1" applyAlignment="1">
      <alignment horizontal="left" vertical="center" wrapText="1"/>
    </xf>
    <xf numFmtId="0" fontId="28" fillId="9" borderId="7" xfId="0" applyFont="1" applyFill="1" applyBorder="1" applyAlignment="1">
      <alignment horizontal="left" vertical="center" wrapText="1"/>
    </xf>
    <xf numFmtId="9" fontId="35" fillId="6" borderId="4" xfId="0" applyNumberFormat="1" applyFont="1" applyFill="1" applyBorder="1" applyAlignment="1" applyProtection="1">
      <alignment horizontal="center" vertical="center" wrapText="1"/>
      <protection locked="0"/>
    </xf>
    <xf numFmtId="0" fontId="29" fillId="0" borderId="16" xfId="15" applyFont="1" applyBorder="1" applyAlignment="1">
      <alignment horizontal="left" vertical="center"/>
    </xf>
    <xf numFmtId="180" fontId="26" fillId="0" borderId="1" xfId="1" applyNumberFormat="1" applyFont="1" applyFill="1" applyBorder="1" applyAlignment="1">
      <alignment horizontal="center" vertical="center"/>
    </xf>
    <xf numFmtId="0" fontId="40" fillId="0" borderId="17" xfId="15" applyFont="1" applyBorder="1" applyAlignment="1">
      <alignment horizontal="left" vertical="center"/>
    </xf>
    <xf numFmtId="0" fontId="47" fillId="0" borderId="9" xfId="0" applyFont="1" applyBorder="1" applyAlignment="1">
      <alignment horizontal="left"/>
    </xf>
    <xf numFmtId="176" fontId="40" fillId="0" borderId="1" xfId="1" applyNumberFormat="1" applyFont="1" applyFill="1" applyBorder="1" applyAlignment="1">
      <alignment horizontal="center" vertical="center"/>
    </xf>
    <xf numFmtId="179" fontId="40" fillId="0" borderId="1" xfId="1" applyNumberFormat="1" applyFont="1" applyFill="1" applyBorder="1" applyAlignment="1">
      <alignment horizontal="center" vertical="center"/>
    </xf>
    <xf numFmtId="0" fontId="47" fillId="5" borderId="2" xfId="0" applyFont="1" applyFill="1" applyBorder="1" applyAlignment="1">
      <alignment horizontal="left" vertical="center"/>
    </xf>
    <xf numFmtId="0" fontId="47" fillId="0" borderId="1" xfId="4" applyFont="1" applyFill="1" applyBorder="1" applyAlignment="1">
      <alignment horizontal="left" vertical="center" wrapText="1"/>
    </xf>
    <xf numFmtId="0" fontId="40" fillId="5" borderId="4" xfId="15" applyFont="1" applyFill="1" applyBorder="1" applyAlignment="1">
      <alignment horizontal="left" vertical="center"/>
    </xf>
    <xf numFmtId="0" fontId="42" fillId="0" borderId="0" xfId="0" applyFont="1" applyAlignment="1">
      <alignment vertical="center"/>
    </xf>
    <xf numFmtId="0" fontId="69" fillId="15" borderId="0" xfId="0" applyFont="1" applyFill="1" applyAlignment="1">
      <alignment horizontal="left" vertical="top"/>
    </xf>
    <xf numFmtId="0" fontId="35" fillId="21" borderId="1" xfId="0" applyFont="1" applyFill="1" applyBorder="1" applyAlignment="1">
      <alignment horizontal="center" vertical="top" wrapText="1"/>
    </xf>
    <xf numFmtId="9" fontId="34" fillId="0" borderId="1" xfId="1" applyFont="1" applyFill="1" applyBorder="1" applyAlignment="1" applyProtection="1">
      <alignment horizontal="center" vertical="center"/>
    </xf>
    <xf numFmtId="9" fontId="35" fillId="0" borderId="1" xfId="1" applyFont="1" applyBorder="1" applyAlignment="1" applyProtection="1">
      <alignment horizontal="center" vertical="center" wrapText="1"/>
    </xf>
    <xf numFmtId="9" fontId="35" fillId="0" borderId="7" xfId="1" applyFont="1" applyBorder="1" applyAlignment="1" applyProtection="1">
      <alignment horizontal="center" vertical="center" wrapText="1"/>
    </xf>
    <xf numFmtId="9" fontId="35" fillId="0" borderId="1" xfId="1" applyFont="1" applyBorder="1" applyAlignment="1" applyProtection="1">
      <alignment horizontal="center" vertical="top" wrapText="1"/>
    </xf>
    <xf numFmtId="2" fontId="35" fillId="0" borderId="1" xfId="1" applyNumberFormat="1" applyFont="1" applyBorder="1" applyAlignment="1" applyProtection="1">
      <alignment horizontal="center" vertical="top" wrapText="1"/>
    </xf>
    <xf numFmtId="1" fontId="26" fillId="5" borderId="21" xfId="15" applyNumberFormat="1" applyFont="1" applyFill="1" applyBorder="1" applyAlignment="1">
      <alignment horizontal="left" vertical="center"/>
    </xf>
    <xf numFmtId="0" fontId="35" fillId="16" borderId="1" xfId="0" applyFont="1" applyFill="1" applyBorder="1" applyAlignment="1" applyProtection="1">
      <alignment horizontal="center" vertical="center" wrapText="1"/>
      <protection locked="0"/>
    </xf>
    <xf numFmtId="0" fontId="71" fillId="15" borderId="0" xfId="0" applyFont="1" applyFill="1" applyAlignment="1" applyProtection="1">
      <alignment horizontal="center" vertical="center" wrapText="1"/>
      <protection locked="0"/>
    </xf>
    <xf numFmtId="173" fontId="37" fillId="22" borderId="7" xfId="0" applyNumberFormat="1" applyFont="1" applyFill="1" applyBorder="1" applyAlignment="1">
      <alignment horizontal="center" vertical="center"/>
    </xf>
    <xf numFmtId="0" fontId="33" fillId="4" borderId="7" xfId="0" applyFont="1" applyFill="1" applyBorder="1" applyAlignment="1">
      <alignment horizontal="center" vertical="center" wrapText="1"/>
    </xf>
    <xf numFmtId="0" fontId="6" fillId="0" borderId="8" xfId="4" applyBorder="1" applyAlignment="1">
      <alignment horizontal="left"/>
    </xf>
    <xf numFmtId="0" fontId="6" fillId="0" borderId="18" xfId="4" applyBorder="1" applyAlignment="1">
      <alignment horizontal="left"/>
    </xf>
    <xf numFmtId="0" fontId="1" fillId="6" borderId="8" xfId="0" applyFont="1" applyFill="1" applyBorder="1" applyAlignment="1">
      <alignment horizontal="center" vertical="top"/>
    </xf>
    <xf numFmtId="0" fontId="1" fillId="6" borderId="20" xfId="0" applyFont="1" applyFill="1" applyBorder="1" applyAlignment="1">
      <alignment horizontal="center"/>
    </xf>
    <xf numFmtId="0" fontId="72" fillId="0" borderId="0" xfId="0" applyFont="1"/>
    <xf numFmtId="0" fontId="47" fillId="12" borderId="12" xfId="0" applyFont="1" applyFill="1" applyBorder="1" applyAlignment="1">
      <alignment horizontal="left" vertical="center" wrapText="1"/>
    </xf>
    <xf numFmtId="0" fontId="74" fillId="9" borderId="4" xfId="0" applyFont="1" applyFill="1" applyBorder="1" applyAlignment="1">
      <alignment horizontal="left" vertical="center" wrapText="1"/>
    </xf>
    <xf numFmtId="0" fontId="41" fillId="7" borderId="4" xfId="0" applyFont="1" applyFill="1" applyBorder="1" applyAlignment="1" applyProtection="1">
      <alignment horizontal="left" vertical="top"/>
      <protection locked="0"/>
    </xf>
    <xf numFmtId="0" fontId="41" fillId="7" borderId="4" xfId="0" applyFont="1" applyFill="1" applyBorder="1" applyAlignment="1" applyProtection="1">
      <alignment vertical="top"/>
      <protection locked="0"/>
    </xf>
    <xf numFmtId="0" fontId="41" fillId="7" borderId="16" xfId="0" applyFont="1" applyFill="1" applyBorder="1" applyAlignment="1" applyProtection="1">
      <alignment vertical="top"/>
      <protection locked="0"/>
    </xf>
    <xf numFmtId="0" fontId="27" fillId="7" borderId="4" xfId="0" applyFont="1" applyFill="1" applyBorder="1"/>
    <xf numFmtId="0" fontId="27" fillId="7" borderId="17" xfId="0" applyFont="1" applyFill="1" applyBorder="1"/>
    <xf numFmtId="0" fontId="41" fillId="7" borderId="17" xfId="0" applyFont="1" applyFill="1" applyBorder="1" applyAlignment="1" applyProtection="1">
      <alignment horizontal="left" vertical="top"/>
      <protection locked="0"/>
    </xf>
    <xf numFmtId="0" fontId="48" fillId="7" borderId="25" xfId="0" applyFont="1" applyFill="1" applyBorder="1" applyAlignment="1" applyProtection="1">
      <alignment horizontal="left" vertical="top" wrapText="1"/>
      <protection locked="0"/>
    </xf>
    <xf numFmtId="0" fontId="27" fillId="7" borderId="25" xfId="0" applyFont="1" applyFill="1" applyBorder="1" applyAlignment="1" applyProtection="1">
      <alignment horizontal="left" vertical="top" wrapText="1"/>
      <protection locked="0"/>
    </xf>
    <xf numFmtId="0" fontId="48" fillId="7" borderId="31" xfId="0" applyFont="1" applyFill="1" applyBorder="1" applyAlignment="1" applyProtection="1">
      <alignment horizontal="left" vertical="top" wrapText="1"/>
      <protection locked="0"/>
    </xf>
    <xf numFmtId="0" fontId="48" fillId="7" borderId="28" xfId="0" applyFont="1" applyFill="1" applyBorder="1" applyAlignment="1" applyProtection="1">
      <alignment horizontal="left" vertical="top" wrapText="1"/>
      <protection locked="0"/>
    </xf>
    <xf numFmtId="0" fontId="27" fillId="15" borderId="0" xfId="0" applyFont="1" applyFill="1"/>
    <xf numFmtId="0" fontId="74" fillId="9" borderId="11" xfId="0" applyFont="1" applyFill="1" applyBorder="1" applyAlignment="1">
      <alignment horizontal="left" vertical="center" wrapText="1"/>
    </xf>
    <xf numFmtId="0" fontId="27" fillId="4" borderId="16"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76" fillId="7" borderId="3" xfId="0" applyFont="1" applyFill="1" applyBorder="1" applyAlignment="1" applyProtection="1">
      <alignment horizontal="left" vertical="top"/>
      <protection locked="0"/>
    </xf>
    <xf numFmtId="0" fontId="27" fillId="4" borderId="26" xfId="0" applyFont="1" applyFill="1" applyBorder="1" applyAlignment="1">
      <alignment horizontal="center" vertical="center" wrapText="1"/>
    </xf>
    <xf numFmtId="0" fontId="76" fillId="7" borderId="4" xfId="0" applyFont="1" applyFill="1" applyBorder="1" applyAlignment="1" applyProtection="1">
      <alignment vertical="top"/>
      <protection locked="0"/>
    </xf>
    <xf numFmtId="168" fontId="27" fillId="7" borderId="4" xfId="0" applyNumberFormat="1" applyFont="1" applyFill="1" applyBorder="1" applyAlignment="1">
      <alignment horizontal="center" vertical="center"/>
    </xf>
    <xf numFmtId="0" fontId="27" fillId="7" borderId="4" xfId="0" applyFont="1" applyFill="1" applyBorder="1" applyAlignment="1">
      <alignment vertical="top"/>
    </xf>
    <xf numFmtId="0" fontId="27" fillId="7" borderId="17" xfId="0" applyFont="1" applyFill="1" applyBorder="1" applyAlignment="1">
      <alignment vertical="top"/>
    </xf>
    <xf numFmtId="0" fontId="27" fillId="4" borderId="29" xfId="0" applyFont="1" applyFill="1" applyBorder="1" applyAlignment="1">
      <alignment horizontal="center" vertical="center" wrapText="1"/>
    </xf>
    <xf numFmtId="0" fontId="41" fillId="7" borderId="0" xfId="0" applyFont="1" applyFill="1" applyAlignment="1" applyProtection="1">
      <alignment horizontal="left" vertical="top"/>
      <protection locked="0"/>
    </xf>
    <xf numFmtId="0" fontId="27" fillId="4" borderId="8" xfId="0" applyFont="1" applyFill="1" applyBorder="1" applyAlignment="1">
      <alignment horizontal="center" vertical="center" wrapText="1"/>
    </xf>
    <xf numFmtId="0" fontId="27" fillId="7" borderId="11" xfId="0" applyFont="1" applyFill="1" applyBorder="1" applyAlignment="1">
      <alignment horizontal="left" vertical="top"/>
    </xf>
    <xf numFmtId="0" fontId="27" fillId="4" borderId="39" xfId="0" applyFont="1" applyFill="1" applyBorder="1" applyAlignment="1">
      <alignment horizontal="center" vertical="center" wrapText="1"/>
    </xf>
    <xf numFmtId="172" fontId="53" fillId="7" borderId="4" xfId="1" applyNumberFormat="1" applyFont="1" applyFill="1" applyBorder="1" applyAlignment="1">
      <alignment horizontal="center" vertical="center"/>
    </xf>
    <xf numFmtId="172" fontId="47" fillId="7" borderId="13" xfId="1" applyNumberFormat="1" applyFont="1" applyFill="1" applyBorder="1" applyAlignment="1">
      <alignment horizontal="center" vertical="center"/>
    </xf>
    <xf numFmtId="169" fontId="73" fillId="7" borderId="27" xfId="0" applyNumberFormat="1" applyFont="1" applyFill="1" applyBorder="1" applyAlignment="1">
      <alignment horizontal="left" vertical="center"/>
    </xf>
    <xf numFmtId="0" fontId="23" fillId="9" borderId="4" xfId="0" applyFont="1" applyFill="1" applyBorder="1" applyAlignment="1">
      <alignment horizontal="left" vertical="center" wrapText="1"/>
    </xf>
    <xf numFmtId="169" fontId="73" fillId="7" borderId="4" xfId="0" applyNumberFormat="1" applyFont="1" applyFill="1" applyBorder="1" applyAlignment="1">
      <alignment horizontal="center" vertical="top"/>
    </xf>
    <xf numFmtId="172" fontId="27" fillId="7" borderId="4" xfId="1" applyNumberFormat="1" applyFont="1" applyFill="1" applyBorder="1" applyAlignment="1">
      <alignment horizontal="center" vertical="center"/>
    </xf>
    <xf numFmtId="172" fontId="53" fillId="7" borderId="0" xfId="1" applyNumberFormat="1" applyFont="1" applyFill="1" applyBorder="1" applyAlignment="1">
      <alignment horizontal="center" vertical="center"/>
    </xf>
    <xf numFmtId="165" fontId="27" fillId="7" borderId="4" xfId="0" applyNumberFormat="1" applyFont="1" applyFill="1" applyBorder="1" applyAlignment="1">
      <alignment horizontal="center" vertical="center"/>
    </xf>
    <xf numFmtId="0" fontId="77" fillId="7" borderId="4" xfId="0" applyFont="1" applyFill="1" applyBorder="1" applyAlignment="1" applyProtection="1">
      <alignment horizontal="left" vertical="top"/>
      <protection locked="0"/>
    </xf>
    <xf numFmtId="0" fontId="27" fillId="0" borderId="0" xfId="0" applyFont="1"/>
    <xf numFmtId="0" fontId="19" fillId="10" borderId="1" xfId="15" applyFont="1" applyFill="1" applyBorder="1" applyAlignment="1">
      <alignment horizontal="center" vertical="center"/>
    </xf>
    <xf numFmtId="0" fontId="19" fillId="10" borderId="1" xfId="15" applyFont="1" applyFill="1" applyBorder="1" applyAlignment="1">
      <alignment horizontal="center" vertical="center" wrapText="1"/>
    </xf>
    <xf numFmtId="0" fontId="78" fillId="0" borderId="0" xfId="15" applyFont="1"/>
    <xf numFmtId="0" fontId="79" fillId="0" borderId="0" xfId="15" applyFont="1"/>
    <xf numFmtId="0" fontId="10" fillId="0" borderId="1" xfId="15" applyFont="1" applyBorder="1"/>
    <xf numFmtId="166" fontId="10" fillId="0" borderId="1" xfId="15" applyNumberFormat="1" applyFont="1" applyBorder="1" applyAlignment="1">
      <alignment horizontal="center"/>
    </xf>
    <xf numFmtId="166" fontId="10" fillId="0" borderId="1" xfId="15" applyNumberFormat="1" applyFont="1" applyBorder="1" applyAlignment="1">
      <alignment horizontal="left"/>
    </xf>
    <xf numFmtId="0" fontId="78" fillId="0" borderId="1" xfId="15" applyFont="1" applyBorder="1" applyAlignment="1">
      <alignment horizontal="center"/>
    </xf>
    <xf numFmtId="0" fontId="10" fillId="0" borderId="1" xfId="0" applyFont="1" applyBorder="1"/>
    <xf numFmtId="0" fontId="80" fillId="0" borderId="0" xfId="15" applyFont="1"/>
    <xf numFmtId="8" fontId="10" fillId="0" borderId="1" xfId="15" applyNumberFormat="1" applyFont="1" applyBorder="1" applyAlignment="1">
      <alignment horizontal="center"/>
    </xf>
    <xf numFmtId="0" fontId="78" fillId="0" borderId="1" xfId="15" applyFont="1" applyBorder="1"/>
    <xf numFmtId="166" fontId="78" fillId="0" borderId="1" xfId="15" applyNumberFormat="1" applyFont="1" applyBorder="1" applyAlignment="1">
      <alignment horizontal="center"/>
    </xf>
    <xf numFmtId="0" fontId="78" fillId="0" borderId="1" xfId="15" applyFont="1" applyBorder="1" applyAlignment="1">
      <alignment horizontal="left"/>
    </xf>
    <xf numFmtId="9" fontId="10" fillId="0" borderId="1" xfId="15" applyNumberFormat="1" applyFont="1" applyBorder="1" applyAlignment="1">
      <alignment horizontal="center"/>
    </xf>
    <xf numFmtId="9" fontId="10" fillId="0" borderId="1" xfId="15" applyNumberFormat="1" applyFont="1" applyBorder="1" applyAlignment="1">
      <alignment horizontal="left"/>
    </xf>
    <xf numFmtId="166" fontId="68" fillId="3" borderId="1" xfId="15" applyNumberFormat="1" applyFont="1" applyFill="1" applyBorder="1" applyAlignment="1">
      <alignment horizontal="center"/>
    </xf>
    <xf numFmtId="0" fontId="10" fillId="0" borderId="1" xfId="0" applyFont="1" applyBorder="1" applyAlignment="1">
      <alignment horizontal="left" vertical="center" wrapText="1"/>
    </xf>
    <xf numFmtId="0" fontId="10" fillId="0" borderId="1" xfId="15" applyFont="1" applyBorder="1" applyAlignment="1">
      <alignment horizontal="left"/>
    </xf>
    <xf numFmtId="166" fontId="10" fillId="14" borderId="1" xfId="15" applyNumberFormat="1" applyFont="1" applyFill="1" applyBorder="1" applyAlignment="1">
      <alignment horizontal="center"/>
    </xf>
    <xf numFmtId="0" fontId="10" fillId="0" borderId="1" xfId="0" applyFont="1" applyBorder="1" applyAlignment="1">
      <alignment horizontal="left"/>
    </xf>
    <xf numFmtId="9" fontId="10" fillId="0" borderId="1" xfId="0" applyNumberFormat="1" applyFont="1" applyBorder="1" applyAlignment="1">
      <alignment horizontal="center" vertical="center"/>
    </xf>
    <xf numFmtId="9" fontId="10" fillId="0" borderId="1" xfId="0" applyNumberFormat="1" applyFont="1" applyBorder="1" applyAlignment="1">
      <alignment horizontal="left" vertical="center"/>
    </xf>
    <xf numFmtId="9" fontId="10" fillId="0" borderId="20" xfId="0" applyNumberFormat="1" applyFont="1" applyBorder="1" applyAlignment="1">
      <alignment horizontal="center" vertical="center"/>
    </xf>
    <xf numFmtId="9" fontId="10" fillId="0" borderId="8" xfId="0" applyNumberFormat="1" applyFont="1" applyBorder="1" applyAlignment="1">
      <alignment horizontal="center" vertical="center"/>
    </xf>
    <xf numFmtId="9" fontId="78" fillId="0" borderId="1" xfId="15" applyNumberFormat="1" applyFont="1" applyBorder="1" applyAlignment="1">
      <alignment horizontal="center"/>
    </xf>
    <xf numFmtId="178" fontId="10" fillId="0" borderId="1" xfId="0" applyNumberFormat="1" applyFont="1" applyBorder="1" applyAlignment="1">
      <alignment horizontal="center" vertical="center"/>
    </xf>
    <xf numFmtId="0" fontId="10" fillId="0" borderId="1" xfId="0" applyFont="1" applyBorder="1" applyAlignment="1">
      <alignment horizontal="left" vertical="center"/>
    </xf>
    <xf numFmtId="0" fontId="82" fillId="0" borderId="1" xfId="4" applyFont="1" applyBorder="1" applyAlignment="1">
      <alignment horizontal="left"/>
    </xf>
    <xf numFmtId="0" fontId="78" fillId="20" borderId="1" xfId="15" applyFont="1" applyFill="1" applyBorder="1"/>
    <xf numFmtId="0" fontId="78" fillId="18" borderId="1" xfId="15" quotePrefix="1" applyFont="1" applyFill="1" applyBorder="1"/>
    <xf numFmtId="0" fontId="26" fillId="17" borderId="38" xfId="0" applyFont="1" applyFill="1" applyBorder="1" applyAlignment="1">
      <alignment horizontal="center" vertical="center"/>
    </xf>
    <xf numFmtId="0" fontId="26" fillId="0" borderId="1" xfId="0" applyFont="1" applyBorder="1" applyAlignment="1">
      <alignment horizontal="center" vertical="center"/>
    </xf>
    <xf numFmtId="49" fontId="26" fillId="0" borderId="1" xfId="0" applyNumberFormat="1" applyFont="1" applyBorder="1" applyAlignment="1">
      <alignment horizontal="center" vertical="center"/>
    </xf>
    <xf numFmtId="49" fontId="26" fillId="9" borderId="1" xfId="0" applyNumberFormat="1" applyFont="1" applyFill="1" applyBorder="1" applyAlignment="1">
      <alignment horizontal="center" vertical="center" wrapText="1"/>
    </xf>
    <xf numFmtId="0" fontId="26" fillId="0" borderId="7" xfId="0" applyFont="1" applyBorder="1" applyAlignment="1">
      <alignment horizontal="center" vertical="center"/>
    </xf>
    <xf numFmtId="0" fontId="26" fillId="0" borderId="9" xfId="0" applyFont="1" applyBorder="1" applyAlignment="1">
      <alignment horizontal="center" vertical="center"/>
    </xf>
    <xf numFmtId="0" fontId="26" fillId="15" borderId="0" xfId="15" applyFont="1" applyFill="1" applyAlignment="1">
      <alignment horizontal="center" vertical="center"/>
    </xf>
    <xf numFmtId="0" fontId="26" fillId="8" borderId="22"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0" borderId="21" xfId="0" applyFont="1" applyBorder="1" applyAlignment="1">
      <alignment horizontal="center" vertical="center"/>
    </xf>
    <xf numFmtId="49" fontId="26" fillId="12" borderId="1" xfId="0" applyNumberFormat="1" applyFont="1" applyFill="1" applyBorder="1" applyAlignment="1">
      <alignment horizontal="center" vertical="center"/>
    </xf>
    <xf numFmtId="0" fontId="26" fillId="12" borderId="7" xfId="0" applyFont="1" applyFill="1" applyBorder="1" applyAlignment="1">
      <alignment horizontal="center" vertical="center"/>
    </xf>
    <xf numFmtId="0" fontId="26" fillId="4" borderId="1" xfId="0" applyFont="1" applyFill="1" applyBorder="1" applyAlignment="1">
      <alignment horizontal="center" vertical="center"/>
    </xf>
    <xf numFmtId="0" fontId="26" fillId="5" borderId="1" xfId="0" applyFont="1" applyFill="1" applyBorder="1" applyAlignment="1">
      <alignment horizontal="center" vertical="center"/>
    </xf>
    <xf numFmtId="49" fontId="26" fillId="12" borderId="7" xfId="0" applyNumberFormat="1" applyFont="1" applyFill="1" applyBorder="1" applyAlignment="1">
      <alignment horizontal="center" vertical="center"/>
    </xf>
    <xf numFmtId="0" fontId="26" fillId="4" borderId="6" xfId="0" applyFont="1" applyFill="1" applyBorder="1" applyAlignment="1">
      <alignment horizontal="center" vertical="center"/>
    </xf>
    <xf numFmtId="0" fontId="26" fillId="12" borderId="1" xfId="0" applyFont="1" applyFill="1" applyBorder="1" applyAlignment="1">
      <alignment horizontal="center" vertical="center"/>
    </xf>
    <xf numFmtId="49" fontId="26" fillId="0" borderId="7" xfId="0" applyNumberFormat="1" applyFont="1" applyBorder="1" applyAlignment="1">
      <alignment horizontal="center" vertical="center"/>
    </xf>
    <xf numFmtId="49" fontId="26" fillId="0" borderId="21" xfId="0" applyNumberFormat="1" applyFont="1" applyBorder="1" applyAlignment="1">
      <alignment horizontal="center" vertical="center"/>
    </xf>
    <xf numFmtId="0" fontId="26" fillId="5" borderId="9" xfId="0" applyFont="1" applyFill="1" applyBorder="1" applyAlignment="1">
      <alignment horizontal="center" vertical="center"/>
    </xf>
    <xf numFmtId="49" fontId="26" fillId="5" borderId="7" xfId="0" applyNumberFormat="1" applyFont="1" applyFill="1" applyBorder="1" applyAlignment="1">
      <alignment horizontal="center" vertical="center"/>
    </xf>
    <xf numFmtId="49" fontId="26" fillId="5" borderId="1" xfId="0" applyNumberFormat="1" applyFont="1" applyFill="1" applyBorder="1" applyAlignment="1">
      <alignment horizontal="center" vertical="center"/>
    </xf>
    <xf numFmtId="0" fontId="26" fillId="4" borderId="7" xfId="0" applyFont="1" applyFill="1" applyBorder="1" applyAlignment="1">
      <alignment horizontal="center" vertical="center"/>
    </xf>
    <xf numFmtId="49" fontId="26" fillId="9" borderId="1" xfId="0" applyNumberFormat="1" applyFont="1" applyFill="1" applyBorder="1" applyAlignment="1">
      <alignment horizontal="center" vertical="center"/>
    </xf>
    <xf numFmtId="0" fontId="40" fillId="0" borderId="21" xfId="0" applyFont="1" applyBorder="1" applyAlignment="1">
      <alignment horizontal="center" vertical="center"/>
    </xf>
    <xf numFmtId="0" fontId="40" fillId="5" borderId="1" xfId="0" applyFont="1" applyFill="1" applyBorder="1" applyAlignment="1">
      <alignment horizontal="center" vertical="center"/>
    </xf>
    <xf numFmtId="0" fontId="40" fillId="0" borderId="1" xfId="0" applyFont="1" applyBorder="1" applyAlignment="1">
      <alignment horizontal="center" vertical="center"/>
    </xf>
    <xf numFmtId="49" fontId="40" fillId="5" borderId="1" xfId="0" applyNumberFormat="1" applyFont="1" applyFill="1" applyBorder="1" applyAlignment="1">
      <alignment horizontal="center" vertical="center"/>
    </xf>
    <xf numFmtId="0" fontId="26" fillId="9" borderId="1" xfId="0" applyFont="1" applyFill="1" applyBorder="1" applyAlignment="1">
      <alignment horizontal="center" vertical="center"/>
    </xf>
    <xf numFmtId="0" fontId="62" fillId="0" borderId="0" xfId="0" applyFont="1"/>
    <xf numFmtId="0" fontId="77" fillId="7" borderId="0" xfId="0" applyFont="1" applyFill="1" applyAlignment="1" applyProtection="1">
      <alignment horizontal="left" vertical="top"/>
      <protection locked="0"/>
    </xf>
    <xf numFmtId="9" fontId="63" fillId="0" borderId="21" xfId="1" applyFont="1" applyFill="1" applyBorder="1" applyAlignment="1">
      <alignment horizontal="center" vertical="center"/>
    </xf>
    <xf numFmtId="171" fontId="29" fillId="22" borderId="35" xfId="0" applyNumberFormat="1" applyFont="1" applyFill="1" applyBorder="1" applyAlignment="1">
      <alignment horizontal="center"/>
    </xf>
    <xf numFmtId="0" fontId="40" fillId="22" borderId="35" xfId="0" applyFont="1" applyFill="1" applyBorder="1"/>
    <xf numFmtId="0" fontId="23" fillId="15" borderId="0" xfId="0" applyFont="1" applyFill="1" applyAlignment="1">
      <alignment horizontal="left" vertical="center"/>
    </xf>
    <xf numFmtId="0" fontId="29" fillId="12" borderId="7" xfId="0" applyFont="1" applyFill="1" applyBorder="1" applyAlignment="1">
      <alignment horizontal="center" vertical="center"/>
    </xf>
    <xf numFmtId="1" fontId="29" fillId="12" borderId="6" xfId="15" applyNumberFormat="1" applyFont="1" applyFill="1" applyBorder="1" applyAlignment="1">
      <alignment horizontal="left" vertical="center" wrapText="1"/>
    </xf>
    <xf numFmtId="0" fontId="53" fillId="7" borderId="8" xfId="0" applyFont="1" applyFill="1" applyBorder="1" applyAlignment="1">
      <alignment horizontal="left" vertical="center"/>
    </xf>
    <xf numFmtId="0" fontId="27" fillId="7" borderId="8" xfId="0" applyFont="1" applyFill="1" applyBorder="1" applyAlignment="1">
      <alignment horizontal="left" vertical="center"/>
    </xf>
    <xf numFmtId="182" fontId="40" fillId="5" borderId="1" xfId="0" applyNumberFormat="1" applyFont="1" applyFill="1" applyBorder="1" applyAlignment="1">
      <alignment horizontal="center" vertical="center"/>
    </xf>
    <xf numFmtId="182" fontId="40" fillId="5" borderId="1" xfId="1" applyNumberFormat="1" applyFont="1" applyFill="1" applyBorder="1" applyAlignment="1">
      <alignment horizontal="center" vertical="center"/>
    </xf>
    <xf numFmtId="0" fontId="29" fillId="22" borderId="36" xfId="0" applyFont="1" applyFill="1" applyBorder="1" applyAlignment="1">
      <alignment horizontal="center" vertical="center"/>
    </xf>
    <xf numFmtId="0" fontId="29" fillId="22" borderId="36" xfId="0" applyFont="1" applyFill="1" applyBorder="1" applyAlignment="1">
      <alignment horizontal="left" vertical="center"/>
    </xf>
    <xf numFmtId="0" fontId="26" fillId="0" borderId="17" xfId="15" applyFont="1" applyBorder="1" applyAlignment="1">
      <alignment horizontal="left" vertical="center"/>
    </xf>
    <xf numFmtId="3" fontId="26" fillId="5" borderId="9" xfId="15" applyNumberFormat="1" applyFont="1" applyFill="1" applyBorder="1" applyAlignment="1">
      <alignment horizontal="center" vertical="center"/>
    </xf>
    <xf numFmtId="0" fontId="0" fillId="0" borderId="1" xfId="0" applyBorder="1"/>
    <xf numFmtId="0" fontId="0" fillId="0" borderId="0" xfId="0" applyAlignment="1">
      <alignment horizontal="left"/>
    </xf>
    <xf numFmtId="0" fontId="0" fillId="0" borderId="1" xfId="0" applyBorder="1" applyAlignment="1">
      <alignment horizontal="left"/>
    </xf>
    <xf numFmtId="0" fontId="12" fillId="23" borderId="1" xfId="0" applyFont="1" applyFill="1" applyBorder="1"/>
    <xf numFmtId="0" fontId="0" fillId="23" borderId="1" xfId="0" applyFill="1" applyBorder="1"/>
    <xf numFmtId="166" fontId="0" fillId="0" borderId="0" xfId="0" applyNumberFormat="1"/>
    <xf numFmtId="0" fontId="0" fillId="0" borderId="8" xfId="0" applyBorder="1"/>
    <xf numFmtId="2" fontId="34" fillId="0" borderId="1" xfId="1" applyNumberFormat="1" applyFont="1" applyFill="1" applyBorder="1" applyAlignment="1" applyProtection="1">
      <alignment horizontal="center" vertical="top"/>
    </xf>
    <xf numFmtId="0" fontId="29" fillId="12" borderId="1" xfId="15" applyFont="1" applyFill="1" applyBorder="1" applyAlignment="1">
      <alignment horizontal="left" vertical="center" wrapText="1"/>
    </xf>
    <xf numFmtId="0" fontId="47" fillId="12" borderId="1" xfId="15" applyFont="1" applyFill="1" applyBorder="1" applyAlignment="1">
      <alignment horizontal="left" vertical="top"/>
    </xf>
    <xf numFmtId="173" fontId="34" fillId="0" borderId="1" xfId="0" applyNumberFormat="1" applyFont="1" applyBorder="1" applyAlignment="1">
      <alignment horizontal="center" vertical="center"/>
    </xf>
    <xf numFmtId="0" fontId="12" fillId="0" borderId="1" xfId="0" applyFont="1" applyBorder="1"/>
    <xf numFmtId="0" fontId="0" fillId="0" borderId="19" xfId="0" applyBorder="1"/>
    <xf numFmtId="166" fontId="0" fillId="0" borderId="1" xfId="0" applyNumberFormat="1" applyBorder="1" applyAlignment="1">
      <alignment horizontal="left"/>
    </xf>
    <xf numFmtId="0" fontId="0" fillId="0" borderId="1" xfId="0" applyBorder="1" applyAlignment="1">
      <alignment wrapText="1"/>
    </xf>
    <xf numFmtId="0" fontId="26" fillId="5" borderId="7" xfId="15" applyFont="1" applyFill="1" applyBorder="1" applyAlignment="1">
      <alignment horizontal="left" vertical="center" wrapText="1"/>
    </xf>
    <xf numFmtId="0" fontId="26" fillId="5" borderId="21" xfId="15" applyFont="1" applyFill="1" applyBorder="1" applyAlignment="1">
      <alignment horizontal="left" vertical="center" wrapText="1"/>
    </xf>
    <xf numFmtId="0" fontId="55" fillId="15" borderId="14" xfId="0" applyFont="1" applyFill="1" applyBorder="1" applyAlignment="1" applyProtection="1">
      <alignment vertical="top" wrapText="1"/>
      <protection locked="0"/>
    </xf>
    <xf numFmtId="0" fontId="85" fillId="15" borderId="0" xfId="0" applyFont="1" applyFill="1" applyAlignment="1">
      <alignment horizontal="center" vertical="center"/>
    </xf>
    <xf numFmtId="0" fontId="52" fillId="0" borderId="2" xfId="0" applyFont="1" applyBorder="1" applyAlignment="1">
      <alignment horizontal="left" wrapText="1"/>
    </xf>
    <xf numFmtId="0" fontId="55" fillId="24" borderId="0" xfId="0" applyFont="1" applyFill="1" applyAlignment="1">
      <alignment wrapText="1"/>
    </xf>
    <xf numFmtId="0" fontId="34" fillId="0" borderId="0" xfId="0" applyFont="1"/>
    <xf numFmtId="0" fontId="55" fillId="24" borderId="0" xfId="0" applyFont="1" applyFill="1"/>
    <xf numFmtId="0" fontId="87" fillId="24" borderId="0" xfId="0" applyFont="1" applyFill="1" applyAlignment="1">
      <alignment vertical="top" wrapText="1"/>
    </xf>
    <xf numFmtId="165" fontId="27" fillId="7" borderId="0" xfId="0" applyNumberFormat="1" applyFont="1" applyFill="1" applyAlignment="1">
      <alignment horizontal="center" vertical="center"/>
    </xf>
    <xf numFmtId="0" fontId="26" fillId="12" borderId="21" xfId="0" applyFont="1" applyFill="1" applyBorder="1" applyAlignment="1">
      <alignment horizontal="center" vertical="center"/>
    </xf>
    <xf numFmtId="166" fontId="34" fillId="0" borderId="1" xfId="0" applyNumberFormat="1" applyFont="1" applyBorder="1" applyAlignment="1">
      <alignment horizontal="center" vertical="center"/>
    </xf>
    <xf numFmtId="0" fontId="38" fillId="0" borderId="1" xfId="0" applyFont="1" applyBorder="1" applyAlignment="1">
      <alignment horizontal="left" vertical="center" wrapText="1"/>
    </xf>
    <xf numFmtId="0" fontId="40" fillId="22" borderId="36" xfId="0" applyFont="1" applyFill="1" applyBorder="1" applyAlignment="1">
      <alignment horizontal="left" vertical="center"/>
    </xf>
    <xf numFmtId="166" fontId="40" fillId="0" borderId="1" xfId="0" applyNumberFormat="1" applyFont="1" applyBorder="1" applyAlignment="1">
      <alignment horizontal="center" vertical="center"/>
    </xf>
    <xf numFmtId="0" fontId="47" fillId="0" borderId="2" xfId="0" applyFont="1" applyBorder="1" applyAlignment="1">
      <alignment horizontal="left" wrapText="1"/>
    </xf>
    <xf numFmtId="0" fontId="37" fillId="0" borderId="1" xfId="15" applyFont="1" applyBorder="1" applyAlignment="1">
      <alignment horizontal="left" vertical="center" wrapText="1"/>
    </xf>
    <xf numFmtId="0" fontId="37" fillId="0" borderId="7" xfId="15" applyFont="1" applyBorder="1" applyAlignment="1">
      <alignment horizontal="left" vertical="center" wrapText="1"/>
    </xf>
    <xf numFmtId="0" fontId="28" fillId="15" borderId="0" xfId="0" applyFont="1" applyFill="1" applyAlignment="1" applyProtection="1">
      <alignment vertical="center"/>
      <protection locked="0"/>
    </xf>
    <xf numFmtId="0" fontId="29" fillId="0" borderId="1" xfId="15" applyFont="1" applyBorder="1" applyAlignment="1">
      <alignment horizontal="left" vertical="center" wrapText="1"/>
    </xf>
    <xf numFmtId="0" fontId="26" fillId="0" borderId="6" xfId="0" applyFont="1" applyBorder="1" applyAlignment="1">
      <alignment horizontal="center" vertical="center"/>
    </xf>
    <xf numFmtId="0" fontId="29" fillId="5" borderId="7" xfId="0" applyFont="1" applyFill="1" applyBorder="1" applyAlignment="1">
      <alignment horizontal="center" vertical="center"/>
    </xf>
    <xf numFmtId="0" fontId="88" fillId="15" borderId="0" xfId="0" applyFont="1" applyFill="1" applyAlignment="1" applyProtection="1">
      <alignment vertical="top" wrapText="1"/>
      <protection locked="0"/>
    </xf>
    <xf numFmtId="0" fontId="33" fillId="15" borderId="0" xfId="0" applyFont="1" applyFill="1" applyAlignment="1" applyProtection="1">
      <alignment horizontal="center" vertical="center" wrapText="1"/>
      <protection locked="0"/>
    </xf>
    <xf numFmtId="0" fontId="88" fillId="15" borderId="0" xfId="0" applyFont="1" applyFill="1" applyAlignment="1">
      <alignment horizontal="left" vertical="top"/>
    </xf>
    <xf numFmtId="0" fontId="89" fillId="15" borderId="1" xfId="0" applyFont="1" applyFill="1" applyBorder="1" applyAlignment="1">
      <alignment horizontal="center" vertical="center"/>
    </xf>
    <xf numFmtId="49" fontId="26" fillId="0" borderId="8" xfId="0" applyNumberFormat="1" applyFont="1" applyBorder="1" applyAlignment="1">
      <alignment horizontal="center" vertical="center"/>
    </xf>
    <xf numFmtId="1" fontId="26" fillId="0" borderId="10" xfId="15" applyNumberFormat="1" applyFont="1" applyBorder="1" applyAlignment="1">
      <alignment horizontal="left" vertical="center"/>
    </xf>
    <xf numFmtId="166" fontId="47" fillId="0" borderId="1" xfId="15" applyNumberFormat="1" applyFont="1" applyBorder="1" applyAlignment="1">
      <alignment horizontal="left" vertical="center"/>
    </xf>
    <xf numFmtId="0" fontId="47" fillId="5" borderId="2" xfId="0" applyFont="1" applyFill="1" applyBorder="1" applyAlignment="1">
      <alignment horizontal="left" vertical="top" wrapText="1"/>
    </xf>
    <xf numFmtId="173" fontId="29" fillId="12" borderId="7" xfId="0" applyNumberFormat="1" applyFont="1" applyFill="1" applyBorder="1" applyAlignment="1">
      <alignment horizontal="center" vertical="center"/>
    </xf>
    <xf numFmtId="0" fontId="65" fillId="15" borderId="0" xfId="0" applyFont="1" applyFill="1" applyAlignment="1">
      <alignment vertical="center" wrapText="1"/>
    </xf>
    <xf numFmtId="0" fontId="55" fillId="15"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31" fillId="15" borderId="0" xfId="0" applyFont="1" applyFill="1" applyAlignment="1" applyProtection="1">
      <alignment vertical="center"/>
      <protection locked="0"/>
    </xf>
    <xf numFmtId="0" fontId="37" fillId="7" borderId="0" xfId="0" applyFont="1" applyFill="1" applyAlignment="1" applyProtection="1">
      <alignment horizontal="left" vertical="top"/>
      <protection locked="0"/>
    </xf>
    <xf numFmtId="0" fontId="50" fillId="0" borderId="12" xfId="0" applyFont="1" applyBorder="1" applyAlignment="1">
      <alignment horizontal="left" vertical="center" wrapText="1"/>
    </xf>
    <xf numFmtId="0" fontId="29" fillId="0" borderId="7" xfId="0" applyFont="1" applyBorder="1" applyAlignment="1">
      <alignment horizontal="center" vertical="center"/>
    </xf>
    <xf numFmtId="4" fontId="34" fillId="13" borderId="1" xfId="0" applyNumberFormat="1" applyFont="1" applyFill="1" applyBorder="1" applyAlignment="1">
      <alignment horizontal="center" vertical="center"/>
    </xf>
    <xf numFmtId="0" fontId="84" fillId="0" borderId="0" xfId="0" applyFont="1" applyAlignment="1">
      <alignment vertical="top"/>
    </xf>
    <xf numFmtId="0" fontId="47" fillId="5" borderId="1" xfId="0" applyFont="1" applyFill="1" applyBorder="1" applyAlignment="1">
      <alignment horizontal="left" vertical="center" wrapText="1"/>
    </xf>
    <xf numFmtId="167" fontId="29" fillId="0" borderId="1" xfId="0" applyNumberFormat="1" applyFont="1" applyBorder="1" applyAlignment="1">
      <alignment horizontal="center" vertical="center"/>
    </xf>
    <xf numFmtId="167" fontId="43" fillId="0" borderId="1" xfId="0" applyNumberFormat="1" applyFont="1" applyBorder="1" applyAlignment="1">
      <alignment horizontal="center" vertical="center"/>
    </xf>
    <xf numFmtId="0" fontId="26" fillId="6" borderId="1" xfId="15" applyFont="1" applyFill="1" applyBorder="1" applyAlignment="1" applyProtection="1">
      <alignment horizontal="center" vertical="center" wrapText="1"/>
      <protection locked="0"/>
    </xf>
    <xf numFmtId="170" fontId="26" fillId="6" borderId="1" xfId="1" applyNumberFormat="1" applyFont="1" applyFill="1" applyBorder="1" applyAlignment="1">
      <alignment horizontal="center" vertical="center"/>
    </xf>
    <xf numFmtId="0" fontId="26" fillId="0" borderId="1" xfId="0" applyFont="1" applyBorder="1" applyAlignment="1">
      <alignment horizontal="left" vertical="center" wrapText="1" indent="1"/>
    </xf>
    <xf numFmtId="0" fontId="26" fillId="0" borderId="9" xfId="0" applyFont="1" applyBorder="1" applyAlignment="1">
      <alignment horizontal="left" vertical="center" wrapText="1" indent="1"/>
    </xf>
    <xf numFmtId="0" fontId="26" fillId="0" borderId="21" xfId="0" applyFont="1" applyBorder="1" applyAlignment="1">
      <alignment horizontal="left" vertical="center" wrapText="1"/>
    </xf>
    <xf numFmtId="0" fontId="29" fillId="13" borderId="7" xfId="0" applyFont="1" applyFill="1" applyBorder="1" applyAlignment="1">
      <alignment horizontal="left" vertical="center" wrapText="1"/>
    </xf>
    <xf numFmtId="0" fontId="28" fillId="9" borderId="1" xfId="0" applyFont="1" applyFill="1" applyBorder="1" applyAlignment="1">
      <alignment horizontal="left" vertical="center"/>
    </xf>
    <xf numFmtId="0" fontId="26" fillId="12" borderId="21" xfId="0" applyFont="1" applyFill="1" applyBorder="1" applyAlignment="1">
      <alignment horizontal="left" vertical="center"/>
    </xf>
    <xf numFmtId="166" fontId="47" fillId="22" borderId="33" xfId="0" applyNumberFormat="1" applyFont="1" applyFill="1" applyBorder="1" applyAlignment="1">
      <alignment horizontal="center"/>
    </xf>
    <xf numFmtId="0" fontId="26" fillId="5" borderId="1" xfId="15" applyFont="1" applyFill="1" applyBorder="1" applyAlignment="1">
      <alignment horizontal="left" vertical="center" wrapText="1"/>
    </xf>
    <xf numFmtId="165" fontId="27" fillId="5" borderId="7" xfId="0" applyNumberFormat="1" applyFont="1" applyFill="1" applyBorder="1" applyAlignment="1">
      <alignment horizontal="left" vertical="center"/>
    </xf>
    <xf numFmtId="0" fontId="91" fillId="15" borderId="0" xfId="0" applyFont="1" applyFill="1" applyAlignment="1" applyProtection="1">
      <alignment vertical="top"/>
      <protection locked="0"/>
    </xf>
    <xf numFmtId="0" fontId="12" fillId="0" borderId="0" xfId="0" applyFont="1" applyAlignment="1">
      <alignment horizontal="left" vertical="top"/>
    </xf>
    <xf numFmtId="0" fontId="39" fillId="9" borderId="1" xfId="0" applyFont="1" applyFill="1" applyBorder="1" applyAlignment="1">
      <alignment horizontal="center" vertical="center"/>
    </xf>
    <xf numFmtId="0" fontId="91" fillId="15" borderId="0" xfId="0" applyFont="1" applyFill="1" applyAlignment="1" applyProtection="1">
      <alignment vertical="top" wrapText="1"/>
      <protection locked="0"/>
    </xf>
    <xf numFmtId="0" fontId="92" fillId="0" borderId="0" xfId="0" applyFont="1"/>
    <xf numFmtId="0" fontId="92" fillId="0" borderId="0" xfId="0" applyFont="1" applyAlignment="1">
      <alignment horizontal="left"/>
    </xf>
    <xf numFmtId="44" fontId="92" fillId="0" borderId="0" xfId="14" applyFont="1"/>
    <xf numFmtId="0" fontId="93" fillId="0" borderId="0" xfId="0" applyFont="1"/>
    <xf numFmtId="0" fontId="94" fillId="15" borderId="0" xfId="0" applyFont="1" applyFill="1" applyAlignment="1" applyProtection="1">
      <alignment vertical="center" wrapText="1"/>
      <protection locked="0"/>
    </xf>
    <xf numFmtId="0" fontId="91" fillId="15" borderId="0" xfId="0" applyFont="1" applyFill="1"/>
    <xf numFmtId="0" fontId="31" fillId="17" borderId="0" xfId="15" applyFont="1" applyFill="1" applyAlignment="1">
      <alignment horizontal="left"/>
    </xf>
    <xf numFmtId="171" fontId="26" fillId="17" borderId="0" xfId="0" applyNumberFormat="1" applyFont="1" applyFill="1" applyAlignment="1">
      <alignment horizontal="center" vertical="center"/>
    </xf>
    <xf numFmtId="0" fontId="25" fillId="17" borderId="0" xfId="0" applyFont="1" applyFill="1" applyAlignment="1" applyProtection="1">
      <alignment vertical="top"/>
      <protection locked="0"/>
    </xf>
    <xf numFmtId="0" fontId="49" fillId="0" borderId="1" xfId="4" applyFont="1" applyBorder="1" applyAlignment="1">
      <alignment horizontal="left" vertical="center" wrapText="1"/>
    </xf>
    <xf numFmtId="0" fontId="96" fillId="0" borderId="7" xfId="0" applyFont="1" applyBorder="1" applyAlignment="1">
      <alignment horizontal="left" vertical="top" wrapText="1"/>
    </xf>
    <xf numFmtId="0" fontId="47" fillId="5" borderId="15" xfId="15" applyFont="1" applyFill="1" applyBorder="1" applyAlignment="1">
      <alignment horizontal="left" wrapText="1"/>
    </xf>
    <xf numFmtId="0" fontId="47" fillId="0" borderId="1" xfId="15" applyFont="1" applyBorder="1" applyAlignment="1">
      <alignment horizontal="left" vertical="top" wrapText="1"/>
    </xf>
    <xf numFmtId="0" fontId="47" fillId="0" borderId="54" xfId="0" applyFont="1" applyBorder="1" applyAlignment="1">
      <alignment horizontal="left" vertical="top"/>
    </xf>
    <xf numFmtId="0" fontId="40" fillId="0" borderId="1" xfId="0" applyFont="1" applyBorder="1" applyAlignment="1">
      <alignment horizontal="left" vertical="center"/>
    </xf>
    <xf numFmtId="0" fontId="49" fillId="5" borderId="21" xfId="0" applyFont="1" applyFill="1" applyBorder="1" applyAlignment="1">
      <alignment horizontal="left" vertical="center" wrapText="1"/>
    </xf>
    <xf numFmtId="0" fontId="49" fillId="0" borderId="2" xfId="0" applyFont="1" applyBorder="1" applyAlignment="1">
      <alignment horizontal="left" vertical="center"/>
    </xf>
    <xf numFmtId="0" fontId="26" fillId="0" borderId="54" xfId="0" applyFont="1" applyBorder="1" applyAlignment="1">
      <alignment horizontal="center" vertical="center"/>
    </xf>
    <xf numFmtId="0" fontId="38" fillId="0" borderId="54" xfId="0" applyFont="1" applyBorder="1" applyAlignment="1">
      <alignment horizontal="left" vertical="center" wrapText="1"/>
    </xf>
    <xf numFmtId="0" fontId="41" fillId="7" borderId="17" xfId="0" applyFont="1" applyFill="1" applyBorder="1" applyAlignment="1" applyProtection="1">
      <alignment vertical="top"/>
      <protection locked="0"/>
    </xf>
    <xf numFmtId="0" fontId="57" fillId="15" borderId="0" xfId="0" applyFont="1" applyFill="1" applyAlignment="1" applyProtection="1">
      <alignment vertical="top" wrapText="1"/>
      <protection locked="0"/>
    </xf>
    <xf numFmtId="0" fontId="35" fillId="0" borderId="1" xfId="0" applyFont="1" applyBorder="1" applyAlignment="1">
      <alignment vertical="center" wrapText="1"/>
    </xf>
    <xf numFmtId="0" fontId="26" fillId="6" borderId="1" xfId="15" applyFont="1" applyFill="1" applyBorder="1" applyAlignment="1" applyProtection="1">
      <alignment horizontal="center" vertical="center"/>
      <protection locked="0"/>
    </xf>
    <xf numFmtId="3" fontId="26" fillId="6" borderId="1" xfId="15" applyNumberFormat="1" applyFont="1" applyFill="1" applyBorder="1" applyAlignment="1" applyProtection="1">
      <alignment horizontal="center" vertical="center"/>
      <protection locked="0"/>
    </xf>
    <xf numFmtId="49" fontId="34" fillId="25" borderId="1" xfId="1" applyNumberFormat="1" applyFont="1" applyFill="1" applyBorder="1" applyAlignment="1" applyProtection="1">
      <alignment horizontal="center" vertical="center" wrapText="1"/>
      <protection locked="0"/>
    </xf>
    <xf numFmtId="49" fontId="34" fillId="25" borderId="7" xfId="1" applyNumberFormat="1" applyFont="1" applyFill="1" applyBorder="1" applyAlignment="1" applyProtection="1">
      <alignment horizontal="center" vertical="center" wrapText="1"/>
      <protection locked="0"/>
    </xf>
    <xf numFmtId="9" fontId="34" fillId="25" borderId="1" xfId="1" applyFont="1" applyFill="1" applyBorder="1" applyAlignment="1" applyProtection="1">
      <alignment horizontal="center" vertical="center"/>
      <protection locked="0"/>
    </xf>
    <xf numFmtId="9" fontId="35" fillId="25" borderId="1" xfId="0" applyNumberFormat="1" applyFont="1" applyFill="1" applyBorder="1" applyAlignment="1" applyProtection="1">
      <alignment horizontal="center" vertical="center" wrapText="1"/>
      <protection locked="0"/>
    </xf>
    <xf numFmtId="0" fontId="26" fillId="5" borderId="1" xfId="15" applyFont="1" applyFill="1" applyBorder="1" applyAlignment="1">
      <alignment horizontal="center" vertical="center"/>
    </xf>
    <xf numFmtId="164" fontId="35" fillId="0" borderId="1" xfId="5"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protection locked="0"/>
    </xf>
    <xf numFmtId="1" fontId="35" fillId="6" borderId="1" xfId="5" applyNumberFormat="1" applyFont="1" applyFill="1" applyBorder="1" applyAlignment="1" applyProtection="1">
      <alignment horizontal="center" vertical="center" wrapText="1"/>
      <protection locked="0"/>
    </xf>
    <xf numFmtId="1" fontId="35" fillId="6" borderId="1" xfId="0" applyNumberFormat="1" applyFont="1" applyFill="1" applyBorder="1" applyAlignment="1" applyProtection="1">
      <alignment horizontal="center" vertical="center" wrapText="1"/>
      <protection locked="0"/>
    </xf>
    <xf numFmtId="1" fontId="26" fillId="6" borderId="1" xfId="0" applyNumberFormat="1" applyFont="1" applyFill="1" applyBorder="1" applyAlignment="1" applyProtection="1">
      <alignment horizontal="center" vertical="center" wrapText="1"/>
      <protection locked="0"/>
    </xf>
    <xf numFmtId="1" fontId="40" fillId="6" borderId="1" xfId="0" applyNumberFormat="1" applyFont="1" applyFill="1" applyBorder="1" applyAlignment="1" applyProtection="1">
      <alignment horizontal="center" vertical="center" wrapText="1"/>
      <protection locked="0"/>
    </xf>
    <xf numFmtId="0" fontId="26" fillId="0" borderId="7" xfId="0" applyFont="1" applyBorder="1" applyAlignment="1">
      <alignment horizontal="left" vertical="center" wrapText="1" indent="1"/>
    </xf>
    <xf numFmtId="0" fontId="98" fillId="0" borderId="0" xfId="0" applyFont="1" applyAlignment="1">
      <alignment horizontal="left" indent="2"/>
    </xf>
    <xf numFmtId="0" fontId="47" fillId="12" borderId="7" xfId="0" applyFont="1" applyFill="1" applyBorder="1" applyAlignment="1">
      <alignment horizontal="left" vertical="top"/>
    </xf>
    <xf numFmtId="0" fontId="47" fillId="5" borderId="7" xfId="0" applyFont="1" applyFill="1" applyBorder="1" applyAlignment="1">
      <alignment vertical="center"/>
    </xf>
    <xf numFmtId="166" fontId="34" fillId="0" borderId="21" xfId="0" applyNumberFormat="1" applyFont="1" applyBorder="1" applyAlignment="1">
      <alignment horizontal="center" vertical="center"/>
    </xf>
    <xf numFmtId="0" fontId="98" fillId="0" borderId="0" xfId="0" applyFont="1" applyAlignment="1">
      <alignment horizontal="left" wrapText="1" indent="2"/>
    </xf>
    <xf numFmtId="0" fontId="75" fillId="17" borderId="0" xfId="0" applyFont="1" applyFill="1"/>
    <xf numFmtId="0" fontId="0" fillId="0" borderId="0" xfId="0" applyAlignment="1">
      <alignment horizontal="left" indent="2"/>
    </xf>
    <xf numFmtId="166" fontId="48" fillId="7" borderId="7" xfId="0" applyNumberFormat="1" applyFont="1" applyFill="1" applyBorder="1" applyAlignment="1" applyProtection="1">
      <alignment horizontal="center" vertical="center" wrapText="1"/>
      <protection locked="0"/>
    </xf>
    <xf numFmtId="0" fontId="99" fillId="26" borderId="1" xfId="15" applyFont="1" applyFill="1" applyBorder="1"/>
    <xf numFmtId="0" fontId="99" fillId="26" borderId="1" xfId="15" applyFont="1" applyFill="1" applyBorder="1" applyAlignment="1">
      <alignment horizontal="center"/>
    </xf>
    <xf numFmtId="0" fontId="99" fillId="26" borderId="1" xfId="15" applyFont="1" applyFill="1" applyBorder="1" applyAlignment="1">
      <alignment horizontal="left"/>
    </xf>
    <xf numFmtId="0" fontId="99" fillId="0" borderId="0" xfId="15" applyFont="1"/>
    <xf numFmtId="0" fontId="83" fillId="0" borderId="1" xfId="0" applyFont="1" applyBorder="1"/>
    <xf numFmtId="0" fontId="83" fillId="0" borderId="1" xfId="0" applyFont="1" applyBorder="1" applyAlignment="1">
      <alignment wrapText="1"/>
    </xf>
    <xf numFmtId="0" fontId="99" fillId="0" borderId="1" xfId="15" applyFont="1" applyBorder="1"/>
    <xf numFmtId="0" fontId="39" fillId="9" borderId="1" xfId="0" applyFont="1" applyFill="1" applyBorder="1" applyAlignment="1">
      <alignment horizontal="left" vertical="center"/>
    </xf>
    <xf numFmtId="0" fontId="35" fillId="0" borderId="2" xfId="0" applyFont="1" applyBorder="1" applyAlignment="1">
      <alignment vertical="center" wrapText="1"/>
    </xf>
    <xf numFmtId="165" fontId="100" fillId="0" borderId="7" xfId="0" applyNumberFormat="1" applyFont="1" applyBorder="1" applyAlignment="1">
      <alignment horizontal="center"/>
    </xf>
    <xf numFmtId="0" fontId="10" fillId="0" borderId="0" xfId="15" applyFont="1"/>
    <xf numFmtId="0" fontId="101" fillId="0" borderId="0" xfId="15" applyFont="1"/>
    <xf numFmtId="14" fontId="12" fillId="0" borderId="0" xfId="0" applyNumberFormat="1" applyFont="1" applyAlignment="1">
      <alignment horizontal="left"/>
    </xf>
    <xf numFmtId="0" fontId="12" fillId="0" borderId="0" xfId="0" applyFont="1" applyAlignment="1">
      <alignment horizontal="center"/>
    </xf>
    <xf numFmtId="0" fontId="103" fillId="0" borderId="0" xfId="0" applyFont="1"/>
    <xf numFmtId="0" fontId="104" fillId="0" borderId="0" xfId="0" applyFont="1"/>
    <xf numFmtId="0" fontId="39" fillId="9" borderId="9" xfId="0" applyFont="1" applyFill="1" applyBorder="1" applyAlignment="1">
      <alignment horizontal="left" vertical="center"/>
    </xf>
    <xf numFmtId="0" fontId="54" fillId="9" borderId="9" xfId="0" applyFont="1" applyFill="1" applyBorder="1" applyAlignment="1">
      <alignment horizontal="center" vertical="center"/>
    </xf>
    <xf numFmtId="0" fontId="31" fillId="9" borderId="9" xfId="0" applyFont="1" applyFill="1" applyBorder="1" applyAlignment="1">
      <alignment horizontal="center" vertical="center"/>
    </xf>
    <xf numFmtId="0" fontId="48" fillId="0" borderId="7" xfId="0" applyFont="1" applyBorder="1" applyAlignment="1">
      <alignment horizontal="center" vertical="center" wrapText="1"/>
    </xf>
    <xf numFmtId="166" fontId="48" fillId="5" borderId="1" xfId="0" applyNumberFormat="1" applyFont="1" applyFill="1" applyBorder="1" applyAlignment="1">
      <alignment horizontal="center" vertical="center" wrapText="1"/>
    </xf>
    <xf numFmtId="9" fontId="48" fillId="5" borderId="1" xfId="1" applyFont="1" applyFill="1" applyBorder="1" applyAlignment="1" applyProtection="1">
      <alignment horizontal="center" vertical="center" wrapText="1"/>
    </xf>
    <xf numFmtId="0" fontId="0" fillId="0" borderId="0" xfId="0" applyAlignment="1">
      <alignment vertical="top"/>
    </xf>
    <xf numFmtId="0" fontId="0" fillId="0" borderId="0" xfId="0" applyAlignment="1">
      <alignment vertical="top" wrapText="1"/>
    </xf>
    <xf numFmtId="0" fontId="10" fillId="0" borderId="0" xfId="15" applyFont="1" applyAlignment="1">
      <alignment vertical="top"/>
    </xf>
    <xf numFmtId="166" fontId="0" fillId="0" borderId="0" xfId="0" applyNumberFormat="1" applyAlignment="1">
      <alignment vertical="top"/>
    </xf>
    <xf numFmtId="0" fontId="12" fillId="0" borderId="0" xfId="0" applyFont="1" applyAlignment="1">
      <alignment horizontal="center" vertical="top"/>
    </xf>
    <xf numFmtId="166" fontId="0" fillId="0" borderId="0" xfId="0" applyNumberFormat="1" applyAlignment="1">
      <alignment horizontal="center" vertical="top"/>
    </xf>
    <xf numFmtId="166" fontId="0" fillId="0" borderId="0" xfId="0" applyNumberFormat="1" applyAlignment="1">
      <alignment horizontal="center"/>
    </xf>
    <xf numFmtId="0" fontId="19" fillId="10" borderId="1" xfId="15" applyFont="1" applyFill="1" applyBorder="1" applyAlignment="1">
      <alignment horizontal="left" vertical="center"/>
    </xf>
    <xf numFmtId="166" fontId="68" fillId="3" borderId="1" xfId="15" applyNumberFormat="1" applyFont="1" applyFill="1" applyBorder="1" applyAlignment="1">
      <alignment horizontal="left"/>
    </xf>
    <xf numFmtId="166" fontId="68" fillId="0" borderId="1" xfId="15" applyNumberFormat="1" applyFont="1" applyBorder="1" applyAlignment="1">
      <alignment horizontal="left"/>
    </xf>
    <xf numFmtId="0" fontId="78" fillId="18" borderId="1" xfId="15" quotePrefix="1" applyFont="1" applyFill="1" applyBorder="1" applyAlignment="1">
      <alignment horizontal="left"/>
    </xf>
    <xf numFmtId="0" fontId="91" fillId="15" borderId="0" xfId="0" applyFont="1" applyFill="1" applyAlignment="1" applyProtection="1">
      <alignment vertical="center"/>
      <protection locked="0"/>
    </xf>
    <xf numFmtId="0" fontId="50" fillId="0" borderId="2" xfId="0" applyFont="1" applyBorder="1" applyAlignment="1">
      <alignment horizontal="left" vertical="center" wrapText="1"/>
    </xf>
    <xf numFmtId="0" fontId="55" fillId="24" borderId="0" xfId="0" applyFont="1" applyFill="1" applyAlignment="1">
      <alignment vertical="center" wrapText="1"/>
    </xf>
    <xf numFmtId="0" fontId="86" fillId="24" borderId="0" xfId="0" applyFont="1" applyFill="1" applyAlignment="1">
      <alignment vertical="center"/>
    </xf>
    <xf numFmtId="0" fontId="55" fillId="15" borderId="0" xfId="0" applyFont="1" applyFill="1" applyAlignment="1" applyProtection="1">
      <alignment vertical="center" wrapText="1"/>
      <protection locked="0"/>
    </xf>
    <xf numFmtId="166" fontId="40" fillId="7" borderId="6" xfId="0" applyNumberFormat="1" applyFont="1" applyFill="1" applyBorder="1" applyAlignment="1" applyProtection="1">
      <alignment horizontal="center" vertical="center"/>
      <protection locked="0"/>
    </xf>
    <xf numFmtId="0" fontId="35" fillId="0" borderId="1" xfId="0" applyFont="1" applyBorder="1" applyAlignment="1">
      <alignment horizontal="center" vertical="top" wrapText="1"/>
    </xf>
    <xf numFmtId="9" fontId="34" fillId="25" borderId="1" xfId="1" applyFont="1" applyFill="1" applyBorder="1" applyAlignment="1" applyProtection="1">
      <alignment horizontal="center" vertical="center" wrapText="1"/>
      <protection locked="0"/>
    </xf>
    <xf numFmtId="3" fontId="105" fillId="6" borderId="1" xfId="15" applyNumberFormat="1" applyFont="1" applyFill="1" applyBorder="1" applyAlignment="1" applyProtection="1">
      <alignment horizontal="center" vertical="center"/>
      <protection locked="0"/>
    </xf>
    <xf numFmtId="0" fontId="6" fillId="0" borderId="0" xfId="4"/>
    <xf numFmtId="0" fontId="106" fillId="3" borderId="65" xfId="0" applyFont="1" applyFill="1" applyBorder="1" applyAlignment="1">
      <alignment wrapText="1"/>
    </xf>
    <xf numFmtId="0" fontId="107" fillId="3" borderId="66" xfId="0" applyFont="1" applyFill="1" applyBorder="1" applyAlignment="1">
      <alignment wrapText="1"/>
    </xf>
    <xf numFmtId="0" fontId="107" fillId="3" borderId="67" xfId="0" applyFont="1" applyFill="1" applyBorder="1" applyAlignment="1">
      <alignment wrapText="1"/>
    </xf>
    <xf numFmtId="0" fontId="107" fillId="3" borderId="68" xfId="0" applyFont="1" applyFill="1" applyBorder="1" applyAlignment="1">
      <alignment wrapText="1"/>
    </xf>
    <xf numFmtId="0" fontId="106" fillId="3" borderId="69" xfId="0" applyFont="1" applyFill="1" applyBorder="1" applyAlignment="1">
      <alignment wrapText="1"/>
    </xf>
    <xf numFmtId="0" fontId="106" fillId="3" borderId="70" xfId="0" applyFont="1" applyFill="1" applyBorder="1" applyAlignment="1">
      <alignment wrapText="1"/>
    </xf>
    <xf numFmtId="0" fontId="107" fillId="3" borderId="71" xfId="0" applyFont="1" applyFill="1" applyBorder="1" applyAlignment="1">
      <alignment wrapText="1"/>
    </xf>
    <xf numFmtId="0" fontId="106" fillId="3" borderId="72" xfId="0" applyFont="1" applyFill="1" applyBorder="1" applyAlignment="1">
      <alignment wrapText="1"/>
    </xf>
    <xf numFmtId="0" fontId="106" fillId="3" borderId="73" xfId="0" applyFont="1" applyFill="1" applyBorder="1" applyAlignment="1">
      <alignment wrapText="1"/>
    </xf>
    <xf numFmtId="0" fontId="26" fillId="5" borderId="8" xfId="0" applyFont="1" applyFill="1" applyBorder="1" applyAlignment="1">
      <alignment horizontal="center" vertical="center"/>
    </xf>
    <xf numFmtId="0" fontId="26" fillId="5" borderId="64" xfId="0" applyFont="1" applyFill="1" applyBorder="1" applyAlignment="1">
      <alignment horizontal="center" vertical="center"/>
    </xf>
    <xf numFmtId="0" fontId="47" fillId="5" borderId="64" xfId="0" applyFont="1" applyFill="1" applyBorder="1" applyAlignment="1">
      <alignment vertical="top" wrapText="1"/>
    </xf>
    <xf numFmtId="0" fontId="26" fillId="5" borderId="20" xfId="0" applyFont="1" applyFill="1" applyBorder="1" applyAlignment="1">
      <alignment horizontal="center" vertical="center"/>
    </xf>
    <xf numFmtId="0" fontId="46" fillId="9" borderId="1" xfId="0" applyFont="1" applyFill="1" applyBorder="1" applyAlignment="1">
      <alignment horizontal="center" vertical="center"/>
    </xf>
    <xf numFmtId="0" fontId="109" fillId="15" borderId="0" xfId="0" applyFont="1" applyFill="1" applyAlignment="1" applyProtection="1">
      <alignment vertical="top"/>
      <protection locked="0"/>
    </xf>
    <xf numFmtId="0" fontId="26" fillId="0" borderId="8" xfId="0" applyFont="1" applyBorder="1" applyAlignment="1">
      <alignment horizontal="left" vertical="top"/>
    </xf>
    <xf numFmtId="0" fontId="40" fillId="5" borderId="8" xfId="0" applyFont="1" applyFill="1" applyBorder="1" applyAlignment="1">
      <alignment vertical="top" wrapText="1"/>
    </xf>
    <xf numFmtId="0" fontId="26" fillId="0" borderId="8" xfId="0" applyFont="1" applyBorder="1" applyAlignment="1">
      <alignment horizontal="center" vertical="top"/>
    </xf>
    <xf numFmtId="0" fontId="109" fillId="15" borderId="0" xfId="0" applyFont="1" applyFill="1" applyAlignment="1" applyProtection="1">
      <alignment vertical="top" wrapText="1"/>
      <protection locked="0"/>
    </xf>
    <xf numFmtId="1" fontId="26" fillId="0" borderId="8" xfId="0" applyNumberFormat="1" applyFont="1" applyBorder="1" applyAlignment="1">
      <alignment horizontal="center" vertical="top"/>
    </xf>
    <xf numFmtId="0" fontId="110" fillId="0" borderId="20" xfId="4" applyFont="1" applyBorder="1" applyAlignment="1">
      <alignment vertical="top"/>
    </xf>
    <xf numFmtId="0" fontId="26" fillId="0" borderId="20" xfId="0" applyFont="1" applyBorder="1" applyAlignment="1">
      <alignment vertical="top"/>
    </xf>
    <xf numFmtId="2" fontId="29" fillId="0" borderId="20" xfId="0" applyNumberFormat="1" applyFont="1" applyBorder="1" applyAlignment="1">
      <alignment horizontal="center" vertical="top"/>
    </xf>
    <xf numFmtId="0" fontId="98" fillId="0" borderId="0" xfId="0" applyFont="1"/>
    <xf numFmtId="0" fontId="111" fillId="0" borderId="0" xfId="0" applyFont="1"/>
    <xf numFmtId="165" fontId="100" fillId="0" borderId="1" xfId="0" applyNumberFormat="1" applyFont="1" applyBorder="1" applyAlignment="1">
      <alignment horizontal="center"/>
    </xf>
    <xf numFmtId="0" fontId="29" fillId="22" borderId="36" xfId="15" applyFont="1" applyFill="1" applyBorder="1" applyAlignment="1">
      <alignment horizontal="left" vertical="center" wrapText="1"/>
    </xf>
    <xf numFmtId="171" fontId="115" fillId="22" borderId="36" xfId="0" applyNumberFormat="1" applyFont="1" applyFill="1" applyBorder="1" applyAlignment="1">
      <alignment horizontal="center"/>
    </xf>
    <xf numFmtId="0" fontId="29" fillId="13" borderId="1" xfId="0" applyFont="1" applyFill="1" applyBorder="1" applyAlignment="1">
      <alignment horizontal="left" vertical="center"/>
    </xf>
    <xf numFmtId="0" fontId="47" fillId="5" borderId="12" xfId="0" applyFont="1" applyFill="1" applyBorder="1" applyAlignment="1">
      <alignment vertical="center"/>
    </xf>
    <xf numFmtId="0" fontId="29" fillId="17" borderId="62" xfId="0" applyFont="1" applyFill="1" applyBorder="1" applyAlignment="1">
      <alignment horizontal="left" vertical="center"/>
    </xf>
    <xf numFmtId="0" fontId="28" fillId="15" borderId="0" xfId="0" applyFont="1" applyFill="1" applyAlignment="1">
      <alignment horizontal="center" vertical="center" wrapText="1"/>
    </xf>
    <xf numFmtId="0" fontId="46" fillId="15" borderId="0" xfId="0" applyFont="1" applyFill="1" applyAlignment="1">
      <alignment horizontal="center" vertical="center" wrapText="1"/>
    </xf>
    <xf numFmtId="0" fontId="47" fillId="13" borderId="7" xfId="0" applyFont="1" applyFill="1" applyBorder="1" applyAlignment="1">
      <alignment vertical="center"/>
    </xf>
    <xf numFmtId="165" fontId="29" fillId="13" borderId="7" xfId="0" applyNumberFormat="1" applyFont="1" applyFill="1" applyBorder="1" applyAlignment="1">
      <alignment horizontal="center" vertical="center"/>
    </xf>
    <xf numFmtId="0" fontId="39" fillId="15" borderId="0" xfId="0" applyFont="1" applyFill="1" applyAlignment="1" applyProtection="1">
      <alignment vertical="center"/>
      <protection locked="0"/>
    </xf>
    <xf numFmtId="165" fontId="29" fillId="13" borderId="1" xfId="0" applyNumberFormat="1" applyFont="1" applyFill="1" applyBorder="1" applyAlignment="1">
      <alignment horizontal="center"/>
    </xf>
    <xf numFmtId="0" fontId="29" fillId="5" borderId="1" xfId="0" applyFont="1" applyFill="1" applyBorder="1" applyAlignment="1">
      <alignment horizontal="left" vertical="center"/>
    </xf>
    <xf numFmtId="165" fontId="26" fillId="5" borderId="1" xfId="0" applyNumberFormat="1" applyFont="1" applyFill="1" applyBorder="1" applyAlignment="1">
      <alignment horizontal="center"/>
    </xf>
    <xf numFmtId="0" fontId="39" fillId="15" borderId="0" xfId="0" applyFont="1" applyFill="1" applyAlignment="1" applyProtection="1">
      <alignment vertical="top"/>
      <protection locked="0"/>
    </xf>
    <xf numFmtId="0" fontId="47" fillId="5" borderId="7"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7" xfId="0" applyFont="1" applyFill="1" applyBorder="1" applyAlignment="1">
      <alignment horizontal="left" vertical="center" wrapText="1"/>
    </xf>
    <xf numFmtId="0" fontId="116" fillId="5" borderId="12" xfId="0" applyFont="1" applyFill="1" applyBorder="1" applyAlignment="1">
      <alignment vertical="center"/>
    </xf>
    <xf numFmtId="0" fontId="29" fillId="13" borderId="1" xfId="0" applyFont="1" applyFill="1" applyBorder="1" applyAlignment="1">
      <alignment horizontal="center" vertical="center"/>
    </xf>
    <xf numFmtId="171" fontId="114" fillId="22" borderId="36" xfId="0" applyNumberFormat="1" applyFont="1" applyFill="1" applyBorder="1" applyAlignment="1">
      <alignment horizontal="center"/>
    </xf>
    <xf numFmtId="0" fontId="26" fillId="5" borderId="1" xfId="0" applyFont="1" applyFill="1" applyBorder="1" applyAlignment="1">
      <alignment horizontal="left" vertical="center"/>
    </xf>
    <xf numFmtId="0" fontId="50" fillId="0" borderId="5" xfId="0" applyFont="1" applyBorder="1" applyAlignment="1">
      <alignment horizontal="left" vertical="center" wrapText="1"/>
    </xf>
    <xf numFmtId="0" fontId="55" fillId="15" borderId="1" xfId="0" applyFont="1" applyFill="1" applyBorder="1" applyAlignment="1" applyProtection="1">
      <alignment vertical="center"/>
      <protection locked="0"/>
    </xf>
    <xf numFmtId="166" fontId="80" fillId="14" borderId="1" xfId="15" applyNumberFormat="1" applyFont="1" applyFill="1" applyBorder="1" applyAlignment="1">
      <alignment horizontal="center"/>
    </xf>
    <xf numFmtId="0" fontId="0" fillId="22" borderId="1" xfId="0" applyFill="1" applyBorder="1" applyAlignment="1">
      <alignment wrapText="1"/>
    </xf>
    <xf numFmtId="0" fontId="12" fillId="0" borderId="0" xfId="0" applyFont="1" applyAlignment="1">
      <alignment horizontal="center" vertical="center"/>
    </xf>
    <xf numFmtId="0" fontId="0" fillId="0" borderId="0" xfId="0" applyAlignment="1">
      <alignment horizontal="center" vertical="center"/>
    </xf>
    <xf numFmtId="0" fontId="12" fillId="22" borderId="0" xfId="0" applyFont="1" applyFill="1"/>
    <xf numFmtId="0" fontId="0" fillId="22" borderId="0" xfId="0" applyFill="1"/>
    <xf numFmtId="0" fontId="0" fillId="0" borderId="1" xfId="0" applyBorder="1" applyAlignment="1">
      <alignment vertical="top" wrapText="1"/>
    </xf>
    <xf numFmtId="0" fontId="0" fillId="0" borderId="1" xfId="0" applyBorder="1" applyAlignment="1">
      <alignment horizontal="left" vertical="top" wrapText="1"/>
    </xf>
    <xf numFmtId="0" fontId="0" fillId="0" borderId="9" xfId="0" applyBorder="1" applyAlignment="1">
      <alignment horizontal="left" vertical="top" wrapText="1"/>
    </xf>
    <xf numFmtId="0" fontId="0" fillId="0" borderId="6" xfId="0" applyBorder="1"/>
    <xf numFmtId="0" fontId="98" fillId="0" borderId="7" xfId="0" applyFont="1" applyBorder="1"/>
    <xf numFmtId="0" fontId="0" fillId="0" borderId="9" xfId="0" applyBorder="1" applyAlignment="1">
      <alignment vertical="top" wrapText="1"/>
    </xf>
    <xf numFmtId="0" fontId="0" fillId="0" borderId="6" xfId="0" applyBorder="1" applyAlignment="1">
      <alignment vertical="top"/>
    </xf>
    <xf numFmtId="0" fontId="0" fillId="0" borderId="7" xfId="0" applyBorder="1"/>
    <xf numFmtId="0" fontId="0" fillId="0" borderId="9" xfId="0" applyBorder="1" applyAlignment="1">
      <alignment vertical="top"/>
    </xf>
    <xf numFmtId="0" fontId="0" fillId="0" borderId="6" xfId="0" applyBorder="1" applyAlignment="1">
      <alignment vertical="top" wrapText="1"/>
    </xf>
    <xf numFmtId="0" fontId="0" fillId="0" borderId="7" xfId="0" applyBorder="1" applyAlignment="1">
      <alignment vertical="top"/>
    </xf>
    <xf numFmtId="0" fontId="0" fillId="0" borderId="1" xfId="0" applyBorder="1" applyAlignment="1">
      <alignment horizontal="center" vertical="center"/>
    </xf>
    <xf numFmtId="0" fontId="0" fillId="0" borderId="9" xfId="0" applyBorder="1"/>
    <xf numFmtId="0" fontId="80" fillId="14" borderId="0" xfId="15" applyFont="1" applyFill="1"/>
    <xf numFmtId="0" fontId="0" fillId="0" borderId="1" xfId="0" applyBorder="1" applyAlignment="1">
      <alignment vertical="top"/>
    </xf>
    <xf numFmtId="0" fontId="0" fillId="14" borderId="1" xfId="0" applyFill="1" applyBorder="1" applyAlignment="1">
      <alignment wrapText="1"/>
    </xf>
    <xf numFmtId="9" fontId="0" fillId="0" borderId="6" xfId="0" applyNumberFormat="1" applyBorder="1"/>
    <xf numFmtId="0" fontId="26" fillId="5" borderId="4" xfId="15" applyFont="1" applyFill="1" applyBorder="1" applyAlignment="1">
      <alignment horizontal="left" vertical="center" wrapText="1"/>
    </xf>
    <xf numFmtId="0" fontId="0" fillId="22" borderId="1" xfId="0" applyFill="1" applyBorder="1" applyAlignment="1">
      <alignment vertical="center"/>
    </xf>
    <xf numFmtId="0" fontId="26" fillId="5" borderId="74" xfId="0" applyFont="1" applyFill="1" applyBorder="1" applyAlignment="1">
      <alignment horizontal="center" vertical="center"/>
    </xf>
    <xf numFmtId="0" fontId="26" fillId="0" borderId="64" xfId="0" applyFont="1" applyBorder="1" applyAlignment="1">
      <alignment horizontal="left" vertical="center" wrapText="1"/>
    </xf>
    <xf numFmtId="0" fontId="26" fillId="0" borderId="64" xfId="0" applyFont="1" applyBorder="1" applyAlignment="1">
      <alignment horizontal="center" vertical="center"/>
    </xf>
    <xf numFmtId="0" fontId="112" fillId="15" borderId="0" xfId="0" applyFont="1" applyFill="1" applyAlignment="1" applyProtection="1">
      <alignment vertical="top"/>
      <protection locked="0"/>
    </xf>
    <xf numFmtId="0" fontId="117" fillId="0" borderId="1" xfId="0" applyFont="1" applyBorder="1"/>
    <xf numFmtId="0" fontId="0" fillId="22" borderId="1" xfId="0" applyFill="1" applyBorder="1"/>
    <xf numFmtId="0" fontId="57" fillId="24" borderId="0" xfId="0" applyFont="1" applyFill="1" applyAlignment="1">
      <alignment vertical="top" wrapText="1"/>
    </xf>
    <xf numFmtId="0" fontId="49" fillId="0" borderId="7" xfId="4" applyFont="1" applyBorder="1" applyAlignment="1">
      <alignment horizontal="left" vertical="center" wrapText="1"/>
    </xf>
    <xf numFmtId="0" fontId="52" fillId="0" borderId="1" xfId="15" applyFont="1" applyBorder="1" applyAlignment="1">
      <alignment horizontal="left"/>
    </xf>
    <xf numFmtId="0" fontId="26" fillId="5" borderId="9" xfId="0" applyFont="1" applyFill="1" applyBorder="1" applyAlignment="1">
      <alignment horizontal="left" vertical="center"/>
    </xf>
    <xf numFmtId="0" fontId="47" fillId="5" borderId="9" xfId="0" applyFont="1" applyFill="1" applyBorder="1"/>
    <xf numFmtId="165" fontId="26" fillId="5" borderId="9" xfId="0" applyNumberFormat="1" applyFont="1" applyFill="1" applyBorder="1" applyAlignment="1">
      <alignment horizontal="center"/>
    </xf>
    <xf numFmtId="0" fontId="29" fillId="5" borderId="1" xfId="0" applyFont="1" applyFill="1" applyBorder="1" applyAlignment="1">
      <alignment horizontal="center" vertical="center"/>
    </xf>
    <xf numFmtId="0" fontId="57" fillId="24" borderId="0" xfId="0" applyFont="1" applyFill="1"/>
    <xf numFmtId="0" fontId="0" fillId="0" borderId="1" xfId="0" applyBorder="1" applyAlignment="1">
      <alignment horizontal="center" vertical="center" wrapText="1"/>
    </xf>
    <xf numFmtId="0" fontId="57" fillId="15" borderId="0" xfId="0" applyFont="1" applyFill="1"/>
    <xf numFmtId="0" fontId="49" fillId="13" borderId="1" xfId="0" applyFont="1" applyFill="1" applyBorder="1" applyAlignment="1">
      <alignment horizontal="left" vertical="center" wrapText="1"/>
    </xf>
    <xf numFmtId="0" fontId="120" fillId="15" borderId="0" xfId="0" applyFont="1" applyFill="1" applyAlignment="1" applyProtection="1">
      <alignment vertical="top" wrapText="1"/>
      <protection locked="0"/>
    </xf>
    <xf numFmtId="0" fontId="57" fillId="15" borderId="1" xfId="0" applyFont="1" applyFill="1" applyBorder="1" applyAlignment="1" applyProtection="1">
      <alignment vertical="center"/>
      <protection locked="0"/>
    </xf>
    <xf numFmtId="0" fontId="0" fillId="0" borderId="8" xfId="0" applyBorder="1" applyAlignment="1">
      <alignment horizontal="center" vertical="center"/>
    </xf>
    <xf numFmtId="0" fontId="29" fillId="28" borderId="37" xfId="0" applyFont="1" applyFill="1" applyBorder="1" applyAlignment="1">
      <alignment horizontal="left" vertical="center"/>
    </xf>
    <xf numFmtId="0" fontId="34" fillId="0" borderId="1" xfId="0" applyFont="1" applyBorder="1" applyAlignment="1">
      <alignment vertical="center" wrapText="1"/>
    </xf>
    <xf numFmtId="166" fontId="68" fillId="0" borderId="1" xfId="15" applyNumberFormat="1" applyFont="1" applyBorder="1" applyAlignment="1">
      <alignment horizontal="center"/>
    </xf>
    <xf numFmtId="0" fontId="86" fillId="24" borderId="0" xfId="0" applyFont="1" applyFill="1" applyAlignment="1">
      <alignment vertical="top"/>
    </xf>
    <xf numFmtId="0" fontId="24" fillId="15" borderId="0" xfId="0" applyFont="1" applyFill="1" applyAlignment="1">
      <alignment horizontal="left" vertical="center"/>
    </xf>
    <xf numFmtId="0" fontId="86" fillId="24" borderId="5" xfId="0" applyFont="1" applyFill="1" applyBorder="1" applyAlignment="1">
      <alignment vertical="top"/>
    </xf>
    <xf numFmtId="0" fontId="54" fillId="9" borderId="4" xfId="0" applyFont="1" applyFill="1" applyBorder="1" applyAlignment="1">
      <alignment horizontal="left" vertical="center"/>
    </xf>
    <xf numFmtId="0" fontId="10" fillId="0" borderId="7" xfId="15" applyFont="1" applyBorder="1"/>
    <xf numFmtId="166" fontId="10" fillId="0" borderId="7" xfId="15" applyNumberFormat="1" applyFont="1" applyBorder="1" applyAlignment="1">
      <alignment horizontal="center"/>
    </xf>
    <xf numFmtId="166" fontId="10" fillId="0" borderId="7" xfId="15" applyNumberFormat="1" applyFont="1" applyBorder="1" applyAlignment="1">
      <alignment horizontal="left"/>
    </xf>
    <xf numFmtId="166" fontId="68" fillId="3" borderId="7" xfId="15" applyNumberFormat="1" applyFont="1" applyFill="1" applyBorder="1" applyAlignment="1">
      <alignment horizontal="left"/>
    </xf>
    <xf numFmtId="0" fontId="10" fillId="0" borderId="21" xfId="15" applyFont="1" applyBorder="1"/>
    <xf numFmtId="9" fontId="10" fillId="0" borderId="21" xfId="15" applyNumberFormat="1" applyFont="1" applyBorder="1" applyAlignment="1">
      <alignment horizontal="center"/>
    </xf>
    <xf numFmtId="9" fontId="10" fillId="0" borderId="21" xfId="15" applyNumberFormat="1" applyFont="1" applyBorder="1" applyAlignment="1">
      <alignment horizontal="left"/>
    </xf>
    <xf numFmtId="0" fontId="10" fillId="0" borderId="21" xfId="15" applyFont="1" applyBorder="1" applyAlignment="1">
      <alignment horizontal="left"/>
    </xf>
    <xf numFmtId="0" fontId="10" fillId="0" borderId="7" xfId="0" applyFont="1" applyBorder="1" applyAlignment="1">
      <alignment horizontal="left"/>
    </xf>
    <xf numFmtId="0" fontId="78" fillId="0" borderId="7" xfId="15" applyFont="1" applyBorder="1"/>
    <xf numFmtId="0" fontId="78" fillId="0" borderId="7" xfId="15" applyFont="1" applyBorder="1" applyAlignment="1">
      <alignment horizontal="left"/>
    </xf>
    <xf numFmtId="0" fontId="10" fillId="0" borderId="21" xfId="0" applyFont="1" applyBorder="1" applyAlignment="1">
      <alignment horizontal="left"/>
    </xf>
    <xf numFmtId="0" fontId="78" fillId="0" borderId="21" xfId="15" applyFont="1" applyBorder="1"/>
    <xf numFmtId="9" fontId="10" fillId="0" borderId="75" xfId="0" applyNumberFormat="1" applyFont="1" applyBorder="1" applyAlignment="1">
      <alignment horizontal="center" vertical="center"/>
    </xf>
    <xf numFmtId="0" fontId="78" fillId="0" borderId="21" xfId="15" applyFont="1" applyBorder="1" applyAlignment="1">
      <alignment horizontal="left"/>
    </xf>
    <xf numFmtId="166" fontId="10" fillId="0" borderId="21" xfId="15" applyNumberFormat="1" applyFont="1" applyBorder="1" applyAlignment="1">
      <alignment horizontal="center"/>
    </xf>
    <xf numFmtId="166" fontId="10" fillId="0" borderId="21" xfId="15" applyNumberFormat="1" applyFont="1" applyBorder="1" applyAlignment="1">
      <alignment horizontal="left"/>
    </xf>
    <xf numFmtId="166" fontId="68" fillId="3" borderId="21" xfId="15" applyNumberFormat="1" applyFont="1" applyFill="1" applyBorder="1" applyAlignment="1">
      <alignment horizontal="left"/>
    </xf>
    <xf numFmtId="9" fontId="78" fillId="0" borderId="21" xfId="15" applyNumberFormat="1" applyFont="1" applyBorder="1" applyAlignment="1">
      <alignment horizontal="center"/>
    </xf>
    <xf numFmtId="0" fontId="78" fillId="14" borderId="1" xfId="15" applyFont="1" applyFill="1" applyBorder="1" applyAlignment="1">
      <alignment horizontal="left"/>
    </xf>
    <xf numFmtId="165" fontId="48" fillId="5" borderId="1" xfId="0" applyNumberFormat="1" applyFont="1" applyFill="1" applyBorder="1" applyAlignment="1">
      <alignment horizontal="center" vertical="center" wrapText="1"/>
    </xf>
    <xf numFmtId="0" fontId="28" fillId="9" borderId="9" xfId="0" applyFont="1" applyFill="1" applyBorder="1" applyAlignment="1">
      <alignment horizontal="center" vertical="center"/>
    </xf>
    <xf numFmtId="165" fontId="113" fillId="5" borderId="33" xfId="0" applyNumberFormat="1" applyFont="1" applyFill="1" applyBorder="1" applyAlignment="1">
      <alignment horizontal="center" vertical="center"/>
    </xf>
    <xf numFmtId="165" fontId="115" fillId="5" borderId="62" xfId="0" applyNumberFormat="1" applyFont="1" applyFill="1" applyBorder="1" applyAlignment="1">
      <alignment horizontal="left" vertical="center" indent="18"/>
    </xf>
    <xf numFmtId="165" fontId="115" fillId="5" borderId="84" xfId="0" applyNumberFormat="1" applyFont="1" applyFill="1" applyBorder="1" applyAlignment="1">
      <alignment horizontal="left" vertical="center" indent="18"/>
    </xf>
    <xf numFmtId="0" fontId="28" fillId="9" borderId="6" xfId="0" applyFont="1" applyFill="1" applyBorder="1" applyAlignment="1">
      <alignment horizontal="center" vertical="center"/>
    </xf>
    <xf numFmtId="0" fontId="54" fillId="9" borderId="6" xfId="0" applyFont="1" applyFill="1" applyBorder="1" applyAlignment="1">
      <alignment horizontal="center" vertical="center"/>
    </xf>
    <xf numFmtId="0" fontId="31" fillId="9" borderId="6" xfId="0" applyFont="1" applyFill="1" applyBorder="1" applyAlignment="1">
      <alignment horizontal="center" vertical="center"/>
    </xf>
    <xf numFmtId="0" fontId="0" fillId="0" borderId="3" xfId="0" applyBorder="1"/>
    <xf numFmtId="0" fontId="71" fillId="15" borderId="0" xfId="0" applyFont="1" applyFill="1" applyAlignment="1" applyProtection="1">
      <alignment vertical="top"/>
      <protection locked="0"/>
    </xf>
    <xf numFmtId="0" fontId="84" fillId="0" borderId="0" xfId="0" applyFont="1"/>
    <xf numFmtId="0" fontId="69" fillId="15" borderId="0" xfId="0" applyFont="1" applyFill="1" applyAlignment="1" applyProtection="1">
      <alignment vertical="top" wrapText="1"/>
      <protection locked="0"/>
    </xf>
    <xf numFmtId="0" fontId="23" fillId="15" borderId="0" xfId="0" applyFont="1" applyFill="1" applyAlignment="1" applyProtection="1">
      <alignment horizontal="center" vertical="top" wrapText="1"/>
      <protection locked="0"/>
    </xf>
    <xf numFmtId="166" fontId="121" fillId="15" borderId="0" xfId="0" applyNumberFormat="1" applyFont="1" applyFill="1" applyAlignment="1">
      <alignment horizontal="center" vertical="top" wrapText="1"/>
    </xf>
    <xf numFmtId="0" fontId="121" fillId="15" borderId="0" xfId="0" applyFont="1" applyFill="1" applyAlignment="1">
      <alignment horizontal="center" vertical="top" wrapText="1"/>
    </xf>
    <xf numFmtId="183" fontId="23" fillId="15" borderId="0" xfId="0" applyNumberFormat="1" applyFont="1" applyFill="1" applyAlignment="1">
      <alignment horizontal="center" wrapText="1"/>
    </xf>
    <xf numFmtId="166" fontId="23" fillId="15" borderId="0" xfId="0" applyNumberFormat="1" applyFont="1" applyFill="1" applyAlignment="1">
      <alignment horizontal="center" vertical="top" wrapText="1"/>
    </xf>
    <xf numFmtId="0" fontId="27" fillId="0" borderId="78"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78" xfId="0" applyFont="1" applyBorder="1" applyAlignment="1">
      <alignment horizontal="center" vertical="top" wrapText="1"/>
    </xf>
    <xf numFmtId="0" fontId="27" fillId="0" borderId="20" xfId="0" applyFont="1" applyBorder="1" applyAlignment="1">
      <alignment horizontal="center" vertical="top" wrapText="1"/>
    </xf>
    <xf numFmtId="0" fontId="0" fillId="14" borderId="9" xfId="0" applyFill="1" applyBorder="1" applyAlignment="1">
      <alignment wrapText="1"/>
    </xf>
    <xf numFmtId="0" fontId="0" fillId="14" borderId="8" xfId="0" applyFill="1" applyBorder="1" applyAlignment="1">
      <alignment wrapText="1"/>
    </xf>
    <xf numFmtId="0" fontId="10" fillId="5" borderId="1" xfId="15" applyFont="1" applyFill="1" applyBorder="1"/>
    <xf numFmtId="166" fontId="10" fillId="5" borderId="1" xfId="15" applyNumberFormat="1" applyFont="1" applyFill="1" applyBorder="1" applyAlignment="1">
      <alignment horizontal="center"/>
    </xf>
    <xf numFmtId="166" fontId="10" fillId="5" borderId="1" xfId="15" applyNumberFormat="1" applyFont="1" applyFill="1" applyBorder="1" applyAlignment="1">
      <alignment horizontal="left"/>
    </xf>
    <xf numFmtId="0" fontId="10" fillId="5" borderId="1" xfId="15" applyFont="1" applyFill="1" applyBorder="1" applyAlignment="1">
      <alignment horizontal="left"/>
    </xf>
    <xf numFmtId="0" fontId="78" fillId="5" borderId="0" xfId="15" applyFont="1" applyFill="1"/>
    <xf numFmtId="166" fontId="78" fillId="5" borderId="1" xfId="15" applyNumberFormat="1" applyFont="1" applyFill="1" applyBorder="1" applyAlignment="1">
      <alignment horizontal="center"/>
    </xf>
    <xf numFmtId="0" fontId="49" fillId="22" borderId="36" xfId="0" applyFont="1" applyFill="1" applyBorder="1" applyAlignment="1">
      <alignment horizontal="left" vertical="center" wrapText="1"/>
    </xf>
    <xf numFmtId="0" fontId="29" fillId="5" borderId="7" xfId="0" applyFont="1" applyFill="1" applyBorder="1" applyAlignment="1">
      <alignment horizontal="left" vertical="center" wrapText="1"/>
    </xf>
    <xf numFmtId="165" fontId="29" fillId="5" borderId="46" xfId="0" applyNumberFormat="1" applyFont="1" applyFill="1" applyBorder="1" applyAlignment="1">
      <alignment horizontal="left" vertical="center" indent="18"/>
    </xf>
    <xf numFmtId="165" fontId="113" fillId="5" borderId="46" xfId="0" applyNumberFormat="1" applyFont="1" applyFill="1" applyBorder="1" applyAlignment="1">
      <alignment horizontal="center" vertical="center"/>
    </xf>
    <xf numFmtId="165" fontId="113" fillId="5" borderId="46" xfId="0" applyNumberFormat="1" applyFont="1" applyFill="1" applyBorder="1" applyAlignment="1">
      <alignment horizontal="left" vertical="center" indent="18"/>
    </xf>
    <xf numFmtId="165" fontId="114" fillId="5" borderId="46" xfId="0" applyNumberFormat="1" applyFont="1" applyFill="1" applyBorder="1" applyAlignment="1">
      <alignment horizontal="left" vertical="center" indent="17"/>
    </xf>
    <xf numFmtId="174" fontId="47" fillId="5" borderId="1" xfId="0" applyNumberFormat="1" applyFont="1" applyFill="1" applyBorder="1" applyAlignment="1">
      <alignment horizontal="center"/>
    </xf>
    <xf numFmtId="0" fontId="47" fillId="5" borderId="7" xfId="0" applyFont="1" applyFill="1" applyBorder="1" applyAlignment="1">
      <alignment horizontal="left" vertical="center"/>
    </xf>
    <xf numFmtId="0" fontId="47" fillId="5" borderId="12" xfId="0" applyFont="1" applyFill="1" applyBorder="1"/>
    <xf numFmtId="184" fontId="47" fillId="5" borderId="46" xfId="0" applyNumberFormat="1" applyFont="1" applyFill="1" applyBorder="1" applyAlignment="1">
      <alignment horizontal="left" vertical="center" indent="15"/>
    </xf>
    <xf numFmtId="0" fontId="47" fillId="0" borderId="1" xfId="15" applyFont="1" applyBorder="1" applyAlignment="1">
      <alignment horizontal="left" vertical="center" wrapText="1"/>
    </xf>
    <xf numFmtId="0" fontId="47" fillId="5" borderId="7" xfId="0" applyFont="1" applyFill="1" applyBorder="1" applyAlignment="1">
      <alignment vertical="center" wrapText="1"/>
    </xf>
    <xf numFmtId="0" fontId="122" fillId="7" borderId="1" xfId="0" applyFont="1" applyFill="1" applyBorder="1" applyAlignment="1" applyProtection="1">
      <alignment horizontal="center" vertical="center" wrapText="1"/>
      <protection locked="0"/>
    </xf>
    <xf numFmtId="0" fontId="52" fillId="0" borderId="54" xfId="0" applyFont="1" applyBorder="1" applyAlignment="1">
      <alignment horizontal="left" vertical="center" wrapText="1"/>
    </xf>
    <xf numFmtId="0" fontId="126" fillId="29" borderId="37" xfId="0" applyFont="1" applyFill="1" applyBorder="1" applyAlignment="1">
      <alignment wrapText="1"/>
    </xf>
    <xf numFmtId="0" fontId="0" fillId="0" borderId="0" xfId="0" applyAlignment="1">
      <alignment horizontal="left" indent="3"/>
    </xf>
    <xf numFmtId="0" fontId="98" fillId="0" borderId="0" xfId="0" applyFont="1" applyAlignment="1">
      <alignment horizontal="left"/>
    </xf>
    <xf numFmtId="0" fontId="12" fillId="0" borderId="0" xfId="0" applyFont="1" applyAlignment="1">
      <alignment horizontal="left"/>
    </xf>
    <xf numFmtId="0" fontId="12" fillId="0" borderId="0" xfId="0" applyFont="1" applyAlignment="1">
      <alignment horizontal="left" wrapText="1"/>
    </xf>
    <xf numFmtId="1" fontId="118" fillId="5" borderId="2" xfId="0" applyNumberFormat="1" applyFont="1" applyFill="1" applyBorder="1" applyAlignment="1">
      <alignment horizontal="center" vertical="center"/>
    </xf>
    <xf numFmtId="185" fontId="26" fillId="5" borderId="3" xfId="0" applyNumberFormat="1" applyFont="1" applyFill="1" applyBorder="1" applyAlignment="1">
      <alignment horizontal="left" vertical="center" indent="13"/>
    </xf>
    <xf numFmtId="185" fontId="26" fillId="5" borderId="4" xfId="0" applyNumberFormat="1" applyFont="1" applyFill="1" applyBorder="1" applyAlignment="1">
      <alignment horizontal="left" vertical="center" indent="13"/>
    </xf>
    <xf numFmtId="165" fontId="115" fillId="5" borderId="44" xfId="0" applyNumberFormat="1" applyFont="1" applyFill="1" applyBorder="1" applyAlignment="1">
      <alignment horizontal="left" vertical="center" indent="18"/>
    </xf>
    <xf numFmtId="165" fontId="115" fillId="5" borderId="45" xfId="0" applyNumberFormat="1" applyFont="1" applyFill="1" applyBorder="1" applyAlignment="1">
      <alignment horizontal="left" vertical="center" indent="18"/>
    </xf>
    <xf numFmtId="0" fontId="47" fillId="13" borderId="8" xfId="0" applyFont="1" applyFill="1" applyBorder="1" applyAlignment="1">
      <alignment vertical="center" wrapText="1"/>
    </xf>
    <xf numFmtId="165" fontId="29" fillId="13" borderId="1" xfId="0" applyNumberFormat="1" applyFont="1" applyFill="1" applyBorder="1" applyAlignment="1">
      <alignment horizontal="center" vertical="center"/>
    </xf>
    <xf numFmtId="0" fontId="103" fillId="0" borderId="0" xfId="0" applyFont="1" applyAlignment="1">
      <alignment vertical="center"/>
    </xf>
    <xf numFmtId="0" fontId="46" fillId="9" borderId="7" xfId="0" applyFont="1" applyFill="1" applyBorder="1" applyAlignment="1">
      <alignment horizontal="center" vertical="center"/>
    </xf>
    <xf numFmtId="0" fontId="56" fillId="9" borderId="7" xfId="0" applyFont="1" applyFill="1" applyBorder="1" applyAlignment="1">
      <alignment horizontal="center" vertical="center"/>
    </xf>
    <xf numFmtId="0" fontId="74" fillId="9" borderId="3" xfId="0" applyFont="1" applyFill="1" applyBorder="1" applyAlignment="1">
      <alignment horizontal="left" vertical="center" wrapText="1"/>
    </xf>
    <xf numFmtId="0" fontId="65" fillId="15" borderId="0" xfId="0" applyFont="1" applyFill="1" applyAlignment="1" applyProtection="1">
      <alignment vertical="center" wrapText="1"/>
      <protection locked="0"/>
    </xf>
    <xf numFmtId="0" fontId="32" fillId="24" borderId="0" xfId="0" applyFont="1" applyFill="1" applyAlignment="1">
      <alignment vertical="center"/>
    </xf>
    <xf numFmtId="166" fontId="37" fillId="0" borderId="7" xfId="0" applyNumberFormat="1" applyFont="1" applyBorder="1" applyAlignment="1">
      <alignment horizontal="center" vertical="center" wrapText="1"/>
    </xf>
    <xf numFmtId="0" fontId="53" fillId="7" borderId="3" xfId="0" applyFont="1" applyFill="1" applyBorder="1"/>
    <xf numFmtId="0" fontId="26" fillId="5" borderId="60" xfId="0" applyFont="1" applyFill="1" applyBorder="1" applyAlignment="1">
      <alignment horizontal="center" vertical="center"/>
    </xf>
    <xf numFmtId="0" fontId="26" fillId="0" borderId="60" xfId="15" applyFont="1" applyBorder="1" applyAlignment="1">
      <alignment horizontal="left" vertical="center"/>
    </xf>
    <xf numFmtId="0" fontId="47" fillId="5" borderId="87" xfId="0" applyFont="1" applyFill="1" applyBorder="1" applyAlignment="1">
      <alignment horizontal="left" vertical="center"/>
    </xf>
    <xf numFmtId="0" fontId="73" fillId="5" borderId="12" xfId="0" applyFont="1" applyFill="1" applyBorder="1" applyAlignment="1">
      <alignment horizontal="left" vertical="center"/>
    </xf>
    <xf numFmtId="0" fontId="57" fillId="15" borderId="0" xfId="0" applyFont="1" applyFill="1" applyAlignment="1" applyProtection="1">
      <alignment vertical="center" wrapText="1"/>
      <protection locked="0"/>
    </xf>
    <xf numFmtId="0" fontId="46" fillId="15" borderId="0" xfId="0" applyFont="1" applyFill="1" applyAlignment="1" applyProtection="1">
      <alignment vertical="center"/>
      <protection locked="0"/>
    </xf>
    <xf numFmtId="0" fontId="57" fillId="15" borderId="0" xfId="0" applyFont="1" applyFill="1" applyAlignment="1" applyProtection="1">
      <alignment horizontal="left" vertical="center" wrapText="1"/>
      <protection locked="0"/>
    </xf>
    <xf numFmtId="0" fontId="86" fillId="24" borderId="0" xfId="0" applyFont="1" applyFill="1" applyAlignment="1">
      <alignment horizontal="left" vertical="center"/>
    </xf>
    <xf numFmtId="0" fontId="46" fillId="15" borderId="0" xfId="0" applyFont="1" applyFill="1" applyAlignment="1" applyProtection="1">
      <alignment horizontal="left" vertical="center"/>
      <protection locked="0"/>
    </xf>
    <xf numFmtId="0" fontId="56" fillId="15" borderId="0" xfId="0" applyFont="1" applyFill="1" applyAlignment="1" applyProtection="1">
      <alignment vertical="center"/>
      <protection locked="0"/>
    </xf>
    <xf numFmtId="0" fontId="45" fillId="0" borderId="0" xfId="0" applyFont="1" applyAlignment="1">
      <alignment vertical="center"/>
    </xf>
    <xf numFmtId="0" fontId="40" fillId="4" borderId="7" xfId="0" applyFont="1" applyFill="1" applyBorder="1" applyAlignment="1">
      <alignment horizontal="left" vertical="center"/>
    </xf>
    <xf numFmtId="0" fontId="0" fillId="0" borderId="19" xfId="0" applyBorder="1" applyAlignment="1">
      <alignment horizontal="center" vertical="center"/>
    </xf>
    <xf numFmtId="0" fontId="57" fillId="15" borderId="0" xfId="0" applyFont="1" applyFill="1" applyAlignment="1" applyProtection="1">
      <alignment vertical="center"/>
      <protection locked="0"/>
    </xf>
    <xf numFmtId="0" fontId="35" fillId="27" borderId="1" xfId="0" applyFont="1" applyFill="1" applyBorder="1" applyAlignment="1" applyProtection="1">
      <alignment horizontal="center" vertical="center" wrapText="1"/>
      <protection locked="0"/>
    </xf>
    <xf numFmtId="0" fontId="34" fillId="27" borderId="1" xfId="0" applyFont="1" applyFill="1" applyBorder="1" applyAlignment="1" applyProtection="1">
      <alignment horizontal="center" vertical="center" wrapText="1"/>
      <protection locked="0"/>
    </xf>
    <xf numFmtId="0" fontId="34" fillId="27" borderId="1" xfId="0" applyFont="1" applyFill="1" applyBorder="1" applyAlignment="1" applyProtection="1">
      <alignment horizontal="center" vertical="center"/>
      <protection locked="0"/>
    </xf>
    <xf numFmtId="3" fontId="105" fillId="27" borderId="1" xfId="0" applyNumberFormat="1" applyFont="1" applyFill="1" applyBorder="1" applyAlignment="1" applyProtection="1">
      <alignment horizontal="center" vertical="center"/>
      <protection locked="0"/>
    </xf>
    <xf numFmtId="0" fontId="26" fillId="0" borderId="1" xfId="15" applyFont="1" applyBorder="1" applyAlignment="1">
      <alignment horizontal="left" vertical="center" wrapText="1" indent="1"/>
    </xf>
    <xf numFmtId="0" fontId="35" fillId="0" borderId="1" xfId="0" applyFont="1" applyBorder="1" applyAlignment="1">
      <alignment horizontal="left" vertical="center" wrapText="1" indent="1"/>
    </xf>
    <xf numFmtId="9" fontId="35" fillId="0" borderId="1" xfId="1" applyFont="1" applyFill="1" applyBorder="1" applyAlignment="1" applyProtection="1">
      <alignment horizontal="center" vertical="top" wrapText="1"/>
    </xf>
    <xf numFmtId="165" fontId="48" fillId="5" borderId="1" xfId="1" applyNumberFormat="1" applyFont="1" applyFill="1" applyBorder="1" applyAlignment="1" applyProtection="1">
      <alignment horizontal="center" vertical="center" wrapText="1"/>
    </xf>
    <xf numFmtId="0" fontId="29" fillId="0" borderId="7" xfId="0" applyFont="1" applyBorder="1" applyAlignment="1">
      <alignment horizontal="left" vertical="center" wrapText="1"/>
    </xf>
    <xf numFmtId="0" fontId="12" fillId="17" borderId="0" xfId="0" applyFont="1" applyFill="1" applyAlignment="1">
      <alignment horizontal="center"/>
    </xf>
    <xf numFmtId="0" fontId="35" fillId="27" borderId="4" xfId="0" applyFont="1" applyFill="1" applyBorder="1" applyAlignment="1" applyProtection="1">
      <alignment horizontal="center" vertical="center" wrapText="1"/>
      <protection locked="0"/>
    </xf>
    <xf numFmtId="0" fontId="35" fillId="27" borderId="1" xfId="5" applyNumberFormat="1" applyFont="1" applyFill="1" applyBorder="1" applyAlignment="1" applyProtection="1">
      <alignment horizontal="center" vertical="center" wrapText="1"/>
      <protection locked="0"/>
    </xf>
    <xf numFmtId="164" fontId="35" fillId="27" borderId="1" xfId="5" applyNumberFormat="1" applyFont="1" applyFill="1" applyBorder="1" applyAlignment="1" applyProtection="1">
      <alignment horizontal="center" vertical="center" wrapText="1"/>
      <protection locked="0"/>
    </xf>
    <xf numFmtId="8" fontId="78" fillId="0" borderId="1" xfId="15" applyNumberFormat="1" applyFont="1" applyBorder="1" applyAlignment="1">
      <alignment horizontal="center"/>
    </xf>
    <xf numFmtId="0" fontId="35" fillId="6" borderId="4" xfId="5" applyNumberFormat="1" applyFont="1" applyFill="1" applyBorder="1" applyAlignment="1" applyProtection="1">
      <alignment horizontal="center" vertical="center" wrapText="1"/>
      <protection locked="0"/>
    </xf>
    <xf numFmtId="3" fontId="128" fillId="16" borderId="7" xfId="0" applyNumberFormat="1" applyFont="1" applyFill="1" applyBorder="1" applyAlignment="1" applyProtection="1">
      <alignment horizontal="center" vertical="center" wrapText="1"/>
      <protection locked="0"/>
    </xf>
    <xf numFmtId="0" fontId="46" fillId="15" borderId="0" xfId="0" applyFont="1" applyFill="1" applyAlignment="1" applyProtection="1">
      <alignment horizontal="left" vertical="top"/>
      <protection locked="0"/>
    </xf>
    <xf numFmtId="0" fontId="0" fillId="0" borderId="74" xfId="0" applyBorder="1" applyAlignment="1">
      <alignment horizontal="center" vertical="center"/>
    </xf>
    <xf numFmtId="0" fontId="0" fillId="0" borderId="74" xfId="0" applyBorder="1"/>
    <xf numFmtId="0" fontId="26" fillId="7" borderId="1" xfId="15" applyFont="1" applyFill="1" applyBorder="1" applyAlignment="1" applyProtection="1">
      <alignment horizontal="center" vertical="center" wrapText="1"/>
      <protection locked="0"/>
    </xf>
    <xf numFmtId="0" fontId="54" fillId="15" borderId="0" xfId="0" applyFont="1" applyFill="1" applyAlignment="1" applyProtection="1">
      <alignment horizontal="left" vertical="top"/>
      <protection locked="0"/>
    </xf>
    <xf numFmtId="0" fontId="77" fillId="7" borderId="17" xfId="0" applyFont="1" applyFill="1" applyBorder="1" applyAlignment="1" applyProtection="1">
      <alignment horizontal="left" vertical="top"/>
      <protection locked="0"/>
    </xf>
    <xf numFmtId="165" fontId="27" fillId="7" borderId="17" xfId="0" applyNumberFormat="1" applyFont="1" applyFill="1" applyBorder="1" applyAlignment="1">
      <alignment horizontal="center" vertical="center"/>
    </xf>
    <xf numFmtId="0" fontId="74" fillId="9" borderId="17" xfId="0" applyFont="1" applyFill="1" applyBorder="1" applyAlignment="1">
      <alignment horizontal="left" vertical="center" wrapText="1"/>
    </xf>
    <xf numFmtId="0" fontId="28" fillId="15" borderId="0" xfId="0" applyFont="1" applyFill="1" applyAlignment="1" applyProtection="1">
      <alignment horizontal="center" vertical="top"/>
      <protection locked="0"/>
    </xf>
    <xf numFmtId="166" fontId="40" fillId="7" borderId="1" xfId="0" applyNumberFormat="1" applyFont="1" applyFill="1" applyBorder="1" applyAlignment="1">
      <alignment horizontal="center" vertical="center"/>
    </xf>
    <xf numFmtId="0" fontId="37" fillId="7" borderId="8" xfId="0" applyFont="1" applyFill="1" applyBorder="1" applyAlignment="1" applyProtection="1">
      <alignment horizontal="left" vertical="top"/>
      <protection locked="0"/>
    </xf>
    <xf numFmtId="165" fontId="27" fillId="7" borderId="8" xfId="0" applyNumberFormat="1" applyFont="1" applyFill="1" applyBorder="1" applyAlignment="1">
      <alignment horizontal="center" vertical="center"/>
    </xf>
    <xf numFmtId="0" fontId="26" fillId="7" borderId="0" xfId="0" applyFont="1" applyFill="1"/>
    <xf numFmtId="0" fontId="77" fillId="7" borderId="8" xfId="0" applyFont="1" applyFill="1" applyBorder="1" applyAlignment="1" applyProtection="1">
      <alignment horizontal="left" vertical="top"/>
      <protection locked="0"/>
    </xf>
    <xf numFmtId="0" fontId="74" fillId="9" borderId="16" xfId="0" applyFont="1" applyFill="1" applyBorder="1" applyAlignment="1">
      <alignment horizontal="left" vertical="center" wrapText="1"/>
    </xf>
    <xf numFmtId="0" fontId="34" fillId="7" borderId="0" xfId="0" applyFont="1" applyFill="1"/>
    <xf numFmtId="0" fontId="26" fillId="7" borderId="8" xfId="0" applyFont="1" applyFill="1" applyBorder="1"/>
    <xf numFmtId="0" fontId="129" fillId="0" borderId="0" xfId="0" applyFont="1" applyAlignment="1">
      <alignment horizontal="left" wrapText="1"/>
    </xf>
    <xf numFmtId="0" fontId="78" fillId="0" borderId="1" xfId="15" applyFont="1" applyBorder="1" applyAlignment="1">
      <alignment wrapText="1"/>
    </xf>
    <xf numFmtId="0" fontId="131" fillId="0" borderId="0" xfId="0" applyFont="1"/>
    <xf numFmtId="0" fontId="132" fillId="15" borderId="0" xfId="0" applyFont="1" applyFill="1" applyAlignment="1" applyProtection="1">
      <alignment vertical="top"/>
      <protection locked="0"/>
    </xf>
    <xf numFmtId="6" fontId="78" fillId="0" borderId="1" xfId="15" applyNumberFormat="1" applyFont="1" applyBorder="1" applyAlignment="1">
      <alignment horizontal="center"/>
    </xf>
    <xf numFmtId="0" fontId="0" fillId="14" borderId="8" xfId="0" applyFill="1" applyBorder="1" applyAlignment="1">
      <alignment horizontal="center" vertical="center"/>
    </xf>
    <xf numFmtId="0" fontId="34" fillId="29" borderId="38" xfId="0" applyFont="1" applyFill="1" applyBorder="1" applyAlignment="1">
      <alignment horizontal="center"/>
    </xf>
    <xf numFmtId="0" fontId="44" fillId="29" borderId="37" xfId="0" applyFont="1" applyFill="1" applyBorder="1"/>
    <xf numFmtId="0" fontId="48" fillId="24" borderId="0" xfId="0" applyFont="1" applyFill="1"/>
    <xf numFmtId="0" fontId="32" fillId="24" borderId="0" xfId="0" applyFont="1" applyFill="1"/>
    <xf numFmtId="0" fontId="86" fillId="24" borderId="0" xfId="0" applyFont="1" applyFill="1"/>
    <xf numFmtId="0" fontId="123" fillId="0" borderId="0" xfId="0" applyFont="1"/>
    <xf numFmtId="0" fontId="127" fillId="0" borderId="0" xfId="0" applyFont="1" applyAlignment="1">
      <alignment horizontal="left"/>
    </xf>
    <xf numFmtId="0" fontId="33" fillId="0" borderId="0" xfId="0" applyFont="1" applyAlignment="1">
      <alignment horizontal="right" vertical="center"/>
    </xf>
    <xf numFmtId="0" fontId="23" fillId="15" borderId="0" xfId="0" applyFont="1" applyFill="1" applyAlignment="1">
      <alignment horizontal="center" vertical="top" wrapText="1"/>
    </xf>
    <xf numFmtId="0" fontId="0" fillId="0" borderId="20" xfId="0" applyBorder="1" applyAlignment="1">
      <alignment horizontal="center" vertical="center"/>
    </xf>
    <xf numFmtId="0" fontId="0" fillId="0" borderId="32" xfId="0" applyBorder="1"/>
    <xf numFmtId="0" fontId="0" fillId="0" borderId="20" xfId="0" applyBorder="1"/>
    <xf numFmtId="0" fontId="12" fillId="30" borderId="20" xfId="0" applyFont="1" applyFill="1" applyBorder="1" applyAlignment="1">
      <alignment horizontal="center" vertical="center"/>
    </xf>
    <xf numFmtId="0" fontId="12" fillId="30" borderId="32" xfId="0" applyFont="1" applyFill="1" applyBorder="1"/>
    <xf numFmtId="0" fontId="0" fillId="30" borderId="20" xfId="0" applyFill="1" applyBorder="1"/>
    <xf numFmtId="0" fontId="12" fillId="30" borderId="0" xfId="0" applyFont="1" applyFill="1" applyAlignment="1">
      <alignment horizontal="center" vertical="center"/>
    </xf>
    <xf numFmtId="14" fontId="12" fillId="30" borderId="0" xfId="0" applyNumberFormat="1" applyFont="1" applyFill="1" applyAlignment="1">
      <alignment horizontal="left"/>
    </xf>
    <xf numFmtId="0" fontId="0" fillId="30" borderId="0" xfId="0" applyFill="1" applyAlignment="1">
      <alignment vertical="top"/>
    </xf>
    <xf numFmtId="0" fontId="78" fillId="0" borderId="46" xfId="15" applyFont="1" applyBorder="1"/>
    <xf numFmtId="0" fontId="78" fillId="0" borderId="62" xfId="15" applyFont="1" applyBorder="1"/>
    <xf numFmtId="0" fontId="129" fillId="0" borderId="0" xfId="0" applyFont="1"/>
    <xf numFmtId="0" fontId="133" fillId="0" borderId="0" xfId="0" applyFont="1"/>
    <xf numFmtId="6" fontId="133" fillId="0" borderId="0" xfId="0" applyNumberFormat="1" applyFont="1"/>
    <xf numFmtId="0" fontId="6" fillId="0" borderId="0" xfId="4" applyBorder="1" applyAlignment="1">
      <alignment vertical="center"/>
    </xf>
    <xf numFmtId="0" fontId="129" fillId="6" borderId="0" xfId="0" applyFont="1" applyFill="1"/>
    <xf numFmtId="0" fontId="133" fillId="6" borderId="0" xfId="0" applyFont="1" applyFill="1"/>
    <xf numFmtId="0" fontId="129" fillId="0" borderId="8" xfId="0" applyFont="1" applyBorder="1"/>
    <xf numFmtId="0" fontId="42" fillId="0" borderId="8" xfId="0" applyFont="1" applyBorder="1" applyAlignment="1">
      <alignment vertical="top"/>
    </xf>
    <xf numFmtId="0" fontId="133" fillId="0" borderId="8" xfId="0" applyFont="1" applyBorder="1"/>
    <xf numFmtId="6" fontId="133" fillId="0" borderId="8" xfId="0" applyNumberFormat="1" applyFont="1" applyBorder="1"/>
    <xf numFmtId="8" fontId="133" fillId="0" borderId="0" xfId="0" applyNumberFormat="1" applyFont="1"/>
    <xf numFmtId="6" fontId="33" fillId="0" borderId="0" xfId="0" applyNumberFormat="1" applyFont="1"/>
    <xf numFmtId="3" fontId="134" fillId="0" borderId="0" xfId="0" applyNumberFormat="1" applyFont="1"/>
    <xf numFmtId="3" fontId="133" fillId="0" borderId="8" xfId="0" applyNumberFormat="1" applyFont="1" applyBorder="1"/>
    <xf numFmtId="8" fontId="133" fillId="0" borderId="8" xfId="0" applyNumberFormat="1" applyFont="1" applyBorder="1"/>
    <xf numFmtId="0" fontId="136" fillId="0" borderId="22" xfId="0" applyFont="1" applyBorder="1" applyAlignment="1">
      <alignment horizontal="left" vertical="top" wrapText="1"/>
    </xf>
    <xf numFmtId="0" fontId="136" fillId="0" borderId="40" xfId="0" applyFont="1" applyBorder="1" applyAlignment="1">
      <alignment horizontal="left" vertical="top"/>
    </xf>
    <xf numFmtId="0" fontId="137" fillId="0" borderId="41" xfId="0" applyFont="1" applyBorder="1" applyAlignment="1">
      <alignment horizontal="center" vertical="top" wrapText="1"/>
    </xf>
    <xf numFmtId="0" fontId="137" fillId="0" borderId="43" xfId="0" applyFont="1" applyBorder="1" applyAlignment="1">
      <alignment horizontal="center" vertical="top" wrapText="1"/>
    </xf>
    <xf numFmtId="0" fontId="140" fillId="0" borderId="1" xfId="0" applyFont="1" applyBorder="1" applyAlignment="1">
      <alignment horizontal="center" vertical="top" wrapText="1"/>
    </xf>
    <xf numFmtId="0" fontId="140" fillId="0" borderId="23" xfId="0" applyFont="1" applyBorder="1" applyAlignment="1">
      <alignment horizontal="center" vertical="top" wrapText="1"/>
    </xf>
    <xf numFmtId="0" fontId="137" fillId="0" borderId="22" xfId="0" applyFont="1" applyBorder="1" applyAlignment="1">
      <alignment horizontal="left" vertical="top" wrapText="1"/>
    </xf>
    <xf numFmtId="49" fontId="140" fillId="0" borderId="1" xfId="0" applyNumberFormat="1" applyFont="1" applyBorder="1" applyAlignment="1">
      <alignment horizontal="center" vertical="top" wrapText="1"/>
    </xf>
    <xf numFmtId="49" fontId="140" fillId="0" borderId="23" xfId="0" applyNumberFormat="1" applyFont="1" applyBorder="1" applyAlignment="1">
      <alignment horizontal="center" vertical="top" wrapText="1"/>
    </xf>
    <xf numFmtId="166" fontId="140" fillId="0" borderId="21" xfId="0" applyNumberFormat="1" applyFont="1" applyBorder="1" applyAlignment="1">
      <alignment horizontal="center" vertical="top" wrapText="1"/>
    </xf>
    <xf numFmtId="0" fontId="140" fillId="0" borderId="21" xfId="0" applyFont="1" applyBorder="1" applyAlignment="1">
      <alignment horizontal="center" vertical="top" wrapText="1"/>
    </xf>
    <xf numFmtId="165" fontId="136" fillId="0" borderId="7" xfId="1" applyNumberFormat="1" applyFont="1" applyBorder="1" applyAlignment="1" applyProtection="1">
      <alignment horizontal="center" vertical="center" wrapText="1"/>
    </xf>
    <xf numFmtId="165" fontId="142" fillId="0" borderId="1" xfId="1" applyNumberFormat="1" applyFont="1" applyBorder="1" applyAlignment="1" applyProtection="1">
      <alignment horizontal="center" vertical="center" wrapText="1"/>
    </xf>
    <xf numFmtId="0" fontId="137" fillId="0" borderId="55" xfId="0" applyFont="1" applyBorder="1" applyAlignment="1">
      <alignment horizontal="left" vertical="center" wrapText="1"/>
    </xf>
    <xf numFmtId="0" fontId="137" fillId="0" borderId="42" xfId="0" applyFont="1" applyBorder="1" applyAlignment="1">
      <alignment horizontal="left" vertical="center" wrapText="1"/>
    </xf>
    <xf numFmtId="9" fontId="140" fillId="0" borderId="21" xfId="1" applyFont="1" applyBorder="1" applyAlignment="1" applyProtection="1">
      <alignment horizontal="center" vertical="center" wrapText="1"/>
    </xf>
    <xf numFmtId="9" fontId="140" fillId="0" borderId="24" xfId="1" applyFont="1" applyBorder="1" applyAlignment="1" applyProtection="1">
      <alignment horizontal="center" vertical="center" wrapText="1"/>
    </xf>
    <xf numFmtId="0" fontId="136" fillId="0" borderId="55" xfId="0" applyFont="1" applyBorder="1" applyAlignment="1">
      <alignment horizontal="left" vertical="center" wrapText="1"/>
    </xf>
    <xf numFmtId="9" fontId="140" fillId="0" borderId="7" xfId="1" applyFont="1" applyBorder="1" applyAlignment="1" applyProtection="1">
      <alignment horizontal="center" vertical="center" wrapText="1"/>
    </xf>
    <xf numFmtId="9" fontId="140" fillId="0" borderId="57" xfId="1" applyFont="1" applyBorder="1" applyAlignment="1" applyProtection="1">
      <alignment horizontal="center" vertical="center" wrapText="1"/>
    </xf>
    <xf numFmtId="0" fontId="136" fillId="0" borderId="22" xfId="0" applyFont="1" applyBorder="1" applyAlignment="1">
      <alignment horizontal="left" vertical="center" wrapText="1"/>
    </xf>
    <xf numFmtId="191" fontId="140" fillId="0" borderId="1" xfId="1" applyNumberFormat="1" applyFont="1" applyBorder="1" applyAlignment="1" applyProtection="1">
      <alignment horizontal="center" vertical="center" wrapText="1"/>
    </xf>
    <xf numFmtId="191" fontId="140" fillId="0" borderId="29" xfId="1" applyNumberFormat="1" applyFont="1" applyBorder="1" applyAlignment="1" applyProtection="1">
      <alignment horizontal="center" vertical="center" wrapText="1"/>
    </xf>
    <xf numFmtId="0" fontId="136" fillId="5" borderId="76" xfId="0" applyFont="1" applyFill="1" applyBorder="1" applyAlignment="1">
      <alignment horizontal="left" vertical="center" wrapText="1"/>
    </xf>
    <xf numFmtId="0" fontId="137" fillId="0" borderId="22" xfId="0" applyFont="1" applyBorder="1" applyAlignment="1">
      <alignment horizontal="left" vertical="center" wrapText="1"/>
    </xf>
    <xf numFmtId="0" fontId="138" fillId="0" borderId="0" xfId="0" applyFont="1" applyAlignment="1">
      <alignment vertical="center"/>
    </xf>
    <xf numFmtId="0" fontId="148" fillId="0" borderId="0" xfId="0" applyFont="1" applyAlignment="1">
      <alignment horizontal="left" vertical="top"/>
    </xf>
    <xf numFmtId="0" fontId="151" fillId="0" borderId="0" xfId="0" applyFont="1" applyAlignment="1">
      <alignment horizontal="left" vertical="top"/>
    </xf>
    <xf numFmtId="0" fontId="153" fillId="0" borderId="0" xfId="0" applyFont="1" applyAlignment="1">
      <alignment horizontal="left" vertical="top"/>
    </xf>
    <xf numFmtId="0" fontId="148" fillId="0" borderId="0" xfId="0" applyFont="1" applyAlignment="1">
      <alignment horizontal="left" vertical="center"/>
    </xf>
    <xf numFmtId="0" fontId="154" fillId="0" borderId="0" xfId="0" applyFont="1" applyAlignment="1">
      <alignment horizontal="left" vertical="top"/>
    </xf>
    <xf numFmtId="0" fontId="153" fillId="0" borderId="0" xfId="0" applyFont="1" applyAlignment="1">
      <alignment horizontal="left" vertical="center"/>
    </xf>
    <xf numFmtId="0" fontId="152" fillId="0" borderId="0" xfId="0" applyFont="1" applyAlignment="1">
      <alignment horizontal="left" vertical="center"/>
    </xf>
    <xf numFmtId="0" fontId="156" fillId="19" borderId="22" xfId="0" applyFont="1" applyFill="1" applyBorder="1" applyAlignment="1">
      <alignment horizontal="left" vertical="center"/>
    </xf>
    <xf numFmtId="0" fontId="156" fillId="19" borderId="1" xfId="0" applyFont="1" applyFill="1" applyBorder="1" applyAlignment="1">
      <alignment horizontal="center" vertical="center" wrapText="1"/>
    </xf>
    <xf numFmtId="0" fontId="156" fillId="19" borderId="23" xfId="0" applyFont="1" applyFill="1" applyBorder="1" applyAlignment="1">
      <alignment horizontal="center" vertical="center" wrapText="1"/>
    </xf>
    <xf numFmtId="166" fontId="140" fillId="0" borderId="7" xfId="0" applyNumberFormat="1" applyFont="1" applyBorder="1" applyAlignment="1">
      <alignment horizontal="center" vertical="center" wrapText="1"/>
    </xf>
    <xf numFmtId="166" fontId="140" fillId="0" borderId="57" xfId="0" applyNumberFormat="1" applyFont="1" applyBorder="1" applyAlignment="1">
      <alignment horizontal="center" vertical="center" wrapText="1"/>
    </xf>
    <xf numFmtId="166" fontId="140" fillId="0" borderId="1" xfId="0" applyNumberFormat="1" applyFont="1" applyBorder="1" applyAlignment="1">
      <alignment horizontal="center" vertical="center" wrapText="1"/>
    </xf>
    <xf numFmtId="166" fontId="140" fillId="0" borderId="23" xfId="0" applyNumberFormat="1" applyFont="1" applyBorder="1" applyAlignment="1">
      <alignment horizontal="center" vertical="center" wrapText="1"/>
    </xf>
    <xf numFmtId="0" fontId="137" fillId="0" borderId="42" xfId="0" applyFont="1" applyBorder="1" applyAlignment="1">
      <alignment horizontal="left" vertical="center" wrapText="1" indent="2"/>
    </xf>
    <xf numFmtId="0" fontId="140" fillId="0" borderId="21" xfId="0" applyFont="1" applyBorder="1" applyAlignment="1">
      <alignment horizontal="center" vertical="center" wrapText="1"/>
    </xf>
    <xf numFmtId="0" fontId="140" fillId="0" borderId="24" xfId="0" applyFont="1" applyBorder="1" applyAlignment="1">
      <alignment horizontal="center" vertical="center" wrapText="1"/>
    </xf>
    <xf numFmtId="0" fontId="137" fillId="0" borderId="0" xfId="0" applyFont="1" applyAlignment="1">
      <alignment horizontal="left" vertical="top"/>
    </xf>
    <xf numFmtId="0" fontId="138" fillId="0" borderId="0" xfId="0" applyFont="1" applyAlignment="1">
      <alignment horizontal="left" vertical="top" wrapText="1"/>
    </xf>
    <xf numFmtId="0" fontId="148" fillId="5" borderId="0" xfId="0" applyFont="1" applyFill="1" applyAlignment="1">
      <alignment horizontal="left" vertical="top"/>
    </xf>
    <xf numFmtId="0" fontId="157" fillId="0" borderId="0" xfId="4" applyFont="1" applyBorder="1" applyAlignment="1">
      <alignment horizontal="left" vertical="center"/>
    </xf>
    <xf numFmtId="0" fontId="137" fillId="5" borderId="1" xfId="0" applyFont="1" applyFill="1" applyBorder="1" applyAlignment="1">
      <alignment horizontal="left" vertical="top"/>
    </xf>
    <xf numFmtId="0" fontId="137" fillId="0" borderId="1" xfId="0" applyFont="1" applyBorder="1" applyAlignment="1">
      <alignment horizontal="left" vertical="top"/>
    </xf>
    <xf numFmtId="0" fontId="159" fillId="0" borderId="0" xfId="0" applyFont="1" applyAlignment="1">
      <alignment vertical="center"/>
    </xf>
    <xf numFmtId="0" fontId="145" fillId="0" borderId="0" xfId="0" applyFont="1" applyAlignment="1">
      <alignment horizontal="left" vertical="top" wrapText="1"/>
    </xf>
    <xf numFmtId="0" fontId="145" fillId="0" borderId="0" xfId="0" applyFont="1" applyAlignment="1">
      <alignment horizontal="left" vertical="center" wrapText="1"/>
    </xf>
    <xf numFmtId="0" fontId="160" fillId="0" borderId="0" xfId="0" applyFont="1" applyAlignment="1">
      <alignment horizontal="left" vertical="top"/>
    </xf>
    <xf numFmtId="0" fontId="145" fillId="0" borderId="22" xfId="0" applyFont="1" applyBorder="1" applyAlignment="1">
      <alignment horizontal="left" vertical="top" wrapText="1"/>
    </xf>
    <xf numFmtId="0" fontId="145" fillId="0" borderId="42" xfId="0" applyFont="1" applyBorder="1" applyAlignment="1">
      <alignment horizontal="left" vertical="top" wrapText="1"/>
    </xf>
    <xf numFmtId="0" fontId="137" fillId="0" borderId="0" xfId="0" applyFont="1" applyAlignment="1">
      <alignment vertical="center" wrapText="1"/>
    </xf>
    <xf numFmtId="0" fontId="162" fillId="0" borderId="0" xfId="4" applyFont="1"/>
    <xf numFmtId="0" fontId="137" fillId="0" borderId="0" xfId="0" applyFont="1" applyAlignment="1">
      <alignment horizontal="left" vertical="top" indent="1"/>
    </xf>
    <xf numFmtId="0" fontId="137" fillId="0" borderId="0" xfId="0" applyFont="1" applyAlignment="1">
      <alignment vertical="top"/>
    </xf>
    <xf numFmtId="0" fontId="164" fillId="0" borderId="0" xfId="0" applyFont="1" applyAlignment="1">
      <alignment horizontal="left" vertical="top"/>
    </xf>
    <xf numFmtId="0" fontId="141" fillId="0" borderId="42" xfId="0" applyFont="1" applyBorder="1" applyAlignment="1">
      <alignment horizontal="left" vertical="top" wrapText="1"/>
    </xf>
    <xf numFmtId="0" fontId="140" fillId="0" borderId="24" xfId="0" applyFont="1" applyBorder="1" applyAlignment="1">
      <alignment horizontal="center" vertical="top" wrapText="1"/>
    </xf>
    <xf numFmtId="165" fontId="136" fillId="0" borderId="57" xfId="1" applyNumberFormat="1" applyFont="1" applyBorder="1" applyAlignment="1" applyProtection="1">
      <alignment horizontal="center" vertical="center" wrapText="1"/>
    </xf>
    <xf numFmtId="165" fontId="142" fillId="0" borderId="23" xfId="1" applyNumberFormat="1" applyFont="1" applyBorder="1" applyAlignment="1" applyProtection="1">
      <alignment horizontal="center" vertical="center" wrapText="1"/>
    </xf>
    <xf numFmtId="0" fontId="137" fillId="0" borderId="55" xfId="0" applyFont="1" applyBorder="1" applyAlignment="1">
      <alignment horizontal="left" vertical="top" wrapText="1"/>
    </xf>
    <xf numFmtId="49" fontId="140" fillId="0" borderId="7" xfId="0" applyNumberFormat="1" applyFont="1" applyBorder="1" applyAlignment="1">
      <alignment horizontal="center" vertical="top" wrapText="1"/>
    </xf>
    <xf numFmtId="49" fontId="140" fillId="0" borderId="57" xfId="0" applyNumberFormat="1" applyFont="1" applyBorder="1" applyAlignment="1">
      <alignment horizontal="center" vertical="top" wrapText="1"/>
    </xf>
    <xf numFmtId="0" fontId="139" fillId="19" borderId="42" xfId="0" applyFont="1" applyFill="1" applyBorder="1" applyAlignment="1">
      <alignment horizontal="left" vertical="center" wrapText="1"/>
    </xf>
    <xf numFmtId="9" fontId="139" fillId="19" borderId="21" xfId="0" applyNumberFormat="1" applyFont="1" applyFill="1" applyBorder="1" applyAlignment="1">
      <alignment horizontal="center" vertical="center" wrapText="1"/>
    </xf>
    <xf numFmtId="9" fontId="139" fillId="19" borderId="24" xfId="0" applyNumberFormat="1" applyFont="1" applyFill="1" applyBorder="1" applyAlignment="1">
      <alignment horizontal="center" vertical="center" wrapText="1"/>
    </xf>
    <xf numFmtId="0" fontId="143" fillId="5" borderId="58" xfId="0" applyFont="1" applyFill="1" applyBorder="1" applyAlignment="1">
      <alignment horizontal="left" vertical="center"/>
    </xf>
    <xf numFmtId="49" fontId="144" fillId="5" borderId="36" xfId="0" applyNumberFormat="1" applyFont="1" applyFill="1" applyBorder="1" applyAlignment="1">
      <alignment horizontal="center" vertical="center" wrapText="1"/>
    </xf>
    <xf numFmtId="49" fontId="144" fillId="5" borderId="59" xfId="0" applyNumberFormat="1" applyFont="1" applyFill="1" applyBorder="1" applyAlignment="1">
      <alignment horizontal="center" vertical="center" wrapText="1"/>
    </xf>
    <xf numFmtId="0" fontId="136" fillId="0" borderId="56" xfId="0" applyFont="1" applyBorder="1" applyAlignment="1">
      <alignment horizontal="left" vertical="top" wrapText="1"/>
    </xf>
    <xf numFmtId="0" fontId="136" fillId="0" borderId="55" xfId="0" applyFont="1" applyBorder="1" applyAlignment="1">
      <alignment horizontal="left" vertical="top" wrapText="1"/>
    </xf>
    <xf numFmtId="14" fontId="137" fillId="7" borderId="7" xfId="0" applyNumberFormat="1" applyFont="1" applyFill="1" applyBorder="1" applyAlignment="1" applyProtection="1">
      <alignment horizontal="center" vertical="top" wrapText="1"/>
      <protection locked="0"/>
    </xf>
    <xf numFmtId="0" fontId="137" fillId="7" borderId="7" xfId="0" applyFont="1" applyFill="1" applyBorder="1" applyAlignment="1" applyProtection="1">
      <alignment horizontal="center" vertical="top" wrapText="1"/>
      <protection locked="0"/>
    </xf>
    <xf numFmtId="0" fontId="137" fillId="0" borderId="56" xfId="0" applyFont="1" applyBorder="1" applyAlignment="1">
      <alignment horizontal="left" vertical="top" wrapText="1"/>
    </xf>
    <xf numFmtId="0" fontId="141" fillId="0" borderId="22" xfId="0" applyFont="1" applyBorder="1" applyAlignment="1">
      <alignment horizontal="left" vertical="top" wrapText="1"/>
    </xf>
    <xf numFmtId="0" fontId="136" fillId="5" borderId="50" xfId="0" applyFont="1" applyFill="1" applyBorder="1" applyAlignment="1">
      <alignment horizontal="left" vertical="top"/>
    </xf>
    <xf numFmtId="165" fontId="137" fillId="5" borderId="51" xfId="0" applyNumberFormat="1" applyFont="1" applyFill="1" applyBorder="1" applyAlignment="1">
      <alignment horizontal="center" vertical="center"/>
    </xf>
    <xf numFmtId="165" fontId="137" fillId="0" borderId="51" xfId="0" applyNumberFormat="1" applyFont="1" applyBorder="1" applyAlignment="1">
      <alignment horizontal="center" vertical="center"/>
    </xf>
    <xf numFmtId="165" fontId="137" fillId="0" borderId="52" xfId="0" applyNumberFormat="1" applyFont="1" applyBorder="1" applyAlignment="1">
      <alignment horizontal="center" vertical="center"/>
    </xf>
    <xf numFmtId="0" fontId="136" fillId="0" borderId="53" xfId="0" applyFont="1" applyBorder="1" applyAlignment="1">
      <alignment horizontal="left" vertical="top"/>
    </xf>
    <xf numFmtId="165" fontId="137" fillId="0" borderId="88" xfId="0" applyNumberFormat="1" applyFont="1" applyBorder="1" applyAlignment="1">
      <alignment horizontal="center" vertical="center"/>
    </xf>
    <xf numFmtId="165" fontId="137" fillId="0" borderId="89" xfId="0" applyNumberFormat="1" applyFont="1" applyBorder="1" applyAlignment="1">
      <alignment horizontal="center" vertical="center"/>
    </xf>
    <xf numFmtId="0" fontId="137" fillId="0" borderId="60" xfId="0" applyFont="1" applyBorder="1" applyAlignment="1">
      <alignment horizontal="left" vertical="top"/>
    </xf>
    <xf numFmtId="166" fontId="140" fillId="0" borderId="52" xfId="0" applyNumberFormat="1" applyFont="1" applyBorder="1" applyAlignment="1">
      <alignment horizontal="center" vertical="center" wrapText="1"/>
    </xf>
    <xf numFmtId="166" fontId="140" fillId="0" borderId="88" xfId="0" applyNumberFormat="1" applyFont="1" applyBorder="1" applyAlignment="1">
      <alignment horizontal="center" vertical="center" wrapText="1"/>
    </xf>
    <xf numFmtId="0" fontId="136" fillId="0" borderId="50" xfId="0" applyFont="1" applyBorder="1" applyAlignment="1">
      <alignment horizontal="left" vertical="top"/>
    </xf>
    <xf numFmtId="166" fontId="140" fillId="0" borderId="93" xfId="0" applyNumberFormat="1" applyFont="1" applyBorder="1" applyAlignment="1">
      <alignment horizontal="center" vertical="center" wrapText="1"/>
    </xf>
    <xf numFmtId="0" fontId="136" fillId="0" borderId="94" xfId="0" applyFont="1" applyBorder="1" applyAlignment="1">
      <alignment horizontal="left" vertical="top"/>
    </xf>
    <xf numFmtId="0" fontId="137" fillId="0" borderId="85" xfId="0" applyFont="1" applyBorder="1" applyAlignment="1">
      <alignment horizontal="left" vertical="top"/>
    </xf>
    <xf numFmtId="171" fontId="112" fillId="22" borderId="36" xfId="0" applyNumberFormat="1" applyFont="1" applyFill="1" applyBorder="1" applyAlignment="1">
      <alignment horizontal="center"/>
    </xf>
    <xf numFmtId="0" fontId="57" fillId="15" borderId="0" xfId="0" applyFont="1" applyFill="1" applyAlignment="1">
      <alignment wrapText="1"/>
    </xf>
    <xf numFmtId="166" fontId="78" fillId="0" borderId="1" xfId="15" applyNumberFormat="1" applyFont="1" applyBorder="1"/>
    <xf numFmtId="0" fontId="49" fillId="0" borderId="1" xfId="0" applyFont="1" applyBorder="1" applyAlignment="1">
      <alignment horizontal="left" vertical="center" wrapText="1"/>
    </xf>
    <xf numFmtId="190" fontId="122" fillId="0" borderId="3" xfId="0" applyNumberFormat="1" applyFont="1" applyBorder="1" applyAlignment="1">
      <alignment horizontal="center" vertical="center"/>
    </xf>
    <xf numFmtId="166" fontId="78" fillId="0" borderId="1" xfId="15" applyNumberFormat="1" applyFont="1" applyBorder="1" applyAlignment="1">
      <alignment horizontal="left"/>
    </xf>
    <xf numFmtId="0" fontId="47" fillId="5" borderId="12" xfId="0" applyFont="1" applyFill="1" applyBorder="1" applyAlignment="1">
      <alignment vertical="center" wrapText="1"/>
    </xf>
    <xf numFmtId="9" fontId="26" fillId="6" borderId="1" xfId="1" applyFont="1" applyFill="1" applyBorder="1" applyAlignment="1" applyProtection="1">
      <alignment horizontal="center" vertical="center" wrapText="1"/>
      <protection locked="0"/>
    </xf>
    <xf numFmtId="2" fontId="140" fillId="0" borderId="88" xfId="0" applyNumberFormat="1" applyFont="1" applyBorder="1" applyAlignment="1">
      <alignment horizontal="center" vertical="center" wrapText="1"/>
    </xf>
    <xf numFmtId="0" fontId="29" fillId="31" borderId="36" xfId="15" applyFont="1" applyFill="1" applyBorder="1" applyAlignment="1">
      <alignment horizontal="left" vertical="center" wrapText="1"/>
    </xf>
    <xf numFmtId="0" fontId="47" fillId="31" borderId="36" xfId="0" applyFont="1" applyFill="1" applyBorder="1" applyAlignment="1">
      <alignment horizontal="left" vertical="center" wrapText="1"/>
    </xf>
    <xf numFmtId="0" fontId="167" fillId="15" borderId="0" xfId="0" applyFont="1" applyFill="1" applyAlignment="1" applyProtection="1">
      <alignment horizontal="center" vertical="center" wrapText="1"/>
      <protection locked="0"/>
    </xf>
    <xf numFmtId="49" fontId="40" fillId="9" borderId="7"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xf>
    <xf numFmtId="49" fontId="40" fillId="9" borderId="1"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0" fontId="38" fillId="0" borderId="1" xfId="0" applyFont="1" applyBorder="1" applyAlignment="1">
      <alignment horizontal="center" vertical="center"/>
    </xf>
    <xf numFmtId="49" fontId="40" fillId="0" borderId="79" xfId="0" applyNumberFormat="1" applyFont="1" applyBorder="1" applyAlignment="1">
      <alignment horizontal="center" vertical="center"/>
    </xf>
    <xf numFmtId="0" fontId="40" fillId="9" borderId="1" xfId="0" applyFont="1" applyFill="1" applyBorder="1" applyAlignment="1">
      <alignment horizontal="center" vertical="center" wrapText="1"/>
    </xf>
    <xf numFmtId="0" fontId="40" fillId="15" borderId="0" xfId="15" applyFont="1" applyFill="1" applyAlignment="1">
      <alignment horizontal="center" vertical="center"/>
    </xf>
    <xf numFmtId="49" fontId="40" fillId="9" borderId="8" xfId="0" applyNumberFormat="1" applyFont="1" applyFill="1" applyBorder="1" applyAlignment="1">
      <alignment horizontal="center" vertical="center" wrapText="1"/>
    </xf>
    <xf numFmtId="0" fontId="40" fillId="0" borderId="7" xfId="0" applyFont="1" applyBorder="1" applyAlignment="1">
      <alignment horizontal="center" vertical="center"/>
    </xf>
    <xf numFmtId="0" fontId="40" fillId="15" borderId="0" xfId="0" applyFont="1" applyFill="1" applyAlignment="1" applyProtection="1">
      <alignment horizontal="center" vertical="center" wrapText="1"/>
      <protection locked="0"/>
    </xf>
    <xf numFmtId="49" fontId="40" fillId="9" borderId="1" xfId="0" applyNumberFormat="1" applyFont="1" applyFill="1" applyBorder="1" applyAlignment="1">
      <alignment horizontal="center" vertical="center"/>
    </xf>
    <xf numFmtId="0" fontId="47" fillId="15" borderId="0" xfId="0" applyFont="1" applyFill="1" applyAlignment="1" applyProtection="1">
      <alignment horizontal="center" vertical="center" wrapText="1"/>
      <protection locked="0"/>
    </xf>
    <xf numFmtId="0" fontId="47" fillId="15" borderId="0" xfId="0" applyFont="1" applyFill="1" applyAlignment="1" applyProtection="1">
      <alignment horizontal="center" vertical="top" wrapText="1"/>
      <protection locked="0"/>
    </xf>
    <xf numFmtId="0" fontId="40" fillId="0" borderId="0" xfId="0" applyFont="1" applyAlignment="1" applyProtection="1">
      <alignment vertical="center"/>
      <protection locked="0"/>
    </xf>
    <xf numFmtId="0" fontId="40" fillId="5" borderId="7" xfId="0" applyFont="1" applyFill="1" applyBorder="1" applyAlignment="1">
      <alignment horizontal="center" vertical="center"/>
    </xf>
    <xf numFmtId="0" fontId="40" fillId="31" borderId="36" xfId="0" applyFont="1" applyFill="1" applyBorder="1" applyAlignment="1">
      <alignment horizontal="center" vertical="center"/>
    </xf>
    <xf numFmtId="0" fontId="40" fillId="13" borderId="7" xfId="0" applyFont="1" applyFill="1" applyBorder="1" applyAlignment="1">
      <alignment horizontal="center" vertical="center"/>
    </xf>
    <xf numFmtId="0" fontId="40" fillId="13" borderId="1" xfId="0" applyFont="1" applyFill="1" applyBorder="1" applyAlignment="1">
      <alignment horizontal="center" vertical="center"/>
    </xf>
    <xf numFmtId="0" fontId="25" fillId="9" borderId="1"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52" fillId="0" borderId="12" xfId="0" applyFont="1" applyBorder="1" applyAlignment="1">
      <alignment horizontal="left" vertical="center" wrapText="1"/>
    </xf>
    <xf numFmtId="0" fontId="28" fillId="9" borderId="4" xfId="0" applyFont="1" applyFill="1" applyBorder="1" applyAlignment="1">
      <alignment horizontal="left" vertical="center" wrapText="1"/>
    </xf>
    <xf numFmtId="0" fontId="28" fillId="9" borderId="4" xfId="0" applyFont="1" applyFill="1" applyBorder="1" applyAlignment="1">
      <alignment horizontal="left" vertical="center"/>
    </xf>
    <xf numFmtId="0" fontId="26" fillId="4" borderId="1" xfId="0" applyFont="1" applyFill="1" applyBorder="1" applyAlignment="1">
      <alignment horizontal="left" vertical="center"/>
    </xf>
    <xf numFmtId="0" fontId="26" fillId="4" borderId="6" xfId="0" applyFont="1" applyFill="1" applyBorder="1" applyAlignment="1">
      <alignment horizontal="left" vertical="center" wrapText="1"/>
    </xf>
    <xf numFmtId="0" fontId="26" fillId="4" borderId="7" xfId="0" applyFont="1" applyFill="1" applyBorder="1" applyAlignment="1">
      <alignment horizontal="left" vertical="center" wrapText="1"/>
    </xf>
    <xf numFmtId="49" fontId="40" fillId="0" borderId="1" xfId="0" applyNumberFormat="1" applyFont="1" applyBorder="1" applyAlignment="1">
      <alignment horizontal="center" vertical="top"/>
    </xf>
    <xf numFmtId="0" fontId="35" fillId="0" borderId="1" xfId="0" applyFont="1" applyBorder="1" applyAlignment="1">
      <alignment vertical="top" wrapText="1"/>
    </xf>
    <xf numFmtId="0" fontId="35" fillId="6" borderId="1" xfId="0" applyFont="1" applyFill="1" applyBorder="1" applyAlignment="1" applyProtection="1">
      <alignment horizontal="center" vertical="top" wrapText="1"/>
      <protection locked="0"/>
    </xf>
    <xf numFmtId="0" fontId="47" fillId="0" borderId="32" xfId="0" applyFont="1" applyBorder="1" applyAlignment="1">
      <alignment horizontal="left" vertical="center"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171" fontId="115" fillId="31" borderId="36" xfId="0" applyNumberFormat="1" applyFont="1" applyFill="1" applyBorder="1" applyAlignment="1">
      <alignment horizontal="center" vertical="center"/>
    </xf>
    <xf numFmtId="0" fontId="64" fillId="15" borderId="0" xfId="0" applyFont="1" applyFill="1" applyAlignment="1" applyProtection="1">
      <alignment vertical="center"/>
      <protection locked="0"/>
    </xf>
    <xf numFmtId="0" fontId="77" fillId="7" borderId="8" xfId="0" applyFont="1" applyFill="1" applyBorder="1" applyAlignment="1" applyProtection="1">
      <alignment horizontal="left" vertical="center"/>
      <protection locked="0"/>
    </xf>
    <xf numFmtId="0" fontId="64" fillId="0" borderId="0" xfId="0" applyFont="1" applyAlignment="1">
      <alignment vertical="center"/>
    </xf>
    <xf numFmtId="0" fontId="145" fillId="0" borderId="0" xfId="0" applyFont="1" applyAlignment="1">
      <alignment horizontal="left" wrapText="1"/>
    </xf>
    <xf numFmtId="0" fontId="157" fillId="0" borderId="0" xfId="4" applyFont="1"/>
    <xf numFmtId="0" fontId="40" fillId="5" borderId="0" xfId="0" applyFont="1" applyFill="1" applyAlignment="1">
      <alignment horizontal="center" vertical="center"/>
    </xf>
    <xf numFmtId="0" fontId="42" fillId="0" borderId="0" xfId="0" applyFont="1" applyAlignment="1">
      <alignment horizontal="left" vertical="center"/>
    </xf>
    <xf numFmtId="0" fontId="40" fillId="5" borderId="0" xfId="0" applyFont="1" applyFill="1" applyAlignment="1">
      <alignment horizontal="center" vertical="top"/>
    </xf>
    <xf numFmtId="0" fontId="75" fillId="32" borderId="0" xfId="0" applyFont="1" applyFill="1" applyAlignment="1">
      <alignment horizontal="left"/>
    </xf>
    <xf numFmtId="0" fontId="47" fillId="0" borderId="2" xfId="0" applyFont="1" applyBorder="1" applyAlignment="1">
      <alignment horizontal="left" vertical="center" wrapText="1"/>
    </xf>
    <xf numFmtId="0" fontId="47" fillId="0" borderId="5" xfId="0" applyFont="1" applyBorder="1" applyAlignment="1">
      <alignment horizontal="left" wrapText="1"/>
    </xf>
    <xf numFmtId="0" fontId="47" fillId="0" borderId="1" xfId="0" applyFont="1" applyBorder="1" applyAlignment="1">
      <alignment horizontal="left" vertical="center" wrapText="1"/>
    </xf>
    <xf numFmtId="0" fontId="55" fillId="0" borderId="0" xfId="0" applyFont="1" applyAlignment="1">
      <alignment vertical="top"/>
    </xf>
    <xf numFmtId="0" fontId="27" fillId="0" borderId="0" xfId="0" applyFont="1" applyAlignment="1">
      <alignment vertical="top"/>
    </xf>
    <xf numFmtId="0" fontId="168" fillId="0" borderId="0" xfId="4" applyFont="1" applyBorder="1" applyAlignment="1">
      <alignment horizontal="left" vertical="center"/>
    </xf>
    <xf numFmtId="0" fontId="10" fillId="0" borderId="9" xfId="15" applyFont="1" applyBorder="1"/>
    <xf numFmtId="0" fontId="78" fillId="0" borderId="9" xfId="15" applyFont="1" applyBorder="1"/>
    <xf numFmtId="166" fontId="10" fillId="0" borderId="9" xfId="15" applyNumberFormat="1" applyFont="1" applyBorder="1" applyAlignment="1">
      <alignment horizontal="center"/>
    </xf>
    <xf numFmtId="166" fontId="68" fillId="0" borderId="9" xfId="15" applyNumberFormat="1" applyFont="1" applyBorder="1" applyAlignment="1">
      <alignment horizontal="left"/>
    </xf>
    <xf numFmtId="9" fontId="10" fillId="0" borderId="7" xfId="1" applyFont="1" applyFill="1" applyBorder="1" applyAlignment="1">
      <alignment horizontal="center"/>
    </xf>
    <xf numFmtId="166" fontId="68" fillId="0" borderId="7" xfId="15" applyNumberFormat="1" applyFont="1" applyBorder="1" applyAlignment="1">
      <alignment horizontal="left"/>
    </xf>
    <xf numFmtId="9" fontId="10" fillId="0" borderId="36" xfId="1" applyFont="1" applyFill="1" applyBorder="1" applyAlignment="1">
      <alignment horizontal="center"/>
    </xf>
    <xf numFmtId="166" fontId="10" fillId="0" borderId="36" xfId="15" applyNumberFormat="1" applyFont="1" applyBorder="1" applyAlignment="1">
      <alignment horizontal="left"/>
    </xf>
    <xf numFmtId="0" fontId="78" fillId="0" borderId="36" xfId="15" applyFont="1" applyBorder="1"/>
    <xf numFmtId="166" fontId="68" fillId="0" borderId="36" xfId="15" applyNumberFormat="1" applyFont="1" applyBorder="1" applyAlignment="1">
      <alignment horizontal="left"/>
    </xf>
    <xf numFmtId="6" fontId="10" fillId="0" borderId="1" xfId="15" applyNumberFormat="1" applyFont="1" applyBorder="1" applyAlignment="1">
      <alignment horizontal="center"/>
    </xf>
    <xf numFmtId="166" fontId="78" fillId="0" borderId="7" xfId="15" applyNumberFormat="1" applyFont="1" applyBorder="1" applyAlignment="1">
      <alignment horizontal="center"/>
    </xf>
    <xf numFmtId="166" fontId="68" fillId="3" borderId="21" xfId="15" applyNumberFormat="1" applyFont="1" applyFill="1" applyBorder="1" applyAlignment="1">
      <alignment horizontal="center"/>
    </xf>
    <xf numFmtId="166" fontId="68" fillId="0" borderId="21" xfId="15" applyNumberFormat="1" applyFont="1" applyBorder="1" applyAlignment="1">
      <alignment horizontal="left"/>
    </xf>
    <xf numFmtId="178" fontId="10" fillId="0" borderId="7" xfId="0" applyNumberFormat="1" applyFont="1" applyBorder="1" applyAlignment="1">
      <alignment horizontal="center" vertical="center"/>
    </xf>
    <xf numFmtId="0" fontId="10" fillId="0" borderId="7" xfId="0" applyFont="1" applyBorder="1" applyAlignment="1">
      <alignment horizontal="left" vertical="center"/>
    </xf>
    <xf numFmtId="0" fontId="10" fillId="0" borderId="7" xfId="0" applyFont="1" applyBorder="1"/>
    <xf numFmtId="0" fontId="82" fillId="0" borderId="7" xfId="4" applyFont="1" applyBorder="1" applyAlignment="1">
      <alignment horizontal="left"/>
    </xf>
    <xf numFmtId="0" fontId="78" fillId="0" borderId="7" xfId="15" applyFont="1" applyBorder="1" applyAlignment="1">
      <alignment horizontal="center"/>
    </xf>
    <xf numFmtId="178" fontId="10" fillId="0" borderId="21" xfId="0" applyNumberFormat="1" applyFont="1" applyBorder="1" applyAlignment="1">
      <alignment horizontal="center" vertical="center"/>
    </xf>
    <xf numFmtId="0" fontId="10" fillId="0" borderId="21" xfId="0" applyFont="1" applyBorder="1" applyAlignment="1">
      <alignment horizontal="left" vertical="center"/>
    </xf>
    <xf numFmtId="0" fontId="10" fillId="0" borderId="21" xfId="0" applyFont="1" applyBorder="1"/>
    <xf numFmtId="0" fontId="82" fillId="0" borderId="21" xfId="4" applyFont="1" applyBorder="1" applyAlignment="1">
      <alignment horizontal="left"/>
    </xf>
    <xf numFmtId="6" fontId="78" fillId="0" borderId="7" xfId="15" applyNumberFormat="1" applyFont="1" applyBorder="1" applyAlignment="1">
      <alignment horizontal="center"/>
    </xf>
    <xf numFmtId="0" fontId="78" fillId="0" borderId="21" xfId="15" applyFont="1" applyBorder="1" applyAlignment="1">
      <alignment horizontal="center"/>
    </xf>
    <xf numFmtId="6" fontId="10" fillId="0" borderId="21" xfId="15" applyNumberFormat="1" applyFont="1" applyBorder="1" applyAlignment="1">
      <alignment horizontal="center"/>
    </xf>
    <xf numFmtId="0" fontId="10" fillId="0" borderId="21" xfId="15" applyFont="1" applyBorder="1" applyAlignment="1">
      <alignment horizontal="center"/>
    </xf>
    <xf numFmtId="9" fontId="78" fillId="0" borderId="7" xfId="15" applyNumberFormat="1" applyFont="1" applyBorder="1" applyAlignment="1">
      <alignment horizontal="center"/>
    </xf>
    <xf numFmtId="0" fontId="78" fillId="0" borderId="41" xfId="15" applyFont="1" applyBorder="1"/>
    <xf numFmtId="0" fontId="78" fillId="0" borderId="41" xfId="15" applyFont="1" applyBorder="1" applyAlignment="1">
      <alignment horizontal="center"/>
    </xf>
    <xf numFmtId="0" fontId="78" fillId="0" borderId="41" xfId="15" applyFont="1" applyBorder="1" applyAlignment="1">
      <alignment horizontal="left"/>
    </xf>
    <xf numFmtId="0" fontId="10" fillId="0" borderId="7" xfId="15" applyFont="1" applyBorder="1" applyAlignment="1">
      <alignment horizontal="left"/>
    </xf>
    <xf numFmtId="0" fontId="10" fillId="0" borderId="21" xfId="0" applyFont="1" applyBorder="1" applyAlignment="1">
      <alignment horizontal="left" vertical="center" wrapText="1"/>
    </xf>
    <xf numFmtId="166" fontId="78" fillId="0" borderId="21" xfId="15" applyNumberFormat="1" applyFont="1" applyBorder="1" applyAlignment="1">
      <alignment horizontal="center"/>
    </xf>
    <xf numFmtId="8" fontId="10" fillId="0" borderId="21" xfId="15" applyNumberFormat="1" applyFont="1" applyBorder="1" applyAlignment="1">
      <alignment horizontal="center"/>
    </xf>
    <xf numFmtId="8" fontId="10" fillId="0" borderId="7" xfId="15" applyNumberFormat="1" applyFont="1" applyBorder="1" applyAlignment="1">
      <alignment horizontal="center"/>
    </xf>
    <xf numFmtId="0" fontId="12" fillId="30" borderId="74" xfId="0" applyFont="1" applyFill="1" applyBorder="1" applyAlignment="1">
      <alignment horizontal="center" vertical="center"/>
    </xf>
    <xf numFmtId="0" fontId="12" fillId="30" borderId="97" xfId="0" applyFont="1" applyFill="1" applyBorder="1"/>
    <xf numFmtId="0" fontId="0" fillId="30" borderId="74" xfId="0" applyFill="1" applyBorder="1"/>
    <xf numFmtId="0" fontId="0" fillId="0" borderId="10" xfId="0" applyBorder="1"/>
    <xf numFmtId="166" fontId="0" fillId="0" borderId="11" xfId="0" applyNumberFormat="1" applyBorder="1"/>
    <xf numFmtId="166" fontId="0" fillId="0" borderId="1" xfId="14" applyNumberFormat="1" applyFont="1" applyBorder="1" applyAlignment="1">
      <alignment horizontal="left"/>
    </xf>
    <xf numFmtId="0" fontId="26" fillId="20" borderId="1" xfId="0" applyFont="1" applyFill="1" applyBorder="1" applyAlignment="1">
      <alignment horizontal="center" vertical="center"/>
    </xf>
    <xf numFmtId="0" fontId="49" fillId="20" borderId="2" xfId="0" applyFont="1" applyFill="1" applyBorder="1" applyAlignment="1">
      <alignment horizontal="left" vertical="center"/>
    </xf>
    <xf numFmtId="165" fontId="100" fillId="20" borderId="1" xfId="0" applyNumberFormat="1" applyFont="1" applyFill="1" applyBorder="1" applyAlignment="1">
      <alignment horizontal="center"/>
    </xf>
    <xf numFmtId="0" fontId="0" fillId="0" borderId="8" xfId="0" applyBorder="1" applyAlignment="1">
      <alignment wrapText="1"/>
    </xf>
    <xf numFmtId="0" fontId="12" fillId="25" borderId="8" xfId="0" applyFont="1" applyFill="1" applyBorder="1"/>
    <xf numFmtId="166" fontId="12" fillId="25" borderId="11" xfId="0" applyNumberFormat="1" applyFont="1" applyFill="1" applyBorder="1" applyAlignment="1">
      <alignment wrapText="1"/>
    </xf>
    <xf numFmtId="0" fontId="12" fillId="25" borderId="8" xfId="0" applyFont="1" applyFill="1" applyBorder="1" applyAlignment="1">
      <alignment wrapText="1"/>
    </xf>
    <xf numFmtId="0" fontId="12" fillId="25" borderId="1" xfId="0" applyFont="1" applyFill="1" applyBorder="1"/>
    <xf numFmtId="0" fontId="12" fillId="25" borderId="1" xfId="0" applyFont="1" applyFill="1" applyBorder="1" applyAlignment="1">
      <alignment horizontal="left"/>
    </xf>
    <xf numFmtId="0" fontId="12" fillId="0" borderId="0" xfId="0" applyFont="1" applyAlignment="1">
      <alignment wrapText="1"/>
    </xf>
    <xf numFmtId="0" fontId="10" fillId="14" borderId="1" xfId="0" applyFont="1" applyFill="1" applyBorder="1"/>
    <xf numFmtId="0" fontId="10" fillId="14" borderId="1" xfId="15" applyFont="1" applyFill="1" applyBorder="1" applyAlignment="1">
      <alignment horizontal="left"/>
    </xf>
    <xf numFmtId="166" fontId="78" fillId="14" borderId="1" xfId="15" applyNumberFormat="1" applyFont="1" applyFill="1" applyBorder="1" applyAlignment="1">
      <alignment horizontal="center"/>
    </xf>
    <xf numFmtId="0" fontId="10" fillId="14" borderId="1" xfId="15" applyFont="1" applyFill="1" applyBorder="1"/>
    <xf numFmtId="8" fontId="78" fillId="14" borderId="1" xfId="15" applyNumberFormat="1" applyFont="1" applyFill="1" applyBorder="1" applyAlignment="1">
      <alignment horizontal="left"/>
    </xf>
    <xf numFmtId="0" fontId="40" fillId="20" borderId="1" xfId="0" applyFont="1" applyFill="1" applyBorder="1" applyAlignment="1">
      <alignment horizontal="left" vertical="center" indent="2"/>
    </xf>
    <xf numFmtId="0" fontId="78" fillId="0" borderId="1" xfId="0" applyFont="1" applyBorder="1" applyAlignment="1">
      <alignment horizontal="left"/>
    </xf>
    <xf numFmtId="0" fontId="78" fillId="0" borderId="1" xfId="0" applyFont="1" applyBorder="1"/>
    <xf numFmtId="0" fontId="78" fillId="0" borderId="1" xfId="0" applyFont="1" applyBorder="1" applyAlignment="1">
      <alignment horizontal="center"/>
    </xf>
    <xf numFmtId="0" fontId="169" fillId="33" borderId="1" xfId="0" applyFont="1" applyFill="1" applyBorder="1" applyAlignment="1">
      <alignment horizontal="left"/>
    </xf>
    <xf numFmtId="8" fontId="78" fillId="0" borderId="1" xfId="0" applyNumberFormat="1" applyFont="1" applyBorder="1" applyAlignment="1">
      <alignment horizontal="center"/>
    </xf>
    <xf numFmtId="8" fontId="169" fillId="0" borderId="1" xfId="0" applyNumberFormat="1" applyFont="1" applyBorder="1" applyAlignment="1">
      <alignment horizontal="left"/>
    </xf>
    <xf numFmtId="0" fontId="28" fillId="9" borderId="15" xfId="0" applyFont="1" applyFill="1" applyBorder="1" applyAlignment="1">
      <alignment horizontal="left" vertical="center"/>
    </xf>
    <xf numFmtId="0" fontId="10" fillId="14" borderId="1" xfId="15" applyFont="1" applyFill="1" applyBorder="1" applyAlignment="1">
      <alignment wrapText="1"/>
    </xf>
    <xf numFmtId="0" fontId="79" fillId="0" borderId="1" xfId="15" applyFont="1" applyBorder="1"/>
    <xf numFmtId="0" fontId="80" fillId="0" borderId="1" xfId="15" applyFont="1" applyBorder="1"/>
    <xf numFmtId="0" fontId="81" fillId="0" borderId="1" xfId="15" applyFont="1" applyBorder="1"/>
    <xf numFmtId="0" fontId="81" fillId="14" borderId="1" xfId="15" applyFont="1" applyFill="1" applyBorder="1"/>
    <xf numFmtId="0" fontId="80" fillId="0" borderId="1" xfId="15" applyFont="1" applyBorder="1" applyAlignment="1">
      <alignment wrapText="1"/>
    </xf>
    <xf numFmtId="166" fontId="79" fillId="0" borderId="1" xfId="15" applyNumberFormat="1" applyFont="1" applyBorder="1" applyAlignment="1">
      <alignment horizontal="left"/>
    </xf>
    <xf numFmtId="0" fontId="79" fillId="5" borderId="1" xfId="15" applyFont="1" applyFill="1" applyBorder="1"/>
    <xf numFmtId="0" fontId="79" fillId="0" borderId="1" xfId="0" applyFont="1" applyBorder="1" applyAlignment="1">
      <alignment horizontal="center"/>
    </xf>
    <xf numFmtId="9" fontId="79" fillId="0" borderId="1" xfId="15" applyNumberFormat="1" applyFont="1" applyBorder="1" applyAlignment="1">
      <alignment horizontal="left"/>
    </xf>
    <xf numFmtId="0" fontId="80" fillId="14" borderId="1" xfId="15" applyFont="1" applyFill="1" applyBorder="1"/>
    <xf numFmtId="0" fontId="49" fillId="0" borderId="2" xfId="0" applyFont="1" applyBorder="1" applyAlignment="1">
      <alignment horizontal="left" vertical="center" wrapText="1"/>
    </xf>
    <xf numFmtId="0" fontId="40" fillId="20" borderId="1" xfId="0" applyFont="1" applyFill="1" applyBorder="1" applyAlignment="1">
      <alignment horizontal="left" vertical="center"/>
    </xf>
    <xf numFmtId="0" fontId="35" fillId="35" borderId="1" xfId="5" applyNumberFormat="1" applyFont="1" applyFill="1" applyBorder="1" applyAlignment="1" applyProtection="1">
      <alignment horizontal="center" vertical="center" wrapText="1"/>
      <protection locked="0" hidden="1"/>
    </xf>
    <xf numFmtId="0" fontId="79" fillId="14" borderId="1" xfId="15" applyFont="1" applyFill="1" applyBorder="1"/>
    <xf numFmtId="0" fontId="78" fillId="14" borderId="1" xfId="15" applyFont="1" applyFill="1" applyBorder="1"/>
    <xf numFmtId="0" fontId="78" fillId="14" borderId="1" xfId="0" applyFont="1" applyFill="1" applyBorder="1"/>
    <xf numFmtId="0" fontId="12" fillId="36" borderId="1" xfId="0" applyFont="1" applyFill="1" applyBorder="1"/>
    <xf numFmtId="9" fontId="98" fillId="36" borderId="1" xfId="1" applyFont="1" applyFill="1" applyBorder="1" applyAlignment="1">
      <alignment horizontal="left"/>
    </xf>
    <xf numFmtId="165" fontId="0" fillId="0" borderId="1" xfId="0" applyNumberFormat="1" applyBorder="1" applyAlignment="1">
      <alignment horizontal="left"/>
    </xf>
    <xf numFmtId="165" fontId="0" fillId="0" borderId="7" xfId="0" applyNumberFormat="1" applyBorder="1" applyAlignment="1">
      <alignment horizontal="left"/>
    </xf>
    <xf numFmtId="0" fontId="0" fillId="0" borderId="21" xfId="0" applyBorder="1"/>
    <xf numFmtId="165" fontId="0" fillId="0" borderId="21" xfId="0" applyNumberFormat="1" applyBorder="1" applyAlignment="1">
      <alignment horizontal="left"/>
    </xf>
    <xf numFmtId="0" fontId="12" fillId="0" borderId="7" xfId="0" applyFont="1" applyBorder="1"/>
    <xf numFmtId="165" fontId="12" fillId="0" borderId="7" xfId="0" applyNumberFormat="1" applyFont="1" applyBorder="1" applyAlignment="1">
      <alignment horizontal="left"/>
    </xf>
    <xf numFmtId="165" fontId="98" fillId="0" borderId="1" xfId="0" applyNumberFormat="1" applyFont="1" applyBorder="1" applyAlignment="1">
      <alignment horizontal="left"/>
    </xf>
    <xf numFmtId="0" fontId="12" fillId="0" borderId="21" xfId="0" applyFont="1" applyBorder="1"/>
    <xf numFmtId="165" fontId="12" fillId="0" borderId="21" xfId="0" applyNumberFormat="1" applyFont="1" applyBorder="1" applyAlignment="1">
      <alignment horizontal="left"/>
    </xf>
    <xf numFmtId="0" fontId="111" fillId="0" borderId="1" xfId="0" applyFont="1" applyBorder="1"/>
    <xf numFmtId="165" fontId="111" fillId="0" borderId="1" xfId="0" applyNumberFormat="1" applyFont="1" applyBorder="1" applyAlignment="1">
      <alignment horizontal="left"/>
    </xf>
    <xf numFmtId="0" fontId="12" fillId="36" borderId="1" xfId="0" applyFont="1" applyFill="1" applyBorder="1" applyAlignment="1">
      <alignment vertical="top"/>
    </xf>
    <xf numFmtId="0" fontId="12" fillId="36" borderId="1" xfId="0" applyFont="1" applyFill="1" applyBorder="1" applyAlignment="1">
      <alignment vertical="top" wrapText="1"/>
    </xf>
    <xf numFmtId="0" fontId="12" fillId="0" borderId="21" xfId="0" applyFont="1" applyBorder="1" applyAlignment="1">
      <alignment vertical="top"/>
    </xf>
    <xf numFmtId="9" fontId="170" fillId="36" borderId="1" xfId="1" applyFont="1" applyFill="1" applyBorder="1" applyAlignment="1">
      <alignment horizontal="left"/>
    </xf>
    <xf numFmtId="165" fontId="0" fillId="0" borderId="1" xfId="14" applyNumberFormat="1" applyFont="1" applyBorder="1" applyAlignment="1">
      <alignment horizontal="left"/>
    </xf>
    <xf numFmtId="165" fontId="0" fillId="0" borderId="8" xfId="0" applyNumberFormat="1" applyBorder="1"/>
    <xf numFmtId="0" fontId="0" fillId="14" borderId="1" xfId="0" applyFill="1" applyBorder="1"/>
    <xf numFmtId="166" fontId="0" fillId="14" borderId="1" xfId="14" applyNumberFormat="1" applyFont="1" applyFill="1" applyBorder="1" applyAlignment="1">
      <alignment horizontal="left"/>
    </xf>
    <xf numFmtId="165" fontId="0" fillId="14" borderId="1" xfId="14" applyNumberFormat="1" applyFont="1" applyFill="1" applyBorder="1" applyAlignment="1">
      <alignment horizontal="left"/>
    </xf>
    <xf numFmtId="0" fontId="75" fillId="0" borderId="0" xfId="0" applyFont="1"/>
    <xf numFmtId="0" fontId="171" fillId="0" borderId="0" xfId="0" applyFont="1"/>
    <xf numFmtId="0" fontId="12" fillId="0" borderId="8" xfId="0" applyFont="1" applyBorder="1" applyAlignment="1">
      <alignment vertical="top"/>
    </xf>
    <xf numFmtId="0" fontId="0" fillId="0" borderId="16" xfId="0" applyBorder="1"/>
    <xf numFmtId="0" fontId="0" fillId="0" borderId="34" xfId="0" applyBorder="1"/>
    <xf numFmtId="0" fontId="12" fillId="0" borderId="16" xfId="0" applyFont="1" applyBorder="1"/>
    <xf numFmtId="0" fontId="0" fillId="0" borderId="4" xfId="0" applyBorder="1"/>
    <xf numFmtId="165" fontId="114" fillId="5" borderId="3" xfId="0" applyNumberFormat="1" applyFont="1" applyFill="1" applyBorder="1" applyAlignment="1">
      <alignment horizontal="center" vertical="center"/>
    </xf>
    <xf numFmtId="165" fontId="0" fillId="14" borderId="1" xfId="0" applyNumberFormat="1" applyFill="1" applyBorder="1" applyAlignment="1">
      <alignment horizontal="left"/>
    </xf>
    <xf numFmtId="165" fontId="113" fillId="5" borderId="0" xfId="0" applyNumberFormat="1" applyFont="1" applyFill="1" applyAlignment="1">
      <alignment horizontal="center" vertical="center"/>
    </xf>
    <xf numFmtId="165" fontId="115" fillId="5" borderId="0" xfId="0" applyNumberFormat="1" applyFont="1" applyFill="1" applyAlignment="1">
      <alignment horizontal="left" vertical="center" indent="18"/>
    </xf>
    <xf numFmtId="165" fontId="137" fillId="0" borderId="99" xfId="0" applyNumberFormat="1" applyFont="1" applyBorder="1" applyAlignment="1">
      <alignment horizontal="center" vertical="center"/>
    </xf>
    <xf numFmtId="0" fontId="158" fillId="0" borderId="0" xfId="4" applyFont="1" applyBorder="1" applyAlignment="1" applyProtection="1">
      <alignment horizontal="left" vertical="top"/>
    </xf>
    <xf numFmtId="0" fontId="34" fillId="34" borderId="1" xfId="0" applyFont="1" applyFill="1" applyBorder="1" applyAlignment="1" applyProtection="1">
      <alignment horizontal="center" vertical="center" wrapText="1"/>
      <protection locked="0"/>
    </xf>
    <xf numFmtId="0" fontId="23" fillId="15" borderId="0" xfId="0" applyFont="1" applyFill="1" applyAlignment="1">
      <alignment vertical="center"/>
    </xf>
    <xf numFmtId="0" fontId="172" fillId="0" borderId="0" xfId="0" applyFont="1" applyAlignment="1">
      <alignment horizontal="left" vertical="center"/>
    </xf>
    <xf numFmtId="0" fontId="40" fillId="0" borderId="0" xfId="0" applyFont="1" applyAlignment="1" applyProtection="1">
      <alignment horizontal="center" vertical="center"/>
      <protection locked="0"/>
    </xf>
    <xf numFmtId="0" fontId="26" fillId="12" borderId="4" xfId="15" applyFont="1" applyFill="1" applyBorder="1" applyAlignment="1">
      <alignment horizontal="left" vertical="center"/>
    </xf>
    <xf numFmtId="3" fontId="26" fillId="12" borderId="1" xfId="15" applyNumberFormat="1" applyFont="1" applyFill="1" applyBorder="1" applyAlignment="1">
      <alignment horizontal="center" vertical="center"/>
    </xf>
    <xf numFmtId="169" fontId="47" fillId="7" borderId="4" xfId="0" applyNumberFormat="1" applyFont="1" applyFill="1" applyBorder="1" applyAlignment="1">
      <alignment horizontal="center" vertical="top"/>
    </xf>
    <xf numFmtId="0" fontId="173" fillId="0" borderId="0" xfId="0" applyFont="1"/>
    <xf numFmtId="0" fontId="174" fillId="0" borderId="0" xfId="0" applyFont="1"/>
    <xf numFmtId="0" fontId="175" fillId="0" borderId="0" xfId="0" applyFont="1"/>
    <xf numFmtId="0" fontId="175" fillId="0" borderId="0" xfId="0" applyFont="1" applyAlignment="1">
      <alignment vertical="center"/>
    </xf>
    <xf numFmtId="0" fontId="0" fillId="0" borderId="0" xfId="0" applyAlignment="1">
      <alignment vertical="center"/>
    </xf>
    <xf numFmtId="0" fontId="136" fillId="0" borderId="101" xfId="0" applyFont="1" applyBorder="1" applyAlignment="1">
      <alignment horizontal="left" vertical="top"/>
    </xf>
    <xf numFmtId="165" fontId="137" fillId="0" borderId="102" xfId="0" applyNumberFormat="1" applyFont="1" applyBorder="1" applyAlignment="1">
      <alignment horizontal="center" vertical="center"/>
    </xf>
    <xf numFmtId="2" fontId="137" fillId="0" borderId="52" xfId="0" applyNumberFormat="1" applyFont="1" applyBorder="1" applyAlignment="1">
      <alignment horizontal="center" vertical="center"/>
    </xf>
    <xf numFmtId="0" fontId="136" fillId="0" borderId="103" xfId="0" applyFont="1" applyBorder="1" applyAlignment="1">
      <alignment horizontal="left" vertical="top"/>
    </xf>
    <xf numFmtId="0" fontId="143" fillId="0" borderId="105" xfId="0" applyFont="1" applyBorder="1" applyAlignment="1">
      <alignment horizontal="left" vertical="top" wrapText="1"/>
    </xf>
    <xf numFmtId="0" fontId="138" fillId="0" borderId="0" xfId="0" applyFont="1" applyAlignment="1">
      <alignment vertical="top"/>
    </xf>
    <xf numFmtId="0" fontId="138" fillId="0" borderId="0" xfId="0" applyFont="1" applyAlignment="1">
      <alignment horizontal="left" vertical="top"/>
    </xf>
    <xf numFmtId="0" fontId="137" fillId="0" borderId="50" xfId="0" applyFont="1" applyBorder="1" applyAlignment="1">
      <alignment horizontal="left" vertical="top"/>
    </xf>
    <xf numFmtId="0" fontId="137" fillId="0" borderId="103" xfId="0" applyFont="1" applyBorder="1" applyAlignment="1">
      <alignment horizontal="left" vertical="top"/>
    </xf>
    <xf numFmtId="0" fontId="137" fillId="0" borderId="104" xfId="0" applyFont="1" applyBorder="1" applyAlignment="1">
      <alignment horizontal="left" vertical="top"/>
    </xf>
    <xf numFmtId="0" fontId="33" fillId="0" borderId="0" xfId="0" applyFont="1" applyAlignment="1">
      <alignment horizontal="left"/>
    </xf>
    <xf numFmtId="0" fontId="73" fillId="5" borderId="12" xfId="0" applyFont="1" applyFill="1" applyBorder="1" applyAlignment="1">
      <alignment vertical="center" wrapText="1"/>
    </xf>
    <xf numFmtId="165" fontId="115" fillId="5" borderId="8" xfId="0" applyNumberFormat="1" applyFont="1" applyFill="1" applyBorder="1" applyAlignment="1">
      <alignment horizontal="center" vertical="center"/>
    </xf>
    <xf numFmtId="165" fontId="114" fillId="5" borderId="8" xfId="0" applyNumberFormat="1" applyFont="1" applyFill="1" applyBorder="1" applyAlignment="1">
      <alignment horizontal="left" vertical="center" indent="18"/>
    </xf>
    <xf numFmtId="165" fontId="114" fillId="5" borderId="2" xfId="0" applyNumberFormat="1" applyFont="1" applyFill="1" applyBorder="1" applyAlignment="1">
      <alignment horizontal="center" vertical="center"/>
    </xf>
    <xf numFmtId="165" fontId="114" fillId="5" borderId="4" xfId="0" applyNumberFormat="1" applyFont="1" applyFill="1" applyBorder="1" applyAlignment="1">
      <alignment horizontal="center" vertical="center"/>
    </xf>
    <xf numFmtId="194" fontId="29" fillId="0" borderId="1" xfId="1" applyNumberFormat="1" applyFont="1" applyFill="1" applyBorder="1" applyAlignment="1">
      <alignment horizontal="center" vertical="center"/>
    </xf>
    <xf numFmtId="0" fontId="138" fillId="0" borderId="0" xfId="0" applyFont="1" applyAlignment="1">
      <alignment vertical="center" wrapText="1"/>
    </xf>
    <xf numFmtId="0" fontId="148" fillId="0" borderId="0" xfId="0" applyFont="1"/>
    <xf numFmtId="0" fontId="148" fillId="0" borderId="0" xfId="0" applyFont="1" applyAlignment="1">
      <alignment vertical="center"/>
    </xf>
    <xf numFmtId="0" fontId="160" fillId="0" borderId="0" xfId="0" applyFont="1"/>
    <xf numFmtId="0" fontId="138" fillId="0" borderId="107" xfId="0" applyFont="1" applyBorder="1" applyAlignment="1">
      <alignment horizontal="left" vertical="center" wrapText="1"/>
    </xf>
    <xf numFmtId="0" fontId="136" fillId="0" borderId="110" xfId="0" applyFont="1" applyBorder="1" applyAlignment="1">
      <alignment horizontal="left" vertical="center" wrapText="1"/>
    </xf>
    <xf numFmtId="0" fontId="136" fillId="0" borderId="95" xfId="0" applyFont="1" applyBorder="1" applyAlignment="1">
      <alignment horizontal="left" vertical="top"/>
    </xf>
    <xf numFmtId="0" fontId="136" fillId="0" borderId="96" xfId="0" applyFont="1" applyBorder="1" applyAlignment="1">
      <alignment horizontal="left" vertical="top"/>
    </xf>
    <xf numFmtId="0" fontId="177" fillId="0" borderId="0" xfId="0" applyFont="1"/>
    <xf numFmtId="0" fontId="138" fillId="0" borderId="0" xfId="0" applyFont="1" applyAlignment="1">
      <alignment horizontal="right" vertical="center" wrapText="1"/>
    </xf>
    <xf numFmtId="0" fontId="157" fillId="0" borderId="0" xfId="4" applyFont="1" applyAlignment="1"/>
    <xf numFmtId="0" fontId="161" fillId="0" borderId="0" xfId="0" applyFont="1" applyAlignment="1">
      <alignment horizontal="left" vertical="top" wrapText="1"/>
    </xf>
    <xf numFmtId="0" fontId="136" fillId="0" borderId="0" xfId="0" applyFont="1" applyAlignment="1">
      <alignment vertical="top"/>
    </xf>
    <xf numFmtId="0" fontId="152" fillId="0" borderId="0" xfId="0" applyFont="1" applyAlignment="1">
      <alignment horizontal="left" vertical="top"/>
    </xf>
    <xf numFmtId="0" fontId="138" fillId="0" borderId="0" xfId="0" applyFont="1" applyAlignment="1">
      <alignment vertical="top" wrapText="1"/>
    </xf>
    <xf numFmtId="0" fontId="152" fillId="0" borderId="0" xfId="0" applyFont="1" applyAlignment="1">
      <alignment horizontal="left" vertical="top" wrapText="1"/>
    </xf>
    <xf numFmtId="0" fontId="158" fillId="0" borderId="0" xfId="0" applyFont="1" applyAlignment="1">
      <alignment vertical="top"/>
    </xf>
    <xf numFmtId="0" fontId="157" fillId="0" borderId="0" xfId="4" applyFont="1" applyBorder="1" applyAlignment="1" applyProtection="1">
      <alignment horizontal="left" vertical="top" wrapText="1"/>
    </xf>
    <xf numFmtId="0" fontId="34" fillId="24" borderId="0" xfId="0" applyFont="1" applyFill="1"/>
    <xf numFmtId="165" fontId="113" fillId="5" borderId="86" xfId="0" applyNumberFormat="1" applyFont="1" applyFill="1" applyBorder="1" applyAlignment="1">
      <alignment horizontal="center" vertical="center"/>
    </xf>
    <xf numFmtId="165" fontId="113" fillId="5" borderId="44" xfId="0" applyNumberFormat="1" applyFont="1" applyFill="1" applyBorder="1" applyAlignment="1">
      <alignment horizontal="center" vertical="center"/>
    </xf>
    <xf numFmtId="165" fontId="115" fillId="14" borderId="46" xfId="0" applyNumberFormat="1" applyFont="1" applyFill="1" applyBorder="1" applyAlignment="1">
      <alignment horizontal="center" vertical="center"/>
    </xf>
    <xf numFmtId="0" fontId="28" fillId="9" borderId="15" xfId="0" applyFont="1" applyFill="1" applyBorder="1" applyAlignment="1">
      <alignment horizontal="center" vertical="center"/>
    </xf>
    <xf numFmtId="0" fontId="28" fillId="9" borderId="13" xfId="0" applyFont="1" applyFill="1" applyBorder="1" applyAlignment="1">
      <alignment horizontal="center" vertical="center"/>
    </xf>
    <xf numFmtId="0" fontId="28" fillId="9" borderId="17" xfId="0" applyFont="1" applyFill="1" applyBorder="1" applyAlignment="1">
      <alignment horizontal="center" vertical="center"/>
    </xf>
    <xf numFmtId="0" fontId="56" fillId="15" borderId="0" xfId="0" applyFont="1" applyFill="1" applyAlignment="1">
      <alignment horizontal="left" vertical="center"/>
    </xf>
    <xf numFmtId="166" fontId="27" fillId="0" borderId="2" xfId="0" applyNumberFormat="1" applyFont="1" applyBorder="1" applyAlignment="1">
      <alignment horizontal="left" vertical="top" wrapText="1"/>
    </xf>
    <xf numFmtId="166" fontId="27" fillId="0" borderId="3" xfId="0" applyNumberFormat="1" applyFont="1" applyBorder="1" applyAlignment="1">
      <alignment horizontal="left" vertical="top" wrapText="1"/>
    </xf>
    <xf numFmtId="165" fontId="29" fillId="5" borderId="46" xfId="0" applyNumberFormat="1" applyFont="1" applyFill="1" applyBorder="1" applyAlignment="1">
      <alignment horizontal="center" vertical="center"/>
    </xf>
    <xf numFmtId="184" fontId="27" fillId="5" borderId="46" xfId="0" applyNumberFormat="1" applyFont="1" applyFill="1" applyBorder="1" applyAlignment="1">
      <alignment horizontal="center" vertical="center"/>
    </xf>
    <xf numFmtId="165" fontId="113" fillId="0" borderId="30" xfId="0" applyNumberFormat="1" applyFont="1" applyBorder="1" applyAlignment="1">
      <alignment horizontal="center" vertical="center"/>
    </xf>
    <xf numFmtId="165" fontId="113" fillId="0" borderId="47" xfId="0" applyNumberFormat="1" applyFont="1" applyBorder="1" applyAlignment="1">
      <alignment horizontal="center" vertical="center"/>
    </xf>
    <xf numFmtId="165" fontId="113" fillId="0" borderId="34" xfId="0" applyNumberFormat="1" applyFont="1" applyBorder="1" applyAlignment="1">
      <alignment horizontal="center" vertical="center"/>
    </xf>
    <xf numFmtId="188" fontId="122" fillId="0" borderId="3" xfId="0" applyNumberFormat="1" applyFont="1" applyBorder="1" applyAlignment="1">
      <alignment horizontal="center" vertical="center"/>
    </xf>
    <xf numFmtId="165" fontId="115" fillId="5" borderId="46" xfId="0" applyNumberFormat="1" applyFont="1" applyFill="1" applyBorder="1" applyAlignment="1">
      <alignment horizontal="center" vertical="center"/>
    </xf>
    <xf numFmtId="185" fontId="47" fillId="5" borderId="2" xfId="0" applyNumberFormat="1" applyFont="1" applyFill="1" applyBorder="1" applyAlignment="1">
      <alignment horizontal="center" vertical="center"/>
    </xf>
    <xf numFmtId="185" fontId="47" fillId="5" borderId="3" xfId="0" applyNumberFormat="1" applyFont="1" applyFill="1" applyBorder="1" applyAlignment="1">
      <alignment horizontal="center" vertical="center"/>
    </xf>
    <xf numFmtId="186" fontId="48" fillId="5" borderId="2" xfId="0" applyNumberFormat="1" applyFont="1" applyFill="1" applyBorder="1" applyAlignment="1">
      <alignment horizontal="center" vertical="center" wrapText="1"/>
    </xf>
    <xf numFmtId="186" fontId="48" fillId="5" borderId="3" xfId="0" applyNumberFormat="1" applyFont="1" applyFill="1" applyBorder="1" applyAlignment="1">
      <alignment horizontal="center" vertical="center" wrapText="1"/>
    </xf>
    <xf numFmtId="186" fontId="48" fillId="5" borderId="4" xfId="0" applyNumberFormat="1" applyFont="1" applyFill="1" applyBorder="1" applyAlignment="1">
      <alignment horizontal="center" vertical="center" wrapText="1"/>
    </xf>
    <xf numFmtId="0" fontId="16" fillId="11" borderId="0" xfId="0" applyFont="1" applyFill="1" applyAlignment="1">
      <alignment horizontal="left" vertical="center"/>
    </xf>
    <xf numFmtId="0" fontId="20" fillId="0" borderId="0" xfId="0" applyFont="1" applyAlignment="1">
      <alignment horizontal="center" vertical="center" wrapText="1"/>
    </xf>
    <xf numFmtId="14" fontId="13" fillId="0" borderId="0" xfId="0" applyNumberFormat="1" applyFont="1" applyAlignment="1" applyProtection="1">
      <alignment horizontal="center" vertical="center" wrapText="1"/>
      <protection locked="0"/>
    </xf>
    <xf numFmtId="0" fontId="157" fillId="0" borderId="0" xfId="4" applyFont="1" applyAlignment="1">
      <alignment horizontal="left" vertical="center"/>
    </xf>
    <xf numFmtId="0" fontId="0" fillId="0" borderId="9" xfId="0" applyBorder="1" applyAlignment="1">
      <alignment horizontal="center" vertical="center"/>
    </xf>
    <xf numFmtId="164" fontId="178" fillId="15" borderId="0" xfId="0" applyNumberFormat="1" applyFont="1" applyFill="1" applyAlignment="1">
      <alignment horizontal="center" vertical="top" wrapText="1"/>
    </xf>
    <xf numFmtId="0" fontId="179" fillId="5" borderId="1" xfId="0" applyFont="1" applyFill="1" applyBorder="1" applyAlignment="1">
      <alignment horizontal="left" vertical="center"/>
    </xf>
    <xf numFmtId="0" fontId="183" fillId="0" borderId="53" xfId="0" applyFont="1" applyBorder="1" applyAlignment="1">
      <alignment horizontal="left" vertical="top"/>
    </xf>
    <xf numFmtId="0" fontId="184" fillId="0" borderId="60" xfId="0" applyFont="1" applyBorder="1" applyAlignment="1">
      <alignment horizontal="left" vertical="top"/>
    </xf>
    <xf numFmtId="166" fontId="185" fillId="0" borderId="88" xfId="0" applyNumberFormat="1" applyFont="1" applyBorder="1" applyAlignment="1">
      <alignment horizontal="center" vertical="center" wrapText="1"/>
    </xf>
    <xf numFmtId="0" fontId="137" fillId="5" borderId="9" xfId="0" applyFont="1" applyFill="1" applyBorder="1" applyAlignment="1">
      <alignment horizontal="left" vertical="top"/>
    </xf>
    <xf numFmtId="166" fontId="140" fillId="0" borderId="113" xfId="0" applyNumberFormat="1" applyFont="1" applyBorder="1" applyAlignment="1">
      <alignment horizontal="center" vertical="center" wrapText="1"/>
    </xf>
    <xf numFmtId="0" fontId="184" fillId="0" borderId="85" xfId="0" applyFont="1" applyBorder="1" applyAlignment="1">
      <alignment horizontal="left" vertical="top"/>
    </xf>
    <xf numFmtId="0" fontId="137" fillId="0" borderId="114" xfId="0" applyFont="1" applyBorder="1" applyAlignment="1">
      <alignment horizontal="left" vertical="top"/>
    </xf>
    <xf numFmtId="166" fontId="140" fillId="0" borderId="115" xfId="0" applyNumberFormat="1" applyFont="1" applyBorder="1" applyAlignment="1">
      <alignment horizontal="center" vertical="center" wrapText="1"/>
    </xf>
    <xf numFmtId="0" fontId="183" fillId="0" borderId="94" xfId="0" applyFont="1" applyBorder="1" applyAlignment="1">
      <alignment horizontal="left" vertical="top"/>
    </xf>
    <xf numFmtId="0" fontId="136" fillId="0" borderId="116" xfId="0" applyFont="1" applyBorder="1" applyAlignment="1">
      <alignment horizontal="left" vertical="top"/>
    </xf>
    <xf numFmtId="0" fontId="136" fillId="0" borderId="117" xfId="0" applyFont="1" applyBorder="1" applyAlignment="1">
      <alignment horizontal="left" vertical="top"/>
    </xf>
    <xf numFmtId="165" fontId="137" fillId="0" borderId="113" xfId="0" applyNumberFormat="1" applyFont="1" applyBorder="1" applyAlignment="1">
      <alignment horizontal="center" vertical="center"/>
    </xf>
    <xf numFmtId="0" fontId="187" fillId="0" borderId="1" xfId="15" applyFont="1" applyBorder="1" applyAlignment="1">
      <alignment horizontal="left"/>
    </xf>
    <xf numFmtId="0" fontId="187" fillId="5" borderId="15" xfId="15" applyFont="1" applyFill="1" applyBorder="1" applyAlignment="1">
      <alignment horizontal="left"/>
    </xf>
    <xf numFmtId="0" fontId="187" fillId="0" borderId="1" xfId="4" applyFont="1" applyBorder="1" applyAlignment="1">
      <alignment horizontal="left" vertical="center" wrapText="1"/>
    </xf>
    <xf numFmtId="0" fontId="187" fillId="0" borderId="1" xfId="4" applyFont="1" applyFill="1" applyBorder="1" applyAlignment="1">
      <alignment horizontal="left" vertical="center" wrapText="1"/>
    </xf>
    <xf numFmtId="0" fontId="188" fillId="9" borderId="1" xfId="0" applyFont="1" applyFill="1" applyBorder="1" applyAlignment="1">
      <alignment horizontal="left" vertical="center" wrapText="1"/>
    </xf>
    <xf numFmtId="0" fontId="28" fillId="9" borderId="8" xfId="0" applyFont="1" applyFill="1" applyBorder="1" applyAlignment="1">
      <alignment horizontal="left" vertical="center"/>
    </xf>
    <xf numFmtId="0" fontId="183" fillId="0" borderId="101" xfId="0" applyFont="1" applyBorder="1" applyAlignment="1">
      <alignment horizontal="left" vertical="top"/>
    </xf>
    <xf numFmtId="0" fontId="184" fillId="0" borderId="114" xfId="0" applyFont="1" applyBorder="1" applyAlignment="1">
      <alignment horizontal="left" vertical="top"/>
    </xf>
    <xf numFmtId="166" fontId="185" fillId="0" borderId="115" xfId="0" applyNumberFormat="1" applyFont="1" applyBorder="1" applyAlignment="1">
      <alignment horizontal="center" vertical="center" wrapText="1"/>
    </xf>
    <xf numFmtId="0" fontId="183" fillId="5" borderId="50" xfId="0" applyFont="1" applyFill="1" applyBorder="1" applyAlignment="1">
      <alignment horizontal="left" vertical="top"/>
    </xf>
    <xf numFmtId="0" fontId="184" fillId="5" borderId="1" xfId="0" applyFont="1" applyFill="1" applyBorder="1" applyAlignment="1">
      <alignment horizontal="left" vertical="top"/>
    </xf>
    <xf numFmtId="0" fontId="183" fillId="0" borderId="50" xfId="0" applyFont="1" applyBorder="1" applyAlignment="1">
      <alignment horizontal="left" vertical="top"/>
    </xf>
    <xf numFmtId="0" fontId="184" fillId="0" borderId="1" xfId="0" applyFont="1" applyBorder="1" applyAlignment="1">
      <alignment horizontal="left" vertical="top"/>
    </xf>
    <xf numFmtId="166" fontId="185" fillId="0" borderId="52" xfId="0" applyNumberFormat="1" applyFont="1" applyBorder="1" applyAlignment="1">
      <alignment horizontal="center" vertical="center" wrapText="1"/>
    </xf>
    <xf numFmtId="0" fontId="183" fillId="0" borderId="95" xfId="0" applyFont="1" applyBorder="1" applyAlignment="1">
      <alignment horizontal="left" vertical="top"/>
    </xf>
    <xf numFmtId="0" fontId="183" fillId="0" borderId="96" xfId="0" applyFont="1" applyBorder="1" applyAlignment="1">
      <alignment horizontal="left" vertical="top"/>
    </xf>
    <xf numFmtId="166" fontId="185" fillId="0" borderId="93" xfId="0" applyNumberFormat="1" applyFont="1" applyBorder="1" applyAlignment="1">
      <alignment horizontal="center" vertical="center" wrapText="1"/>
    </xf>
    <xf numFmtId="2" fontId="185" fillId="0" borderId="88" xfId="0" applyNumberFormat="1" applyFont="1" applyBorder="1" applyAlignment="1">
      <alignment horizontal="center" vertical="center" wrapText="1"/>
    </xf>
    <xf numFmtId="0" fontId="147" fillId="0" borderId="61" xfId="0" applyFont="1" applyBorder="1" applyAlignment="1">
      <alignment vertical="center" wrapText="1"/>
    </xf>
    <xf numFmtId="0" fontId="147" fillId="0" borderId="62" xfId="0" applyFont="1" applyBorder="1" applyAlignment="1">
      <alignment vertical="center" wrapText="1"/>
    </xf>
    <xf numFmtId="0" fontId="147" fillId="0" borderId="63" xfId="0" applyFont="1" applyBorder="1" applyAlignment="1">
      <alignment vertical="center" wrapText="1"/>
    </xf>
    <xf numFmtId="0" fontId="158" fillId="0" borderId="0" xfId="0" applyFont="1" applyAlignment="1">
      <alignment vertical="top"/>
    </xf>
    <xf numFmtId="0" fontId="157" fillId="0" borderId="0" xfId="4" applyFont="1" applyBorder="1" applyAlignment="1" applyProtection="1">
      <alignment horizontal="left" vertical="top" wrapText="1"/>
    </xf>
    <xf numFmtId="0" fontId="138" fillId="0" borderId="0" xfId="0" applyFont="1" applyAlignment="1">
      <alignment horizontal="right" vertical="center" wrapText="1"/>
    </xf>
    <xf numFmtId="0" fontId="135" fillId="19" borderId="48" xfId="0" applyFont="1" applyFill="1" applyBorder="1" applyAlignment="1">
      <alignment horizontal="left" vertical="top" wrapText="1"/>
    </xf>
    <xf numFmtId="0" fontId="135" fillId="19" borderId="49" xfId="0" applyFont="1" applyFill="1" applyBorder="1" applyAlignment="1">
      <alignment horizontal="left" vertical="top" wrapText="1"/>
    </xf>
    <xf numFmtId="0" fontId="135" fillId="19" borderId="90" xfId="0" applyFont="1" applyFill="1" applyBorder="1" applyAlignment="1">
      <alignment horizontal="left" vertical="top" wrapText="1"/>
    </xf>
    <xf numFmtId="0" fontId="150" fillId="0" borderId="81" xfId="0" applyFont="1" applyBorder="1" applyAlignment="1">
      <alignment vertical="center" wrapText="1"/>
    </xf>
    <xf numFmtId="0" fontId="150" fillId="0" borderId="82" xfId="0" applyFont="1" applyBorder="1" applyAlignment="1">
      <alignment vertical="center" wrapText="1"/>
    </xf>
    <xf numFmtId="0" fontId="149" fillId="0" borderId="80" xfId="0" applyFont="1" applyBorder="1" applyAlignment="1">
      <alignment horizontal="left" vertical="center"/>
    </xf>
    <xf numFmtId="0" fontId="149" fillId="0" borderId="81" xfId="0" applyFont="1" applyBorder="1" applyAlignment="1">
      <alignment horizontal="left" vertical="center"/>
    </xf>
    <xf numFmtId="0" fontId="138" fillId="7" borderId="5" xfId="0" applyFont="1" applyFill="1" applyBorder="1" applyAlignment="1" applyProtection="1">
      <alignment horizontal="center" vertical="center" wrapText="1"/>
      <protection locked="0"/>
    </xf>
    <xf numFmtId="0" fontId="138" fillId="7" borderId="0" xfId="0" applyFont="1" applyFill="1" applyAlignment="1" applyProtection="1">
      <alignment horizontal="center" vertical="center" wrapText="1"/>
      <protection locked="0"/>
    </xf>
    <xf numFmtId="0" fontId="138" fillId="7" borderId="39" xfId="0" applyFont="1" applyFill="1" applyBorder="1" applyAlignment="1" applyProtection="1">
      <alignment horizontal="center" vertical="center" wrapText="1"/>
      <protection locked="0"/>
    </xf>
    <xf numFmtId="0" fontId="135" fillId="19" borderId="83" xfId="0" applyFont="1" applyFill="1" applyBorder="1" applyAlignment="1">
      <alignment horizontal="left" vertical="top" wrapText="1"/>
    </xf>
    <xf numFmtId="0" fontId="135" fillId="19" borderId="47" xfId="0" applyFont="1" applyFill="1" applyBorder="1" applyAlignment="1">
      <alignment horizontal="left" vertical="top" wrapText="1"/>
    </xf>
    <xf numFmtId="0" fontId="135" fillId="19" borderId="34" xfId="0" applyFont="1" applyFill="1" applyBorder="1" applyAlignment="1">
      <alignment horizontal="left" vertical="top" wrapText="1"/>
    </xf>
    <xf numFmtId="0" fontId="135" fillId="19" borderId="21" xfId="0" applyFont="1" applyFill="1" applyBorder="1" applyAlignment="1">
      <alignment horizontal="left" vertical="top" wrapText="1"/>
    </xf>
    <xf numFmtId="0" fontId="135" fillId="19" borderId="24" xfId="0" applyFont="1" applyFill="1" applyBorder="1" applyAlignment="1">
      <alignment horizontal="left" vertical="top" wrapText="1"/>
    </xf>
    <xf numFmtId="0" fontId="137" fillId="0" borderId="1" xfId="0" applyFont="1" applyBorder="1" applyAlignment="1">
      <alignment horizontal="left" vertical="top" wrapText="1"/>
    </xf>
    <xf numFmtId="0" fontId="152" fillId="0" borderId="0" xfId="0" applyFont="1" applyAlignment="1">
      <alignment horizontal="left" vertical="top" wrapText="1"/>
    </xf>
    <xf numFmtId="0" fontId="135" fillId="19" borderId="40" xfId="0" applyFont="1" applyFill="1" applyBorder="1" applyAlignment="1">
      <alignment horizontal="left" vertical="center" wrapText="1"/>
    </xf>
    <xf numFmtId="0" fontId="135" fillId="19" borderId="41" xfId="0" applyFont="1" applyFill="1" applyBorder="1" applyAlignment="1">
      <alignment horizontal="left" vertical="center" wrapText="1"/>
    </xf>
    <xf numFmtId="0" fontId="135" fillId="19" borderId="43" xfId="0" applyFont="1" applyFill="1" applyBorder="1" applyAlignment="1">
      <alignment horizontal="left" vertical="center" wrapText="1"/>
    </xf>
    <xf numFmtId="0" fontId="137" fillId="0" borderId="9" xfId="0" applyFont="1" applyBorder="1" applyAlignment="1">
      <alignment horizontal="left" vertical="top" wrapText="1"/>
    </xf>
    <xf numFmtId="0" fontId="139" fillId="19" borderId="42" xfId="0" applyFont="1" applyFill="1" applyBorder="1" applyAlignment="1">
      <alignment horizontal="left" vertical="top" wrapText="1"/>
    </xf>
    <xf numFmtId="0" fontId="139" fillId="19" borderId="21" xfId="0" applyFont="1" applyFill="1" applyBorder="1" applyAlignment="1">
      <alignment horizontal="left" vertical="top" wrapText="1"/>
    </xf>
    <xf numFmtId="0" fontId="139" fillId="19" borderId="24" xfId="0" applyFont="1" applyFill="1" applyBorder="1" applyAlignment="1">
      <alignment horizontal="left" vertical="top" wrapText="1"/>
    </xf>
    <xf numFmtId="0" fontId="139" fillId="19" borderId="83" xfId="0" applyFont="1" applyFill="1" applyBorder="1" applyAlignment="1">
      <alignment horizontal="left" vertical="center"/>
    </xf>
    <xf numFmtId="0" fontId="139" fillId="19" borderId="47" xfId="0" applyFont="1" applyFill="1" applyBorder="1" applyAlignment="1">
      <alignment horizontal="left" vertical="center"/>
    </xf>
    <xf numFmtId="0" fontId="139" fillId="19" borderId="27" xfId="0" applyFont="1" applyFill="1" applyBorder="1" applyAlignment="1">
      <alignment horizontal="left" vertical="center"/>
    </xf>
    <xf numFmtId="187" fontId="145" fillId="0" borderId="74" xfId="0" applyNumberFormat="1" applyFont="1" applyBorder="1" applyAlignment="1">
      <alignment horizontal="center" vertical="center" wrapText="1"/>
    </xf>
    <xf numFmtId="187" fontId="145" fillId="0" borderId="77" xfId="0" applyNumberFormat="1" applyFont="1" applyBorder="1" applyAlignment="1">
      <alignment horizontal="center" vertical="center" wrapText="1"/>
    </xf>
    <xf numFmtId="0" fontId="155" fillId="0" borderId="0" xfId="0" applyFont="1" applyAlignment="1">
      <alignment horizontal="right" vertical="center"/>
    </xf>
    <xf numFmtId="0" fontId="136" fillId="5" borderId="106" xfId="0" applyFont="1" applyFill="1" applyBorder="1" applyAlignment="1">
      <alignment horizontal="left" vertical="center" wrapText="1"/>
    </xf>
    <xf numFmtId="0" fontId="136" fillId="5" borderId="58" xfId="0" applyFont="1" applyFill="1" applyBorder="1" applyAlignment="1">
      <alignment horizontal="left" vertical="center" wrapText="1"/>
    </xf>
    <xf numFmtId="165" fontId="176" fillId="0" borderId="108" xfId="0" applyNumberFormat="1" applyFont="1" applyBorder="1" applyAlignment="1">
      <alignment horizontal="center" vertical="center" wrapText="1"/>
    </xf>
    <xf numFmtId="165" fontId="176" fillId="0" borderId="109" xfId="0" applyNumberFormat="1" applyFont="1" applyBorder="1" applyAlignment="1">
      <alignment horizontal="center" vertical="center" wrapText="1"/>
    </xf>
    <xf numFmtId="0" fontId="138" fillId="0" borderId="81" xfId="0" applyFont="1" applyBorder="1" applyAlignment="1">
      <alignment horizontal="right" vertical="center" wrapText="1"/>
    </xf>
    <xf numFmtId="171" fontId="146" fillId="0" borderId="111" xfId="0" applyNumberFormat="1" applyFont="1" applyBorder="1" applyAlignment="1">
      <alignment horizontal="center" vertical="center" wrapText="1"/>
    </xf>
    <xf numFmtId="171" fontId="146" fillId="0" borderId="112" xfId="0" applyNumberFormat="1" applyFont="1" applyBorder="1" applyAlignment="1">
      <alignment horizontal="center" vertical="center" wrapText="1"/>
    </xf>
    <xf numFmtId="192" fontId="145" fillId="5" borderId="0" xfId="0" applyNumberFormat="1" applyFont="1" applyFill="1" applyAlignment="1">
      <alignment horizontal="center" vertical="center" wrapText="1"/>
    </xf>
    <xf numFmtId="192" fontId="145" fillId="5" borderId="39" xfId="0" applyNumberFormat="1" applyFont="1" applyFill="1" applyBorder="1" applyAlignment="1">
      <alignment horizontal="center" vertical="center" wrapText="1"/>
    </xf>
    <xf numFmtId="189" fontId="138" fillId="0" borderId="62" xfId="0" applyNumberFormat="1" applyFont="1" applyBorder="1" applyAlignment="1">
      <alignment horizontal="center" vertical="center" wrapText="1"/>
    </xf>
    <xf numFmtId="189" fontId="138" fillId="0" borderId="63" xfId="0" applyNumberFormat="1" applyFont="1" applyBorder="1" applyAlignment="1">
      <alignment horizontal="center" vertical="center" wrapText="1"/>
    </xf>
    <xf numFmtId="0" fontId="152" fillId="0" borderId="0" xfId="0" applyFont="1" applyAlignment="1">
      <alignment horizontal="left" vertical="top"/>
    </xf>
    <xf numFmtId="0" fontId="145" fillId="5" borderId="0" xfId="0" applyFont="1" applyFill="1" applyAlignment="1">
      <alignment horizontal="left" vertical="top"/>
    </xf>
    <xf numFmtId="0" fontId="157" fillId="0" borderId="0" xfId="4" applyFont="1" applyBorder="1" applyAlignment="1">
      <alignment horizontal="left"/>
    </xf>
    <xf numFmtId="0" fontId="138" fillId="0" borderId="0" xfId="0" applyFont="1" applyAlignment="1">
      <alignment vertical="top" wrapText="1"/>
    </xf>
    <xf numFmtId="0" fontId="186" fillId="0" borderId="100" xfId="0" applyFont="1" applyBorder="1" applyAlignment="1">
      <alignment horizontal="left" vertical="top" wrapText="1"/>
    </xf>
    <xf numFmtId="0" fontId="186" fillId="0" borderId="100" xfId="0" applyFont="1" applyBorder="1" applyAlignment="1">
      <alignment vertical="center" wrapText="1"/>
    </xf>
    <xf numFmtId="0" fontId="136" fillId="5" borderId="92" xfId="0" applyFont="1" applyFill="1" applyBorder="1" applyAlignment="1">
      <alignment horizontal="left" vertical="top"/>
    </xf>
    <xf numFmtId="0" fontId="136" fillId="5" borderId="16" xfId="0" applyFont="1" applyFill="1" applyBorder="1" applyAlignment="1">
      <alignment horizontal="left" vertical="top"/>
    </xf>
    <xf numFmtId="0" fontId="135" fillId="19" borderId="80" xfId="0" applyFont="1" applyFill="1" applyBorder="1" applyAlignment="1">
      <alignment horizontal="left" vertical="top" wrapText="1"/>
    </xf>
    <xf numFmtId="0" fontId="135" fillId="19" borderId="81" xfId="0" applyFont="1" applyFill="1" applyBorder="1" applyAlignment="1">
      <alignment horizontal="left" vertical="top" wrapText="1"/>
    </xf>
    <xf numFmtId="0" fontId="135" fillId="19" borderId="82" xfId="0" applyFont="1" applyFill="1" applyBorder="1" applyAlignment="1">
      <alignment horizontal="left" vertical="top" wrapText="1"/>
    </xf>
    <xf numFmtId="0" fontId="151" fillId="7" borderId="1" xfId="0" applyFont="1" applyFill="1" applyBorder="1" applyAlignment="1" applyProtection="1">
      <alignment horizontal="center" vertical="top" wrapText="1"/>
      <protection locked="0"/>
    </xf>
    <xf numFmtId="0" fontId="151" fillId="7" borderId="23" xfId="0" applyFont="1" applyFill="1" applyBorder="1" applyAlignment="1" applyProtection="1">
      <alignment horizontal="center" vertical="top" wrapText="1"/>
      <protection locked="0"/>
    </xf>
    <xf numFmtId="181" fontId="151" fillId="7" borderId="21" xfId="0" applyNumberFormat="1" applyFont="1" applyFill="1" applyBorder="1" applyAlignment="1" applyProtection="1">
      <alignment horizontal="center" vertical="top" wrapText="1"/>
      <protection locked="0"/>
    </xf>
    <xf numFmtId="181" fontId="151" fillId="7" borderId="24" xfId="0" applyNumberFormat="1" applyFont="1" applyFill="1" applyBorder="1" applyAlignment="1" applyProtection="1">
      <alignment horizontal="center" vertical="top" wrapText="1"/>
      <protection locked="0"/>
    </xf>
    <xf numFmtId="0" fontId="186" fillId="0" borderId="0" xfId="0" applyFont="1" applyAlignment="1">
      <alignment vertical="center" wrapText="1"/>
    </xf>
    <xf numFmtId="0" fontId="186" fillId="0" borderId="0" xfId="0" applyFont="1" applyAlignment="1">
      <alignment vertical="top" wrapText="1"/>
    </xf>
    <xf numFmtId="0" fontId="186" fillId="0" borderId="0" xfId="0" applyFont="1" applyAlignment="1">
      <alignment horizontal="left" vertical="top" wrapText="1"/>
    </xf>
    <xf numFmtId="0" fontId="136" fillId="5" borderId="91" xfId="0" applyFont="1" applyFill="1" applyBorder="1" applyAlignment="1">
      <alignment horizontal="left" vertical="top"/>
    </xf>
    <xf numFmtId="0" fontId="136" fillId="5" borderId="4" xfId="0" applyFont="1" applyFill="1" applyBorder="1" applyAlignment="1">
      <alignment horizontal="left" vertical="top"/>
    </xf>
    <xf numFmtId="0" fontId="157" fillId="0" borderId="0" xfId="4" applyFont="1" applyAlignment="1"/>
    <xf numFmtId="0" fontId="159" fillId="0" borderId="0" xfId="0" applyFont="1"/>
    <xf numFmtId="0" fontId="157" fillId="0" borderId="0" xfId="4" applyFont="1" applyAlignment="1">
      <alignment horizontal="left"/>
    </xf>
    <xf numFmtId="0" fontId="163" fillId="0" borderId="0" xfId="0" applyFont="1" applyAlignment="1">
      <alignment horizontal="left" vertical="top" wrapText="1"/>
    </xf>
    <xf numFmtId="0" fontId="161" fillId="0" borderId="0" xfId="0" applyFont="1" applyAlignment="1">
      <alignment horizontal="left" vertical="top" wrapText="1"/>
    </xf>
    <xf numFmtId="0" fontId="136" fillId="0" borderId="0" xfId="0" applyFont="1" applyAlignment="1">
      <alignment vertical="top"/>
    </xf>
    <xf numFmtId="0" fontId="137" fillId="0" borderId="0" xfId="0" applyFont="1" applyAlignment="1">
      <alignment horizontal="left" vertical="top" wrapText="1" indent="1"/>
    </xf>
    <xf numFmtId="0" fontId="136" fillId="0" borderId="0" xfId="0" applyFont="1" applyAlignment="1">
      <alignment vertical="top" wrapText="1"/>
    </xf>
    <xf numFmtId="0" fontId="56" fillId="15" borderId="0" xfId="0" applyFont="1" applyFill="1" applyAlignment="1">
      <alignment horizontal="left" vertical="center"/>
    </xf>
    <xf numFmtId="166" fontId="27" fillId="0" borderId="2" xfId="0" applyNumberFormat="1" applyFont="1" applyBorder="1" applyAlignment="1">
      <alignment horizontal="left" vertical="top" wrapText="1"/>
    </xf>
    <xf numFmtId="166" fontId="27" fillId="0" borderId="3" xfId="0" applyNumberFormat="1" applyFont="1" applyBorder="1" applyAlignment="1">
      <alignment horizontal="left" vertical="top" wrapText="1"/>
    </xf>
    <xf numFmtId="166" fontId="27" fillId="0" borderId="4" xfId="0" applyNumberFormat="1" applyFont="1" applyBorder="1" applyAlignment="1">
      <alignment horizontal="left" vertical="top" wrapText="1"/>
    </xf>
    <xf numFmtId="0" fontId="28" fillId="9" borderId="5" xfId="0" applyFont="1" applyFill="1" applyBorder="1" applyAlignment="1">
      <alignment horizontal="center" vertical="center"/>
    </xf>
    <xf numFmtId="0" fontId="28" fillId="9" borderId="0" xfId="0" applyFont="1" applyFill="1" applyAlignment="1">
      <alignment horizontal="center" vertical="center"/>
    </xf>
    <xf numFmtId="0" fontId="28" fillId="9" borderId="14" xfId="0" applyFont="1" applyFill="1" applyBorder="1" applyAlignment="1">
      <alignment horizontal="center" vertical="center"/>
    </xf>
    <xf numFmtId="165" fontId="29" fillId="5" borderId="46" xfId="0" applyNumberFormat="1" applyFont="1" applyFill="1" applyBorder="1" applyAlignment="1">
      <alignment horizontal="center" vertical="center"/>
    </xf>
    <xf numFmtId="184" fontId="27" fillId="5" borderId="46" xfId="0" applyNumberFormat="1" applyFont="1" applyFill="1" applyBorder="1" applyAlignment="1">
      <alignment horizontal="center" vertical="center"/>
    </xf>
    <xf numFmtId="165" fontId="113" fillId="0" borderId="30" xfId="0" applyNumberFormat="1" applyFont="1" applyBorder="1" applyAlignment="1">
      <alignment horizontal="center" vertical="center"/>
    </xf>
    <xf numFmtId="165" fontId="113" fillId="0" borderId="47" xfId="0" applyNumberFormat="1" applyFont="1" applyBorder="1" applyAlignment="1">
      <alignment horizontal="center" vertical="center"/>
    </xf>
    <xf numFmtId="165" fontId="113" fillId="0" borderId="34" xfId="0" applyNumberFormat="1" applyFont="1" applyBorder="1" applyAlignment="1">
      <alignment horizontal="center" vertical="center"/>
    </xf>
    <xf numFmtId="0" fontId="28" fillId="9" borderId="15" xfId="0" applyFont="1" applyFill="1" applyBorder="1" applyAlignment="1">
      <alignment horizontal="center" vertical="center"/>
    </xf>
    <xf numFmtId="0" fontId="28" fillId="9" borderId="13" xfId="0" applyFont="1" applyFill="1" applyBorder="1" applyAlignment="1">
      <alignment horizontal="center" vertical="center"/>
    </xf>
    <xf numFmtId="0" fontId="28" fillId="9" borderId="17" xfId="0" applyFont="1" applyFill="1" applyBorder="1" applyAlignment="1">
      <alignment horizontal="center" vertical="center"/>
    </xf>
    <xf numFmtId="193" fontId="166" fillId="0" borderId="3" xfId="0" applyNumberFormat="1" applyFont="1" applyBorder="1" applyAlignment="1">
      <alignment horizontal="center" vertical="center"/>
    </xf>
    <xf numFmtId="188" fontId="122" fillId="0" borderId="3" xfId="0" applyNumberFormat="1" applyFont="1" applyBorder="1" applyAlignment="1">
      <alignment horizontal="center" vertical="center"/>
    </xf>
    <xf numFmtId="165" fontId="115" fillId="5" borderId="46" xfId="0" applyNumberFormat="1" applyFont="1" applyFill="1" applyBorder="1" applyAlignment="1">
      <alignment horizontal="center" vertical="center"/>
    </xf>
    <xf numFmtId="185" fontId="47" fillId="5" borderId="2" xfId="0" applyNumberFormat="1" applyFont="1" applyFill="1" applyBorder="1" applyAlignment="1">
      <alignment horizontal="center" vertical="center"/>
    </xf>
    <xf numFmtId="185" fontId="47" fillId="5" borderId="3" xfId="0" applyNumberFormat="1" applyFont="1" applyFill="1" applyBorder="1" applyAlignment="1">
      <alignment horizontal="center" vertical="center"/>
    </xf>
    <xf numFmtId="186" fontId="48" fillId="5" borderId="2" xfId="0" applyNumberFormat="1" applyFont="1" applyFill="1" applyBorder="1" applyAlignment="1">
      <alignment horizontal="center" vertical="center" wrapText="1"/>
    </xf>
    <xf numFmtId="186" fontId="48" fillId="5" borderId="3" xfId="0" applyNumberFormat="1" applyFont="1" applyFill="1" applyBorder="1" applyAlignment="1">
      <alignment horizontal="center" vertical="center" wrapText="1"/>
    </xf>
    <xf numFmtId="186" fontId="48" fillId="5" borderId="4" xfId="0" applyNumberFormat="1" applyFont="1" applyFill="1" applyBorder="1" applyAlignment="1">
      <alignment horizontal="center" vertical="center" wrapText="1"/>
    </xf>
    <xf numFmtId="0" fontId="172" fillId="0" borderId="0" xfId="0" applyFont="1" applyAlignment="1">
      <alignment horizontal="left" vertical="center" wrapText="1"/>
    </xf>
    <xf numFmtId="165" fontId="115" fillId="5" borderId="0" xfId="0" applyNumberFormat="1" applyFont="1" applyFill="1" applyAlignment="1">
      <alignment horizontal="center" vertical="center"/>
    </xf>
    <xf numFmtId="0" fontId="34" fillId="24" borderId="0" xfId="0" applyFont="1" applyFill="1"/>
    <xf numFmtId="165" fontId="113" fillId="5" borderId="86" xfId="0" applyNumberFormat="1" applyFont="1" applyFill="1" applyBorder="1" applyAlignment="1">
      <alignment horizontal="center" vertical="center"/>
    </xf>
    <xf numFmtId="165" fontId="113" fillId="5" borderId="44" xfId="0" applyNumberFormat="1" applyFont="1" applyFill="1" applyBorder="1" applyAlignment="1">
      <alignment horizontal="center" vertical="center"/>
    </xf>
    <xf numFmtId="165" fontId="119" fillId="5" borderId="8" xfId="0" applyNumberFormat="1" applyFont="1" applyFill="1" applyBorder="1" applyAlignment="1">
      <alignment horizontal="center" vertical="center"/>
    </xf>
    <xf numFmtId="165" fontId="115" fillId="14" borderId="46" xfId="0" applyNumberFormat="1" applyFont="1" applyFill="1" applyBorder="1" applyAlignment="1">
      <alignment horizontal="center" vertical="center"/>
    </xf>
    <xf numFmtId="0" fontId="39" fillId="9" borderId="15" xfId="0" applyFont="1" applyFill="1" applyBorder="1" applyAlignment="1">
      <alignment horizontal="left" vertical="center"/>
    </xf>
    <xf numFmtId="0" fontId="39" fillId="9" borderId="13" xfId="0" applyFont="1" applyFill="1" applyBorder="1" applyAlignment="1">
      <alignment horizontal="left" vertical="center"/>
    </xf>
    <xf numFmtId="0" fontId="39" fillId="9" borderId="17" xfId="0" applyFont="1" applyFill="1" applyBorder="1" applyAlignment="1">
      <alignment horizontal="left" vertical="center"/>
    </xf>
    <xf numFmtId="165" fontId="122" fillId="0" borderId="3" xfId="0" applyNumberFormat="1" applyFont="1" applyBorder="1" applyAlignment="1">
      <alignment horizontal="center" vertical="center"/>
    </xf>
    <xf numFmtId="0" fontId="16" fillId="11" borderId="0" xfId="0" applyFont="1" applyFill="1" applyAlignment="1">
      <alignment horizontal="left" vertical="center"/>
    </xf>
    <xf numFmtId="0" fontId="22" fillId="11" borderId="0" xfId="0" applyFont="1" applyFill="1" applyAlignment="1" applyProtection="1">
      <alignment horizontal="left" vertical="center" wrapText="1"/>
      <protection locked="0"/>
    </xf>
    <xf numFmtId="0" fontId="20" fillId="0" borderId="0" xfId="0" applyFont="1" applyAlignment="1">
      <alignment horizontal="center" vertical="center" wrapText="1"/>
    </xf>
    <xf numFmtId="14" fontId="13" fillId="0" borderId="0" xfId="0" applyNumberFormat="1" applyFont="1" applyAlignment="1" applyProtection="1">
      <alignment horizontal="center" vertical="center" wrapText="1"/>
      <protection locked="0"/>
    </xf>
    <xf numFmtId="0" fontId="183" fillId="5" borderId="92" xfId="0" applyFont="1" applyFill="1" applyBorder="1" applyAlignment="1">
      <alignment horizontal="left" vertical="top"/>
    </xf>
    <xf numFmtId="0" fontId="183" fillId="5" borderId="16" xfId="0" applyFont="1" applyFill="1" applyBorder="1" applyAlignment="1">
      <alignment horizontal="left" vertical="top"/>
    </xf>
    <xf numFmtId="0" fontId="161" fillId="0" borderId="0" xfId="0" applyFont="1" applyAlignment="1">
      <alignment wrapText="1"/>
    </xf>
    <xf numFmtId="0" fontId="157" fillId="0" borderId="0" xfId="4" applyFont="1" applyAlignment="1">
      <alignment horizontal="left" vertical="center"/>
    </xf>
    <xf numFmtId="0" fontId="189" fillId="19" borderId="48" xfId="0" applyFont="1" applyFill="1" applyBorder="1" applyAlignment="1">
      <alignment horizontal="left" vertical="top" wrapText="1"/>
    </xf>
    <xf numFmtId="0" fontId="189" fillId="19" borderId="49" xfId="0" applyFont="1" applyFill="1" applyBorder="1" applyAlignment="1">
      <alignment horizontal="left" vertical="top" wrapText="1"/>
    </xf>
    <xf numFmtId="0" fontId="189" fillId="19" borderId="90" xfId="0" applyFont="1" applyFill="1" applyBorder="1" applyAlignment="1">
      <alignment horizontal="left" vertical="top" wrapText="1"/>
    </xf>
    <xf numFmtId="0" fontId="183" fillId="5" borderId="91" xfId="0" applyFont="1" applyFill="1" applyBorder="1" applyAlignment="1">
      <alignment horizontal="left" vertical="top"/>
    </xf>
    <xf numFmtId="0" fontId="183" fillId="5" borderId="4" xfId="0" applyFont="1" applyFill="1" applyBorder="1" applyAlignment="1">
      <alignment horizontal="left" vertical="top"/>
    </xf>
    <xf numFmtId="0" fontId="83" fillId="0" borderId="1" xfId="0" applyFont="1" applyBorder="1" applyAlignment="1">
      <alignment vertical="top"/>
    </xf>
    <xf numFmtId="0" fontId="12" fillId="0" borderId="8" xfId="0" applyFont="1" applyBorder="1" applyAlignment="1">
      <alignment horizontal="left" vertical="top" wrapText="1"/>
    </xf>
    <xf numFmtId="0" fontId="12" fillId="0" borderId="8" xfId="0" applyFont="1" applyBorder="1" applyAlignment="1">
      <alignment horizontal="left" vertical="top"/>
    </xf>
    <xf numFmtId="0" fontId="12" fillId="0" borderId="98" xfId="0" applyFont="1" applyBorder="1" applyAlignment="1">
      <alignment vertical="top"/>
    </xf>
    <xf numFmtId="0" fontId="12" fillId="0" borderId="6" xfId="0" applyFont="1" applyBorder="1" applyAlignment="1">
      <alignment vertical="top"/>
    </xf>
    <xf numFmtId="0" fontId="0" fillId="0" borderId="9"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14" borderId="9" xfId="0" applyFill="1" applyBorder="1" applyAlignment="1">
      <alignment horizontal="left" vertical="center" wrapText="1"/>
    </xf>
    <xf numFmtId="0" fontId="0" fillId="14" borderId="6" xfId="0" applyFill="1" applyBorder="1" applyAlignment="1">
      <alignment horizontal="left" vertical="center" wrapText="1"/>
    </xf>
    <xf numFmtId="0" fontId="0" fillId="14" borderId="7" xfId="0" applyFill="1" applyBorder="1" applyAlignment="1">
      <alignment horizontal="left" vertical="center" wrapText="1"/>
    </xf>
    <xf numFmtId="0" fontId="108" fillId="0" borderId="0" xfId="0" applyFont="1" applyAlignment="1">
      <alignment horizontal="left" wrapText="1"/>
    </xf>
  </cellXfs>
  <cellStyles count="26">
    <cellStyle name="Comma" xfId="5" builtinId="3"/>
    <cellStyle name="Comma 2" xfId="23" xr:uid="{00000000-0005-0000-0000-000001000000}"/>
    <cellStyle name="Comma 2 10 2" xfId="13" xr:uid="{00000000-0005-0000-0000-000002000000}"/>
    <cellStyle name="Comma 3" xfId="20" xr:uid="{00000000-0005-0000-0000-000003000000}"/>
    <cellStyle name="Currency" xfId="14" builtinId="4"/>
    <cellStyle name="Currency 2" xfId="18" xr:uid="{00000000-0005-0000-0000-000005000000}"/>
    <cellStyle name="Currency 8" xfId="11" xr:uid="{00000000-0005-0000-0000-000006000000}"/>
    <cellStyle name="Hyperlink" xfId="4" builtinId="8"/>
    <cellStyle name="Hyperlink 2" xfId="16" xr:uid="{00000000-0005-0000-0000-000008000000}"/>
    <cellStyle name="Neutral 2" xfId="9" xr:uid="{00000000-0005-0000-0000-000009000000}"/>
    <cellStyle name="Normal" xfId="0" builtinId="0"/>
    <cellStyle name="Normal 10 2" xfId="7" xr:uid="{00000000-0005-0000-0000-00000B000000}"/>
    <cellStyle name="Normal 18" xfId="10" xr:uid="{00000000-0005-0000-0000-00000C000000}"/>
    <cellStyle name="Normal 18 2" xfId="25" xr:uid="{00000000-0005-0000-0000-00000D000000}"/>
    <cellStyle name="Normal 2" xfId="3" xr:uid="{00000000-0005-0000-0000-00000E000000}"/>
    <cellStyle name="Normal 2 10 2" xfId="6" xr:uid="{00000000-0005-0000-0000-00000F000000}"/>
    <cellStyle name="Normal 2 2" xfId="2" xr:uid="{00000000-0005-0000-0000-000010000000}"/>
    <cellStyle name="Normal 2 2 2 2" xfId="8" xr:uid="{00000000-0005-0000-0000-000011000000}"/>
    <cellStyle name="Normal 2 3" xfId="19" xr:uid="{00000000-0005-0000-0000-000012000000}"/>
    <cellStyle name="Normal 3" xfId="15" xr:uid="{00000000-0005-0000-0000-000013000000}"/>
    <cellStyle name="Normal 3 2" xfId="21" xr:uid="{00000000-0005-0000-0000-000014000000}"/>
    <cellStyle name="Normal 4" xfId="22" xr:uid="{00000000-0005-0000-0000-000015000000}"/>
    <cellStyle name="Normal 5" xfId="24" xr:uid="{00000000-0005-0000-0000-000016000000}"/>
    <cellStyle name="Percent" xfId="1" builtinId="5"/>
    <cellStyle name="Percent 2" xfId="17" xr:uid="{00000000-0005-0000-0000-000018000000}"/>
    <cellStyle name="Percent 7" xfId="12" xr:uid="{00000000-0005-0000-0000-000019000000}"/>
  </cellStyles>
  <dxfs count="136">
    <dxf>
      <font>
        <color rgb="FF9C0006"/>
      </font>
      <fill>
        <patternFill>
          <bgColor rgb="FFFFC7CE"/>
        </patternFill>
      </fill>
    </dxf>
    <dxf>
      <font>
        <color rgb="FF9C0006"/>
      </font>
      <fill>
        <patternFill>
          <bgColor rgb="FFFFC7CE"/>
        </patternFill>
      </fill>
    </dxf>
    <dxf>
      <font>
        <color theme="0" tint="-0.14996795556505021"/>
      </font>
      <fill>
        <patternFill patternType="none">
          <bgColor auto="1"/>
        </patternFill>
      </fill>
    </dxf>
    <dxf>
      <font>
        <color theme="0" tint="-0.14996795556505021"/>
      </font>
      <fill>
        <patternFill patternType="none">
          <bgColor auto="1"/>
        </patternFill>
      </fill>
    </dxf>
    <dxf>
      <fill>
        <patternFill patternType="solid">
          <bgColor rgb="FFFFFF00"/>
        </patternFill>
      </fill>
    </dxf>
    <dxf>
      <font>
        <b/>
        <i val="0"/>
        <color rgb="FF9C0006"/>
      </font>
    </dxf>
    <dxf>
      <fill>
        <patternFill patternType="solid">
          <bgColor rgb="FFFFFF00"/>
        </patternFill>
      </fill>
    </dxf>
    <dxf>
      <font>
        <b/>
        <i val="0"/>
        <color rgb="FF9C0006"/>
      </font>
    </dxf>
    <dxf>
      <fill>
        <patternFill patternType="solid">
          <bgColor rgb="FFFFFF00"/>
        </patternFill>
      </fill>
    </dxf>
    <dxf>
      <font>
        <b/>
        <i val="0"/>
        <color rgb="FF9C0006"/>
      </font>
    </dxf>
    <dxf>
      <fill>
        <patternFill patternType="solid">
          <bgColor rgb="FFFFFF00"/>
        </patternFill>
      </fill>
    </dxf>
    <dxf>
      <font>
        <b/>
        <i val="0"/>
        <color rgb="FF9C0006"/>
      </font>
    </dxf>
    <dxf>
      <font>
        <color rgb="FF9C0006"/>
      </font>
      <fill>
        <patternFill patternType="solid">
          <bgColor rgb="FFFFFF00"/>
        </patternFill>
      </fill>
    </dxf>
    <dxf>
      <font>
        <b/>
        <i val="0"/>
        <color rgb="FFC0000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color rgb="FF9C0006"/>
      </font>
      <fill>
        <patternFill>
          <bgColor rgb="FFFFC7CE"/>
        </patternFill>
      </fill>
    </dxf>
    <dxf>
      <font>
        <b/>
        <i val="0"/>
        <color rgb="FFFF0000"/>
      </font>
      <fill>
        <patternFill patternType="none">
          <bgColor auto="1"/>
        </patternFill>
      </fill>
    </dxf>
    <dxf>
      <font>
        <b/>
        <i val="0"/>
        <color rgb="FF9C0006"/>
      </font>
    </dxf>
    <dxf>
      <fill>
        <patternFill patternType="solid">
          <bgColor rgb="FFFFFF00"/>
        </patternFill>
      </fill>
    </dxf>
    <dxf>
      <font>
        <b/>
        <i val="0"/>
        <color rgb="FFFF0000"/>
      </font>
      <fill>
        <patternFill patternType="none">
          <bgColor auto="1"/>
        </patternFill>
      </fill>
    </dxf>
    <dxf>
      <font>
        <b/>
        <i val="0"/>
        <color rgb="FF9C0006"/>
      </font>
    </dxf>
    <dxf>
      <font>
        <b/>
        <i val="0"/>
        <color rgb="FFFF0000"/>
      </font>
      <fill>
        <patternFill patternType="none">
          <bgColor auto="1"/>
        </patternFill>
      </fill>
    </dxf>
    <dxf>
      <font>
        <b/>
        <i val="0"/>
        <color rgb="FF9C0006"/>
      </font>
    </dxf>
    <dxf>
      <font>
        <b/>
        <i val="0"/>
        <color rgb="FFFF0000"/>
      </font>
      <fill>
        <patternFill patternType="none">
          <bgColor auto="1"/>
        </patternFill>
      </fill>
    </dxf>
    <dxf>
      <font>
        <b/>
        <i val="0"/>
        <color rgb="FF9C0006"/>
      </font>
    </dxf>
    <dxf>
      <font>
        <color rgb="FF9C0006"/>
      </font>
      <fill>
        <patternFill>
          <bgColor rgb="FFFFC7CE"/>
        </patternFill>
      </fill>
    </dxf>
    <dxf>
      <font>
        <b/>
        <i val="0"/>
        <color rgb="FFFF0000"/>
      </font>
    </dxf>
    <dxf>
      <font>
        <color rgb="FF9C0006"/>
      </font>
    </dxf>
    <dxf>
      <font>
        <b/>
        <i val="0"/>
        <color rgb="FFFF0000"/>
      </font>
      <fill>
        <patternFill>
          <bgColor theme="9" tint="0.79998168889431442"/>
        </patternFill>
      </fill>
    </dxf>
    <dxf>
      <font>
        <color rgb="FFFF0000"/>
      </font>
      <fill>
        <patternFill>
          <bgColor rgb="FFFFD3D3"/>
        </patternFill>
      </fill>
    </dxf>
    <dxf>
      <font>
        <b/>
        <i val="0"/>
        <color rgb="FFFF0000"/>
      </font>
    </dxf>
    <dxf>
      <font>
        <color rgb="FFFF0000"/>
      </font>
      <fill>
        <patternFill>
          <bgColor rgb="FFFFD3D3"/>
        </patternFill>
      </fill>
    </dxf>
    <dxf>
      <font>
        <b/>
        <i val="0"/>
        <color rgb="FFFF0000"/>
      </font>
    </dxf>
    <dxf>
      <font>
        <b/>
        <i val="0"/>
        <color rgb="FFFF0000"/>
      </font>
    </dxf>
    <dxf>
      <font>
        <b/>
        <i val="0"/>
        <color rgb="FFFF0000"/>
      </font>
    </dxf>
    <dxf>
      <font>
        <color rgb="FF9C0006"/>
      </font>
      <fill>
        <patternFill>
          <bgColor rgb="FFFFC7CE"/>
        </patternFill>
      </fill>
    </dxf>
    <dxf>
      <font>
        <color rgb="FF9C0006"/>
      </font>
      <fill>
        <patternFill patternType="solid">
          <bgColor rgb="FFFFFF00"/>
        </patternFill>
      </fill>
    </dxf>
    <dxf>
      <font>
        <b val="0"/>
        <i val="0"/>
        <strike val="0"/>
      </font>
      <numFmt numFmtId="0" formatCode="General"/>
      <fill>
        <patternFill>
          <fgColor rgb="FFFF572F"/>
          <bgColor rgb="FFFF00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ont>
        <b/>
        <i val="0"/>
        <color rgb="FFFF0000"/>
      </font>
    </dxf>
    <dxf>
      <font>
        <b/>
        <i val="0"/>
        <color rgb="FF9C0006"/>
      </font>
    </dxf>
    <dxf>
      <font>
        <b/>
        <i val="0"/>
        <color rgb="FF9C0006"/>
      </font>
    </dxf>
    <dxf>
      <fill>
        <patternFill patternType="solid">
          <bgColor rgb="FFFFFF00"/>
        </patternFill>
      </fill>
    </dxf>
    <dxf>
      <font>
        <b/>
        <i val="0"/>
        <color rgb="FF9C0006"/>
      </font>
    </dxf>
    <dxf>
      <fill>
        <patternFill patternType="solid">
          <bgColor rgb="FFFFFF00"/>
        </patternFill>
      </fill>
    </dxf>
    <dxf>
      <fill>
        <patternFill patternType="solid">
          <bgColor rgb="FFFFFF00"/>
        </patternFill>
      </fill>
    </dxf>
    <dxf>
      <font>
        <b/>
        <i val="0"/>
        <color rgb="FF9C0006"/>
      </font>
    </dxf>
    <dxf>
      <fill>
        <patternFill patternType="solid">
          <bgColor rgb="FFFFFF00"/>
        </patternFill>
      </fill>
    </dxf>
    <dxf>
      <font>
        <b/>
        <i val="0"/>
        <color rgb="FF9C0006"/>
      </font>
    </dxf>
    <dxf>
      <font>
        <color rgb="FF9C0006"/>
      </font>
      <fill>
        <patternFill patternType="solid">
          <bgColor rgb="FFFFFF00"/>
        </patternFill>
      </fill>
    </dxf>
    <dxf>
      <font>
        <b/>
        <i val="0"/>
        <color rgb="FFC0000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color rgb="FF9C0006"/>
      </font>
      <fill>
        <patternFill>
          <bgColor rgb="FFFFC7CE"/>
        </patternFill>
      </fill>
    </dxf>
    <dxf>
      <font>
        <b/>
        <i val="0"/>
        <color rgb="FFFF0000"/>
      </font>
      <fill>
        <patternFill patternType="none">
          <bgColor auto="1"/>
        </patternFill>
      </fill>
    </dxf>
    <dxf>
      <font>
        <b/>
        <i val="0"/>
        <color rgb="FF9C0006"/>
      </font>
    </dxf>
    <dxf>
      <fill>
        <patternFill patternType="solid">
          <bgColor rgb="FFFFFF00"/>
        </patternFill>
      </fill>
    </dxf>
    <dxf>
      <font>
        <b/>
        <i val="0"/>
        <color rgb="FF9C0006"/>
      </font>
    </dxf>
    <dxf>
      <font>
        <b/>
        <i val="0"/>
        <color rgb="FFFF0000"/>
      </font>
      <fill>
        <patternFill patternType="none">
          <bgColor auto="1"/>
        </patternFill>
      </fill>
    </dxf>
    <dxf>
      <font>
        <b/>
        <i val="0"/>
        <color rgb="FF9C0006"/>
      </font>
    </dxf>
    <dxf>
      <font>
        <b/>
        <i val="0"/>
        <color rgb="FFFF0000"/>
      </font>
      <fill>
        <patternFill patternType="none">
          <bgColor auto="1"/>
        </patternFill>
      </fill>
    </dxf>
    <dxf>
      <font>
        <b/>
        <i val="0"/>
        <color rgb="FF9C0006"/>
      </font>
    </dxf>
    <dxf>
      <font>
        <b/>
        <i val="0"/>
        <color rgb="FFFF0000"/>
      </font>
      <fill>
        <patternFill patternType="none">
          <bgColor auto="1"/>
        </patternFill>
      </fill>
    </dxf>
    <dxf>
      <font>
        <color rgb="FF9C0006"/>
      </font>
      <fill>
        <patternFill>
          <bgColor rgb="FFFFC7CE"/>
        </patternFill>
      </fill>
    </dxf>
    <dxf>
      <font>
        <b/>
        <i val="0"/>
        <color rgb="FFFF0000"/>
      </font>
    </dxf>
    <dxf>
      <font>
        <color rgb="FF9C0006"/>
      </font>
    </dxf>
    <dxf>
      <font>
        <b/>
        <i val="0"/>
        <color rgb="FFFF0000"/>
      </font>
      <fill>
        <patternFill>
          <bgColor theme="9" tint="0.79998168889431442"/>
        </patternFill>
      </fill>
    </dxf>
    <dxf>
      <font>
        <color rgb="FFFF0000"/>
      </font>
      <fill>
        <patternFill>
          <bgColor rgb="FFFFD3D3"/>
        </patternFill>
      </fill>
    </dxf>
    <dxf>
      <font>
        <b/>
        <i val="0"/>
        <color rgb="FFFF0000"/>
      </font>
    </dxf>
    <dxf>
      <font>
        <color rgb="FFFF0000"/>
      </font>
      <fill>
        <patternFill>
          <bgColor rgb="FFFFD3D3"/>
        </patternFill>
      </fill>
    </dxf>
    <dxf>
      <font>
        <b/>
        <i val="0"/>
        <color rgb="FFFF0000"/>
      </font>
    </dxf>
    <dxf>
      <font>
        <b/>
        <i val="0"/>
        <color rgb="FF9C0006"/>
      </font>
    </dxf>
    <dxf>
      <font>
        <b/>
        <i val="0"/>
        <color rgb="FFFF0000"/>
      </font>
    </dxf>
    <dxf>
      <font>
        <b/>
        <i val="0"/>
        <color rgb="FFC00000"/>
      </font>
      <fill>
        <patternFill patternType="none">
          <bgColor auto="1"/>
        </patternFill>
      </fill>
    </dxf>
    <dxf>
      <font>
        <b/>
        <i val="0"/>
        <color rgb="FFFF0000"/>
      </font>
      <fill>
        <patternFill patternType="none">
          <bgColor auto="1"/>
        </patternFill>
      </fill>
    </dxf>
    <dxf>
      <font>
        <b/>
        <i val="0"/>
        <color rgb="FFC00000"/>
      </font>
      <fill>
        <patternFill patternType="none">
          <bgColor auto="1"/>
        </patternFill>
      </fill>
    </dxf>
    <dxf>
      <font>
        <b/>
        <i val="0"/>
        <color rgb="FFFF0000"/>
      </font>
    </dxf>
    <dxf>
      <font>
        <color rgb="FF9C0006"/>
      </font>
      <fill>
        <patternFill>
          <bgColor rgb="FFFFC7CE"/>
        </patternFill>
      </fill>
    </dxf>
    <dxf>
      <font>
        <color theme="0" tint="-0.14996795556505021"/>
      </font>
      <fill>
        <patternFill patternType="none">
          <bgColor auto="1"/>
        </patternFill>
      </fill>
    </dxf>
    <dxf>
      <font>
        <color theme="0" tint="-0.14996795556505021"/>
      </font>
      <fill>
        <patternFill patternType="none">
          <bgColor auto="1"/>
        </patternFill>
      </fill>
    </dxf>
    <dxf>
      <font>
        <b/>
        <i val="0"/>
        <color rgb="FFFF0000"/>
      </font>
    </dxf>
    <dxf>
      <font>
        <b/>
        <i val="0"/>
        <color rgb="FF9C0006"/>
      </font>
    </dxf>
    <dxf>
      <font>
        <color theme="0" tint="-0.14996795556505021"/>
      </font>
      <fill>
        <patternFill patternType="none">
          <bgColor auto="1"/>
        </patternFill>
      </fill>
    </dxf>
    <dxf>
      <font>
        <b/>
        <i val="0"/>
        <color rgb="FF9C0006"/>
      </font>
    </dxf>
    <dxf>
      <font>
        <b/>
        <i val="0"/>
        <color rgb="FFFF0000"/>
      </font>
    </dxf>
    <dxf>
      <font>
        <b/>
        <i val="0"/>
        <color rgb="FFFF0000"/>
      </font>
    </dxf>
    <dxf>
      <font>
        <b/>
        <i val="0"/>
        <color rgb="FF9C0006"/>
      </font>
    </dxf>
    <dxf>
      <font>
        <b/>
        <i val="0"/>
        <color rgb="FFFF0000"/>
      </font>
      <fill>
        <patternFill patternType="none">
          <bgColor auto="1"/>
        </patternFill>
      </fill>
    </dxf>
    <dxf>
      <font>
        <color theme="0" tint="-0.14996795556505021"/>
      </font>
      <fill>
        <patternFill patternType="none">
          <bgColor auto="1"/>
        </patternFill>
      </fill>
    </dxf>
    <dxf>
      <font>
        <b/>
        <i val="0"/>
        <color rgb="FFFF0000"/>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b/>
        <i val="0"/>
        <color rgb="FFFF0000"/>
      </font>
    </dxf>
    <dxf>
      <font>
        <color theme="0" tint="-0.14996795556505021"/>
      </font>
      <fill>
        <patternFill patternType="none">
          <bgColor auto="1"/>
        </patternFill>
      </fill>
    </dxf>
    <dxf>
      <font>
        <color theme="0" tint="-0.14996795556505021"/>
      </font>
      <fill>
        <patternFill patternType="none">
          <bgColor auto="1"/>
        </patternFill>
      </fill>
    </dxf>
    <dxf>
      <font>
        <b/>
        <i val="0"/>
        <color rgb="FFFF0000"/>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color theme="0" tint="-0.14996795556505021"/>
      </font>
      <fill>
        <patternFill patternType="none">
          <bgColor auto="1"/>
        </patternFill>
      </fill>
    </dxf>
    <dxf>
      <font>
        <b/>
        <i val="0"/>
        <color rgb="FFFF0000"/>
      </font>
      <fill>
        <patternFill patternType="none">
          <bgColor auto="1"/>
        </patternFill>
      </fill>
    </dxf>
    <dxf>
      <font>
        <color theme="0" tint="-0.14996795556505021"/>
      </font>
      <fill>
        <patternFill patternType="none">
          <bgColor auto="1"/>
        </patternFill>
      </fill>
    </dxf>
    <dxf>
      <font>
        <b/>
        <i val="0"/>
        <color rgb="FF9C0006"/>
      </font>
    </dxf>
    <dxf>
      <font>
        <b/>
        <i val="0"/>
        <color rgb="FFFF0000"/>
      </font>
    </dxf>
    <dxf>
      <font>
        <color theme="0" tint="-0.14996795556505021"/>
      </font>
      <fill>
        <patternFill patternType="none">
          <bgColor auto="1"/>
        </patternFill>
      </fill>
    </dxf>
    <dxf>
      <font>
        <color theme="0" tint="-0.14996795556505021"/>
      </font>
      <fill>
        <patternFill patternType="none">
          <bgColor auto="1"/>
        </patternFill>
      </fill>
    </dxf>
    <dxf>
      <font>
        <b/>
        <i val="0"/>
        <color rgb="FFFF0000"/>
      </font>
    </dxf>
    <dxf>
      <font>
        <b/>
        <i val="0"/>
        <color rgb="FF9C0006"/>
      </font>
    </dxf>
    <dxf>
      <font>
        <b/>
        <i val="0"/>
        <color rgb="FFFF0000"/>
      </font>
    </dxf>
    <dxf>
      <font>
        <b/>
        <i val="0"/>
        <color rgb="FF9C0006"/>
      </font>
    </dxf>
    <dxf>
      <font>
        <color theme="0" tint="-0.14996795556505021"/>
      </font>
      <fill>
        <patternFill patternType="none">
          <bgColor auto="1"/>
        </patternFill>
      </fill>
    </dxf>
    <dxf>
      <font>
        <b/>
        <i val="0"/>
        <color rgb="FFFF0000"/>
      </font>
    </dxf>
    <dxf>
      <font>
        <b/>
        <i val="0"/>
        <color rgb="FF9C0006"/>
      </font>
    </dxf>
    <dxf>
      <font>
        <color theme="0" tint="-0.14996795556505021"/>
      </font>
      <fill>
        <patternFill patternType="none">
          <bgColor auto="1"/>
        </patternFill>
      </fill>
    </dxf>
    <dxf>
      <font>
        <b/>
        <i val="0"/>
        <color rgb="FFFF0000"/>
      </font>
      <fill>
        <patternFill patternType="solid">
          <bgColor theme="0"/>
        </patternFill>
      </fill>
    </dxf>
    <dxf>
      <font>
        <color rgb="FFC00000"/>
      </font>
    </dxf>
    <dxf>
      <font>
        <color theme="0" tint="-0.14996795556505021"/>
      </font>
      <fill>
        <patternFill patternType="none">
          <bgColor auto="1"/>
        </patternFill>
      </fill>
    </dxf>
    <dxf>
      <font>
        <b val="0"/>
        <i val="0"/>
        <color theme="0" tint="-0.24994659260841701"/>
      </font>
      <fill>
        <patternFill patternType="none">
          <bgColor auto="1"/>
        </patternFill>
      </fill>
    </dxf>
    <dxf>
      <font>
        <color theme="0" tint="-4.9989318521683403E-2"/>
      </font>
      <fill>
        <patternFill patternType="none">
          <bgColor auto="1"/>
        </patternFill>
      </fill>
    </dxf>
    <dxf>
      <font>
        <b/>
        <i/>
        <color rgb="FFFF0000"/>
      </font>
      <fill>
        <patternFill patternType="solid">
          <bgColor theme="0"/>
        </patternFill>
      </fill>
    </dxf>
    <dxf>
      <font>
        <b val="0"/>
        <i val="0"/>
        <color theme="0" tint="-4.9989318521683403E-2"/>
      </font>
      <fill>
        <patternFill patternType="none">
          <bgColor auto="1"/>
        </patternFill>
      </fill>
    </dxf>
    <dxf>
      <font>
        <color theme="0" tint="-4.9989318521683403E-2"/>
      </font>
      <fill>
        <patternFill patternType="none">
          <bgColor auto="1"/>
        </patternFill>
      </fill>
    </dxf>
    <dxf>
      <font>
        <color theme="0" tint="-0.14996795556505021"/>
      </font>
      <fill>
        <patternFill patternType="none">
          <bgColor auto="1"/>
        </patternFill>
      </fill>
    </dxf>
    <dxf>
      <font>
        <color theme="0" tint="-0.14996795556505021"/>
      </font>
    </dxf>
    <dxf>
      <font>
        <color theme="0" tint="-0.14996795556505021"/>
      </font>
    </dxf>
    <dxf>
      <font>
        <color theme="0" tint="-0.14996795556505021"/>
      </font>
    </dxf>
    <dxf>
      <font>
        <color theme="0" tint="-0.14996795556505021"/>
      </font>
      <fill>
        <patternFill patternType="none">
          <bgColor auto="1"/>
        </patternFill>
      </fill>
    </dxf>
    <dxf>
      <font>
        <color rgb="FF9C0006"/>
      </font>
      <fill>
        <patternFill>
          <bgColor rgb="FFFFC7CE"/>
        </patternFill>
      </fill>
    </dxf>
    <dxf>
      <font>
        <color rgb="FF9C0006"/>
      </font>
      <fill>
        <patternFill>
          <bgColor rgb="FFFFC7CE"/>
        </patternFill>
      </fill>
    </dxf>
    <dxf>
      <font>
        <b/>
        <i val="0"/>
        <color rgb="FF9C0006"/>
      </font>
    </dxf>
    <dxf>
      <font>
        <b/>
        <i val="0"/>
        <color rgb="FFFF0000"/>
      </font>
    </dxf>
    <dxf>
      <font>
        <color theme="0" tint="-0.14996795556505021"/>
      </font>
    </dxf>
    <dxf>
      <font>
        <color theme="0" tint="-4.9989318521683403E-2"/>
      </font>
      <fill>
        <patternFill patternType="none">
          <bgColor auto="1"/>
        </patternFill>
      </fill>
    </dxf>
  </dxfs>
  <tableStyles count="0" defaultTableStyle="TableStyleMedium2" defaultPivotStyle="PivotStyleLight16"/>
  <colors>
    <mruColors>
      <color rgb="FF33CCFF"/>
      <color rgb="FFCFE5E9"/>
      <color rgb="FF0099CC"/>
      <color rgb="FFECECEC"/>
      <color rgb="FFF5F5F5"/>
      <color rgb="FFFECFC6"/>
      <color rgb="FFFEC4B8"/>
      <color rgb="FFFFD3D3"/>
      <color rgb="FFF4BAC8"/>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37270</xdr:colOff>
      <xdr:row>1</xdr:row>
      <xdr:rowOff>59635</xdr:rowOff>
    </xdr:from>
    <xdr:to>
      <xdr:col>1</xdr:col>
      <xdr:colOff>952499</xdr:colOff>
      <xdr:row>1</xdr:row>
      <xdr:rowOff>606395</xdr:rowOff>
    </xdr:to>
    <xdr:pic>
      <xdr:nvPicPr>
        <xdr:cNvPr id="2" name="Picture 2">
          <a:extLst>
            <a:ext uri="{FF2B5EF4-FFF2-40B4-BE49-F238E27FC236}">
              <a16:creationId xmlns:a16="http://schemas.microsoft.com/office/drawing/2014/main" id="{92824A9F-2712-4FBA-9767-C9EDA63EE59A}"/>
            </a:ext>
          </a:extLst>
        </xdr:cNvPr>
        <xdr:cNvPicPr>
          <a:picLocks noChangeAspect="1"/>
        </xdr:cNvPicPr>
      </xdr:nvPicPr>
      <xdr:blipFill>
        <a:blip xmlns:r="http://schemas.openxmlformats.org/officeDocument/2006/relationships" r:embed="rId1"/>
        <a:stretch>
          <a:fillRect/>
        </a:stretch>
      </xdr:blipFill>
      <xdr:spPr>
        <a:xfrm>
          <a:off x="1548847" y="241852"/>
          <a:ext cx="915229" cy="546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2</xdr:col>
      <xdr:colOff>1857375</xdr:colOff>
      <xdr:row>31</xdr:row>
      <xdr:rowOff>114300</xdr:rowOff>
    </xdr:to>
    <xdr:pic>
      <xdr:nvPicPr>
        <xdr:cNvPr id="2" name="Picture 1">
          <a:extLst>
            <a:ext uri="{FF2B5EF4-FFF2-40B4-BE49-F238E27FC236}">
              <a16:creationId xmlns:a16="http://schemas.microsoft.com/office/drawing/2014/main" id="{A2646B3C-10CD-EA20-0607-92EEA3D0E164}"/>
            </a:ext>
          </a:extLst>
        </xdr:cNvPr>
        <xdr:cNvPicPr>
          <a:picLocks noChangeAspect="1"/>
        </xdr:cNvPicPr>
      </xdr:nvPicPr>
      <xdr:blipFill>
        <a:blip xmlns:r="http://schemas.openxmlformats.org/officeDocument/2006/relationships" r:embed="rId1"/>
        <a:stretch>
          <a:fillRect/>
        </a:stretch>
      </xdr:blipFill>
      <xdr:spPr>
        <a:xfrm>
          <a:off x="1276350" y="2543175"/>
          <a:ext cx="4572000" cy="3038475"/>
        </a:xfrm>
        <a:prstGeom prst="rect">
          <a:avLst/>
        </a:prstGeom>
      </xdr:spPr>
    </xdr:pic>
    <xdr:clientData/>
  </xdr:twoCellAnchor>
  <xdr:twoCellAnchor editAs="oneCell">
    <xdr:from>
      <xdr:col>9</xdr:col>
      <xdr:colOff>552450</xdr:colOff>
      <xdr:row>11</xdr:row>
      <xdr:rowOff>38100</xdr:rowOff>
    </xdr:from>
    <xdr:to>
      <xdr:col>17</xdr:col>
      <xdr:colOff>9525</xdr:colOff>
      <xdr:row>27</xdr:row>
      <xdr:rowOff>19050</xdr:rowOff>
    </xdr:to>
    <xdr:pic>
      <xdr:nvPicPr>
        <xdr:cNvPr id="3" name="Picture 2">
          <a:extLst>
            <a:ext uri="{FF2B5EF4-FFF2-40B4-BE49-F238E27FC236}">
              <a16:creationId xmlns:a16="http://schemas.microsoft.com/office/drawing/2014/main" id="{C471771F-AC0B-E536-CADF-4B66F32269EA}"/>
            </a:ext>
            <a:ext uri="{147F2762-F138-4A5C-976F-8EAC2B608ADB}">
              <a16:predDERef xmlns:a16="http://schemas.microsoft.com/office/drawing/2014/main" pred="{A2646B3C-10CD-EA20-0607-92EEA3D0E164}"/>
            </a:ext>
          </a:extLst>
        </xdr:cNvPr>
        <xdr:cNvPicPr>
          <a:picLocks noChangeAspect="1"/>
        </xdr:cNvPicPr>
      </xdr:nvPicPr>
      <xdr:blipFill>
        <a:blip xmlns:r="http://schemas.openxmlformats.org/officeDocument/2006/relationships" r:embed="rId2"/>
        <a:stretch>
          <a:fillRect/>
        </a:stretch>
      </xdr:blipFill>
      <xdr:spPr>
        <a:xfrm>
          <a:off x="17202150" y="2828925"/>
          <a:ext cx="4572000" cy="2657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1581150</xdr:colOff>
      <xdr:row>23</xdr:row>
      <xdr:rowOff>0</xdr:rowOff>
    </xdr:from>
    <xdr:to>
      <xdr:col>6</xdr:col>
      <xdr:colOff>514350</xdr:colOff>
      <xdr:row>47</xdr:row>
      <xdr:rowOff>28575</xdr:rowOff>
    </xdr:to>
    <xdr:pic>
      <xdr:nvPicPr>
        <xdr:cNvPr id="2" name="Picture 1">
          <a:extLst>
            <a:ext uri="{FF2B5EF4-FFF2-40B4-BE49-F238E27FC236}">
              <a16:creationId xmlns:a16="http://schemas.microsoft.com/office/drawing/2014/main" id="{E0D587F7-7BDA-4DED-BB51-E98CBBD4FB68}"/>
            </a:ext>
          </a:extLst>
        </xdr:cNvPr>
        <xdr:cNvPicPr>
          <a:picLocks noChangeAspect="1"/>
        </xdr:cNvPicPr>
      </xdr:nvPicPr>
      <xdr:blipFill>
        <a:blip xmlns:r="http://schemas.openxmlformats.org/officeDocument/2006/relationships" r:embed="rId1"/>
        <a:stretch>
          <a:fillRect/>
        </a:stretch>
      </xdr:blipFill>
      <xdr:spPr>
        <a:xfrm>
          <a:off x="1581150" y="4800600"/>
          <a:ext cx="5410200" cy="4600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278341</xdr:colOff>
      <xdr:row>165</xdr:row>
      <xdr:rowOff>0</xdr:rowOff>
    </xdr:from>
    <xdr:to>
      <xdr:col>9</xdr:col>
      <xdr:colOff>0</xdr:colOff>
      <xdr:row>175</xdr:row>
      <xdr:rowOff>0</xdr:rowOff>
    </xdr:to>
    <xdr:grpSp>
      <xdr:nvGrpSpPr>
        <xdr:cNvPr id="3" name="Group 2">
          <a:extLst>
            <a:ext uri="{FF2B5EF4-FFF2-40B4-BE49-F238E27FC236}">
              <a16:creationId xmlns:a16="http://schemas.microsoft.com/office/drawing/2014/main" id="{552FEB80-3145-48AD-A7CC-2FC938384E24}"/>
            </a:ext>
          </a:extLst>
        </xdr:cNvPr>
        <xdr:cNvGrpSpPr/>
      </xdr:nvGrpSpPr>
      <xdr:grpSpPr>
        <a:xfrm>
          <a:off x="16547041" y="26870025"/>
          <a:ext cx="3626909" cy="1638300"/>
          <a:chOff x="11696700" y="18381134"/>
          <a:chExt cx="3513668" cy="2988203"/>
        </a:xfrm>
      </xdr:grpSpPr>
      <xdr:pic>
        <xdr:nvPicPr>
          <xdr:cNvPr id="4" name="Picture 3">
            <a:extLst>
              <a:ext uri="{FF2B5EF4-FFF2-40B4-BE49-F238E27FC236}">
                <a16:creationId xmlns:a16="http://schemas.microsoft.com/office/drawing/2014/main" id="{50EC66A4-4C8A-E460-08F2-59DF1FD4774E}"/>
              </a:ext>
            </a:extLst>
          </xdr:cNvPr>
          <xdr:cNvPicPr>
            <a:picLocks noChangeAspect="1"/>
          </xdr:cNvPicPr>
        </xdr:nvPicPr>
        <xdr:blipFill>
          <a:blip xmlns:r="http://schemas.openxmlformats.org/officeDocument/2006/relationships" r:embed="rId1"/>
          <a:stretch>
            <a:fillRect/>
          </a:stretch>
        </xdr:blipFill>
        <xdr:spPr>
          <a:xfrm>
            <a:off x="11811000" y="19439466"/>
            <a:ext cx="3391485" cy="1929871"/>
          </a:xfrm>
          <a:prstGeom prst="rect">
            <a:avLst/>
          </a:prstGeom>
        </xdr:spPr>
      </xdr:pic>
      <xdr:pic>
        <xdr:nvPicPr>
          <xdr:cNvPr id="5" name="Picture 4">
            <a:extLst>
              <a:ext uri="{FF2B5EF4-FFF2-40B4-BE49-F238E27FC236}">
                <a16:creationId xmlns:a16="http://schemas.microsoft.com/office/drawing/2014/main" id="{BEF8948F-F539-49E7-3FE1-E0F0613BD78B}"/>
              </a:ext>
            </a:extLst>
          </xdr:cNvPr>
          <xdr:cNvPicPr>
            <a:picLocks noChangeAspect="1"/>
          </xdr:cNvPicPr>
        </xdr:nvPicPr>
        <xdr:blipFill>
          <a:blip xmlns:r="http://schemas.openxmlformats.org/officeDocument/2006/relationships" r:embed="rId2"/>
          <a:stretch>
            <a:fillRect/>
          </a:stretch>
        </xdr:blipFill>
        <xdr:spPr>
          <a:xfrm>
            <a:off x="11696700" y="18381134"/>
            <a:ext cx="3513668" cy="91774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466725</xdr:colOff>
      <xdr:row>1</xdr:row>
      <xdr:rowOff>76200</xdr:rowOff>
    </xdr:from>
    <xdr:to>
      <xdr:col>15</xdr:col>
      <xdr:colOff>342939</xdr:colOff>
      <xdr:row>18</xdr:row>
      <xdr:rowOff>161960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068050" y="266700"/>
          <a:ext cx="5048289" cy="484826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st View" id="{2CEABC8E-CEB0-4C90-9179-511988089442}">
    <nsvFilter filterId="{00000000-0009-0000-0000-000002000000}" ref="A1:D302" tableId="0"/>
  </namedSheetView>
</namedSheetViews>
</file>

<file path=xl/persons/person.xml><?xml version="1.0" encoding="utf-8"?>
<personList xmlns="http://schemas.microsoft.com/office/spreadsheetml/2018/threadedcomments" xmlns:x="http://schemas.openxmlformats.org/spreadsheetml/2006/main">
  <person displayName="Luci, Giulia (HPD)" id="{D852744D-6898-4EBC-80ED-215CB5E68C57}" userId="S::LuciG@hpd.nyc.gov::805ec49f-a2da-4399-ba65-66abff0cc839" providerId="AD"/>
  <person displayName="Kevin McDonald" id="{C2834785-835E-48D9-B8B8-8E3B6404F3A7}" userId="S::kmcdonald@swinter.com::151c972d-35d6-4931-a9a6-4cd92bff4234" providerId="AD"/>
  <person displayName="Xander Zuczek" id="{7360FE48-D267-446E-9C64-41D1A98747BA}" userId="S::Alexander.Zuczek@cadmusgroup.com::5896a15b-1f49-4e69-8205-d5f16dfe0fed" providerId="AD"/>
  <person displayName="Leone, Jennifer (HPD)" id="{088FEED0-B004-4E28-BC1C-1B056AA4A0A1}" userId="S::leonej_hpd.nyc.gov#ext#@nysemail.onmicrosoft.com::4fe41812-d381-4c8c-9d32-b98bd1e08f18"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92" dT="2025-03-03T23:02:39.40" personId="{C2834785-835E-48D9-B8B8-8E3B6404F3A7}" id="{A464369C-2722-485D-A52A-B5A3BA55F0E1}">
    <text xml:space="preserve">This should read the same as row 88 kbtu of Prim fuel if there is no secondary. </text>
  </threadedComment>
  <threadedComment ref="F92" dT="2025-03-03T23:03:14.96" personId="{C2834785-835E-48D9-B8B8-8E3B6404F3A7}" id="{69EA5AE7-EFB3-401F-A694-E051CB0A6A3E}" parentId="{A464369C-2722-485D-A52A-B5A3BA55F0E1}">
    <text xml:space="preserve">Jen/others: Template fix? (inputs are protected)  
I adjusted formula in F92 to include an IfError(,0). 
and the Data Accuracy checks now reference F92 instead of f91. 
Now the QC checks work in row 104. </text>
  </threadedComment>
  <threadedComment ref="G92" dT="2025-03-03T23:02:39.40" personId="{C2834785-835E-48D9-B8B8-8E3B6404F3A7}" id="{7089EB0C-200F-427F-9FFF-CCD7362095B8}">
    <text xml:space="preserve">This should read the same as row 88 kbtu of Prim fuel if there is no secondary. </text>
  </threadedComment>
  <threadedComment ref="G92" dT="2025-03-03T23:03:14.96" personId="{C2834785-835E-48D9-B8B8-8E3B6404F3A7}" id="{4DAB89BF-2A99-4BDC-8ED1-DF7F5581A759}" parentId="{7089EB0C-200F-427F-9FFF-CCD7362095B8}">
    <text xml:space="preserve">Jen/others: Template fix? (inputs are protected)  
I adjusted formula in F92 to include an IfError(,0). 
and the Data Accuracy checks now reference F92 instead of f91. 
Now the QC checks work in row 104. </text>
  </threadedComment>
  <threadedComment ref="S92" dT="2025-03-03T23:02:39.40" personId="{C2834785-835E-48D9-B8B8-8E3B6404F3A7}" id="{3DEB80D2-4B41-426A-889A-9E5BF47594A0}">
    <text xml:space="preserve">This should read the same as row 88 kbtu of Prim fuel if there is no secondary. </text>
  </threadedComment>
  <threadedComment ref="S92" dT="2025-03-03T23:03:14.96" personId="{C2834785-835E-48D9-B8B8-8E3B6404F3A7}" id="{CD89F084-82D3-420E-88E0-EFD2FBD3E28E}" parentId="{3DEB80D2-4B41-426A-889A-9E5BF47594A0}">
    <text xml:space="preserve">Jen/others: Template fix? (inputs are protected)  
I adjusted formula in F92 to include an IfError(,0). 
and the Data Accuracy checks now reference F92 instead of f91. 
Now the QC checks work in row 104. </text>
  </threadedComment>
  <threadedComment ref="T96" dT="2024-11-04T16:24:05.90" personId="{088FEED0-B004-4E28-BC1C-1B056AA4A0A1}" id="{C841681A-BD05-4152-825F-65C44898E3A0}">
    <text xml:space="preserve">automate (1-g88)
</text>
  </threadedComment>
</ThreadedComments>
</file>

<file path=xl/threadedComments/threadedComment2.xml><?xml version="1.0" encoding="utf-8"?>
<ThreadedComments xmlns="http://schemas.microsoft.com/office/spreadsheetml/2018/threadedcomments" xmlns:x="http://schemas.openxmlformats.org/spreadsheetml/2006/main">
  <threadedComment ref="B2" dT="2024-06-28T14:58:04.65" personId="{D852744D-6898-4EBC-80ED-215CB5E68C57}" id="{E928CAFD-8BEF-4B30-B971-F269A01F9CBF}">
    <text>The below should match workbook for easy scraping</text>
  </threadedComment>
</ThreadedComments>
</file>

<file path=xl/threadedComments/threadedComment3.xml><?xml version="1.0" encoding="utf-8"?>
<ThreadedComments xmlns="http://schemas.microsoft.com/office/spreadsheetml/2018/threadedcomments" xmlns:x="http://schemas.openxmlformats.org/spreadsheetml/2006/main">
  <threadedComment ref="F63" dT="2024-06-27T21:50:06.28" personId="{7360FE48-D267-446E-9C64-41D1A98747BA}" id="{5F64DBA7-20E1-4A0D-BB09-F7C51C9299B2}">
    <text>Please review and advice placeholder value</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nyc.gov/assets/hpd/downloads/pdfs/services/vrf-split-system-maintenance-plan.pdf" TargetMode="External"/><Relationship Id="rId3" Type="http://schemas.openxmlformats.org/officeDocument/2006/relationships/hyperlink" Target="https://www.nyc.gov/site/hpd/services-and-information/underwriting-electric-high-performance-buildings.page" TargetMode="External"/><Relationship Id="rId7" Type="http://schemas.openxmlformats.org/officeDocument/2006/relationships/hyperlink" Target="https://www.nyc.gov/site/hpd/services-and-information/hpd-heating-policy.page" TargetMode="External"/><Relationship Id="rId2" Type="http://schemas.openxmlformats.org/officeDocument/2006/relationships/hyperlink" Target="https://www.nyc.gov/site/hpd/services-and-information/underwriting-electric-high-performance-buildings.page" TargetMode="External"/><Relationship Id="rId1" Type="http://schemas.openxmlformats.org/officeDocument/2006/relationships/hyperlink" Target="https://www.nyc.gov/site/hpd/services-and-information/underwriting-electric-high-performance-buildings.page" TargetMode="External"/><Relationship Id="rId6" Type="http://schemas.openxmlformats.org/officeDocument/2006/relationships/hyperlink" Target="https://www.nyc.gov/site/hpd/services-and-information/underwriting-electric-high-performance-buildings.page" TargetMode="External"/><Relationship Id="rId11" Type="http://schemas.openxmlformats.org/officeDocument/2006/relationships/drawing" Target="../drawings/drawing1.xml"/><Relationship Id="rId5" Type="http://schemas.openxmlformats.org/officeDocument/2006/relationships/hyperlink" Target="https://www.nyc.gov/assets/hpd/downloads/pdf/Selecting-a-Heat-Pump-FAQ.pdf" TargetMode="External"/><Relationship Id="rId10" Type="http://schemas.openxmlformats.org/officeDocument/2006/relationships/printerSettings" Target="../printerSettings/printerSettings1.bin"/><Relationship Id="rId4" Type="http://schemas.openxmlformats.org/officeDocument/2006/relationships/hyperlink" Target="https://www.nyc.gov/site/hpd/services-and-information/redi.page" TargetMode="External"/><Relationship Id="rId9" Type="http://schemas.openxmlformats.org/officeDocument/2006/relationships/hyperlink" Target="https://www.nyc.gov/assets/hpd/downloads/pdfs/services/redi-process-steps.pdf"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nyserda.ny.gov/About/Publications/Energy-Analysis-Reports-and-Studies/Weather-Data/Monthly-Cooling-and-Heating-Degree-Day-Data"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hyperlink" Target="mailto:james.baker@nyserda.ny.gov,%20maelyn.southers@nyserda.ny.gov" TargetMode="External"/><Relationship Id="rId7" Type="http://schemas.microsoft.com/office/2017/10/relationships/threadedComment" Target="../threadedComments/threadedComment2.xml"/><Relationship Id="rId2" Type="http://schemas.openxmlformats.org/officeDocument/2006/relationships/hyperlink" Target="mailto:lucig@hpd.nyc.gov,%20sustainablity@hpd.nyc.gov,%20tavaresR@hpd.nyc.gov" TargetMode="External"/><Relationship Id="rId1" Type="http://schemas.openxmlformats.org/officeDocument/2006/relationships/hyperlink" Target="mailto:derasj@hpd.nyc.gov,%20cavallot@hpd.nyc.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zola.planning.nyc.gov/l/lot/2/3198/55?layer-groups=%5B%22aerials%22%2C%22building-footprints%22%2C%22commercial-overlays%22%2C%22street-centerlines%22%2C%22subway%22%2C%22tax-lots%22%2C%22zoning-districts%22%5D&amp;search=true" TargetMode="External"/><Relationship Id="rId2" Type="http://schemas.openxmlformats.org/officeDocument/2006/relationships/hyperlink" Target="https://www.nyc.gov/site/hpd/services-and-information/ll97-guidance-for-affordable-housing.page" TargetMode="External"/><Relationship Id="rId1" Type="http://schemas.openxmlformats.org/officeDocument/2006/relationships/hyperlink" Target="https://www.google.com/maps/place/2344+Davidson+Ave,+Bronx,+NY+10468/@40.8597688,-73.9041948,97m/data=!3m1!1e3!4m6!3m5!1s0x89c2f476ffa9bf9d:0xbf7e36c4b1a7886e!8m2!3d40.8597025!4d-73.9039412!16s%2Fg%2F11c2hzcgb2?entry=ttu&amp;g_ep=EgoyMDI1MDMxOC4wIKXMDSoASAFQAw%3D%3D"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be-exchange.org/calculato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yc.gov/site/hpd/services-and-information/underwriting-electric-high-performance-buildings.page" TargetMode="External"/><Relationship Id="rId7" Type="http://schemas.openxmlformats.org/officeDocument/2006/relationships/hyperlink" Target="https://www.nyc.gov/assets/hpd/downloads/pdf/Selecting-a-Heat-Pump-FAQ.pdf" TargetMode="External"/><Relationship Id="rId2" Type="http://schemas.openxmlformats.org/officeDocument/2006/relationships/hyperlink" Target="https://www.nyc.gov/assets/hpd/downloads/pdf/Selecting-a-Heat-Pump-FAQ.pdf" TargetMode="External"/><Relationship Id="rId1" Type="http://schemas.openxmlformats.org/officeDocument/2006/relationships/hyperlink" Target="https://www.nyc.gov/site/hpd/services-and-information/redi.page" TargetMode="External"/><Relationship Id="rId6" Type="http://schemas.openxmlformats.org/officeDocument/2006/relationships/hyperlink" Target="https://www.nyc.gov/assets/hpd/downloads/pdfs/services/redi-process-steps.pdf" TargetMode="External"/><Relationship Id="rId5" Type="http://schemas.openxmlformats.org/officeDocument/2006/relationships/hyperlink" Target="https://www.nyc.gov/assets/hpd/downloads/pdfs/services/vrf-split-system-maintenance-plan.pdf" TargetMode="External"/><Relationship Id="rId4" Type="http://schemas.openxmlformats.org/officeDocument/2006/relationships/hyperlink" Target="https://www.nyc.gov/site/hpd/services-and-information/hpd-heating-policy.page" TargetMode="Externa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rules.cityofnewyork.us/wp-content/uploads/2022/12/Final-Rule-Procedures-for-Reporting-on-and-Complying-with-Annual-Greenhouse-Gas-Emissions-for-Certain-Buildings.pdf" TargetMode="External"/><Relationship Id="rId7" Type="http://schemas.openxmlformats.org/officeDocument/2006/relationships/drawing" Target="../drawings/drawing4.xml"/><Relationship Id="rId2" Type="http://schemas.openxmlformats.org/officeDocument/2006/relationships/hyperlink" Target="https://rules.cityofnewyork.us/wp-content/uploads/2022/12/Final-Rule-Procedures-for-Reporting-on-and-Complying-with-Annual-Greenhouse-Gas-Emissions-for-Certain-Buildings.pdf" TargetMode="External"/><Relationship Id="rId1" Type="http://schemas.openxmlformats.org/officeDocument/2006/relationships/hyperlink" Target="https://rules.cityofnewyork.us/wp-content/uploads/2022/12/Final-Rule-Procedures-for-Reporting-on-and-Complying-with-Annual-Greenhouse-Gas-Emissions-for-Certain-Buildings.pdf" TargetMode="External"/><Relationship Id="rId6" Type="http://schemas.openxmlformats.org/officeDocument/2006/relationships/printerSettings" Target="../printerSettings/printerSettings6.bin"/><Relationship Id="rId5" Type="http://schemas.openxmlformats.org/officeDocument/2006/relationships/hyperlink" Target="https://rules.cityofnewyork.us/wp-content/uploads/2022/12/Final-Rule-Procedures-for-Reporting-on-and-Complying-with-Annual-Greenhouse-Gas-Emissions-for-Certain-Buildings.pdf" TargetMode="External"/><Relationship Id="rId10" Type="http://schemas.microsoft.com/office/2017/10/relationships/threadedComment" Target="../threadedComments/threadedComment3.xml"/><Relationship Id="rId4" Type="http://schemas.openxmlformats.org/officeDocument/2006/relationships/hyperlink" Target="https://rules.cityofnewyork.us/wp-content/uploads/2022/12/Final-Rule-Procedures-for-Reporting-on-and-Complying-with-Annual-Greenhouse-Gas-Emissions-for-Certain-Buildings.pdf" TargetMode="Externa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E8B9-205B-4CF9-844F-B1A0774640CB}">
  <dimension ref="A1:M123"/>
  <sheetViews>
    <sheetView showGridLines="0" topLeftCell="A26" zoomScaleNormal="100" zoomScalePageLayoutView="115" workbookViewId="0">
      <selection activeCell="C41" sqref="C41:G41"/>
    </sheetView>
  </sheetViews>
  <sheetFormatPr defaultColWidth="9.140625" defaultRowHeight="15"/>
  <cols>
    <col min="1" max="1" width="21.140625" style="813" customWidth="1"/>
    <col min="2" max="2" width="21" style="813" customWidth="1"/>
    <col min="3" max="7" width="13.85546875" style="813" customWidth="1"/>
    <col min="8" max="8" width="42" style="813" customWidth="1"/>
    <col min="9" max="16384" width="9.140625" style="813"/>
  </cols>
  <sheetData>
    <row r="1" spans="1:8" ht="15.75" thickBot="1"/>
    <row r="2" spans="1:8" ht="51.4" customHeight="1">
      <c r="B2" s="1175" t="s">
        <v>0</v>
      </c>
      <c r="C2" s="1176"/>
      <c r="D2" s="1176"/>
      <c r="E2" s="1176"/>
      <c r="F2" s="1173">
        <f>REDiTool!F14</f>
        <v>0</v>
      </c>
      <c r="G2" s="1174"/>
    </row>
    <row r="3" spans="1:8" ht="12" customHeight="1" thickBot="1">
      <c r="B3" s="1180" t="s">
        <v>1</v>
      </c>
      <c r="C3" s="1181"/>
      <c r="D3" s="1182"/>
      <c r="E3" s="1183" t="s">
        <v>2</v>
      </c>
      <c r="F3" s="1183"/>
      <c r="G3" s="1184"/>
    </row>
    <row r="4" spans="1:8" ht="12" customHeight="1">
      <c r="A4" s="814"/>
      <c r="B4" s="861" t="s">
        <v>3</v>
      </c>
      <c r="C4" s="862">
        <v>45567</v>
      </c>
      <c r="D4" s="863" t="s">
        <v>4</v>
      </c>
      <c r="E4" s="1177" t="s">
        <v>5</v>
      </c>
      <c r="F4" s="1178"/>
      <c r="G4" s="1179"/>
      <c r="H4" s="1186" t="s">
        <v>6</v>
      </c>
    </row>
    <row r="5" spans="1:8" ht="12" customHeight="1">
      <c r="B5" s="787" t="s">
        <v>7</v>
      </c>
      <c r="C5" s="1185">
        <f>REDiTool!F13</f>
        <v>0</v>
      </c>
      <c r="D5" s="1185"/>
      <c r="E5" s="1177"/>
      <c r="F5" s="1178"/>
      <c r="G5" s="1179"/>
      <c r="H5" s="1186"/>
    </row>
    <row r="6" spans="1:8" ht="12" customHeight="1">
      <c r="B6" s="787" t="s">
        <v>8</v>
      </c>
      <c r="C6" s="1185">
        <f>REDiTool!F15</f>
        <v>0</v>
      </c>
      <c r="D6" s="1185"/>
      <c r="E6" s="1177"/>
      <c r="F6" s="1178"/>
      <c r="G6" s="1179"/>
      <c r="H6" s="1186"/>
    </row>
    <row r="7" spans="1:8" ht="12" customHeight="1">
      <c r="B7" s="787" t="s">
        <v>9</v>
      </c>
      <c r="C7" s="1185">
        <f>REDiTool!F16</f>
        <v>0</v>
      </c>
      <c r="D7" s="1185"/>
      <c r="E7" s="1177"/>
      <c r="F7" s="1178"/>
      <c r="G7" s="1179"/>
      <c r="H7" s="1186"/>
    </row>
    <row r="8" spans="1:8" ht="12" customHeight="1">
      <c r="B8" s="787" t="s">
        <v>10</v>
      </c>
      <c r="C8" s="1185">
        <f>REDiTool!F17</f>
        <v>0</v>
      </c>
      <c r="D8" s="1185"/>
      <c r="E8" s="1177"/>
      <c r="F8" s="1178"/>
      <c r="G8" s="1179"/>
      <c r="H8" s="1186"/>
    </row>
    <row r="9" spans="1:8" ht="12" customHeight="1">
      <c r="B9" s="860" t="s">
        <v>11</v>
      </c>
      <c r="C9" s="1190">
        <f>REDiTool!F19</f>
        <v>0</v>
      </c>
      <c r="D9" s="1190"/>
      <c r="E9" s="1177"/>
      <c r="F9" s="1178"/>
      <c r="G9" s="1179"/>
      <c r="H9" s="1186"/>
    </row>
    <row r="10" spans="1:8" ht="12" customHeight="1" thickBot="1">
      <c r="A10" s="815"/>
      <c r="B10" s="1191" t="s">
        <v>12</v>
      </c>
      <c r="C10" s="1192"/>
      <c r="D10" s="1192"/>
      <c r="E10" s="1192"/>
      <c r="F10" s="1192"/>
      <c r="G10" s="1193"/>
    </row>
    <row r="11" spans="1:8" ht="12" customHeight="1">
      <c r="B11" s="788" t="s">
        <v>13</v>
      </c>
      <c r="C11" s="789">
        <f>REDiTool!F1</f>
        <v>0</v>
      </c>
      <c r="D11" s="789">
        <f>REDiTool!G1</f>
        <v>0</v>
      </c>
      <c r="E11" s="789">
        <f>REDiTool!H1</f>
        <v>0</v>
      </c>
      <c r="F11" s="789">
        <f>REDiTool!I1</f>
        <v>0</v>
      </c>
      <c r="G11" s="790">
        <f>REDiTool!J1</f>
        <v>0</v>
      </c>
      <c r="H11" s="1100" t="s">
        <v>14</v>
      </c>
    </row>
    <row r="12" spans="1:8" ht="12" customHeight="1">
      <c r="B12" s="787" t="s">
        <v>15</v>
      </c>
      <c r="C12" s="791">
        <f>REDiTool!F58</f>
        <v>0</v>
      </c>
      <c r="D12" s="791">
        <f>REDiTool!G58</f>
        <v>0</v>
      </c>
      <c r="E12" s="791">
        <f>REDiTool!H58</f>
        <v>0</v>
      </c>
      <c r="F12" s="791">
        <f>REDiTool!I58</f>
        <v>0</v>
      </c>
      <c r="G12" s="792">
        <f>REDiTool!J58</f>
        <v>0</v>
      </c>
      <c r="H12" s="1100"/>
    </row>
    <row r="13" spans="1:8" ht="12" customHeight="1">
      <c r="B13" s="787" t="s">
        <v>16</v>
      </c>
      <c r="C13" s="791">
        <f>REDiTool!F45</f>
        <v>0</v>
      </c>
      <c r="D13" s="791">
        <f>REDiTool!G45</f>
        <v>0</v>
      </c>
      <c r="E13" s="791">
        <f>REDiTool!H45</f>
        <v>0</v>
      </c>
      <c r="F13" s="791">
        <f>REDiTool!I45</f>
        <v>0</v>
      </c>
      <c r="G13" s="792">
        <f>REDiTool!J45</f>
        <v>0</v>
      </c>
      <c r="H13" s="1100"/>
    </row>
    <row r="14" spans="1:8" ht="12" customHeight="1">
      <c r="B14" s="787" t="s">
        <v>17</v>
      </c>
      <c r="C14" s="791">
        <f>REDiTool!F25</f>
        <v>0</v>
      </c>
      <c r="D14" s="791">
        <f>REDiTool!G25</f>
        <v>0</v>
      </c>
      <c r="E14" s="791">
        <f>REDiTool!H25</f>
        <v>0</v>
      </c>
      <c r="F14" s="791">
        <f>REDiTool!I25</f>
        <v>0</v>
      </c>
      <c r="G14" s="792">
        <f>REDiTool!J25</f>
        <v>0</v>
      </c>
      <c r="H14" s="1100"/>
    </row>
    <row r="15" spans="1:8" ht="12" customHeight="1">
      <c r="B15" s="787" t="s">
        <v>18</v>
      </c>
      <c r="C15" s="791">
        <f>REDiTool!F32</f>
        <v>0</v>
      </c>
      <c r="D15" s="791">
        <f>REDiTool!G32</f>
        <v>0</v>
      </c>
      <c r="E15" s="791">
        <f>REDiTool!H32</f>
        <v>0</v>
      </c>
      <c r="F15" s="791">
        <f>REDiTool!I32</f>
        <v>0</v>
      </c>
      <c r="G15" s="792">
        <f>REDiTool!J32</f>
        <v>0</v>
      </c>
      <c r="H15" s="1100" t="s">
        <v>19</v>
      </c>
    </row>
    <row r="16" spans="1:8" ht="12" customHeight="1">
      <c r="B16" s="787" t="s">
        <v>20</v>
      </c>
      <c r="C16" s="791">
        <f>REDiTool!F33</f>
        <v>0</v>
      </c>
      <c r="D16" s="791">
        <f>REDiTool!G33</f>
        <v>0</v>
      </c>
      <c r="E16" s="791">
        <f>REDiTool!H33</f>
        <v>0</v>
      </c>
      <c r="F16" s="791">
        <f>REDiTool!I33</f>
        <v>0</v>
      </c>
      <c r="G16" s="792">
        <f>REDiTool!J33</f>
        <v>0</v>
      </c>
      <c r="H16" s="1100"/>
    </row>
    <row r="17" spans="1:8" s="816" customFormat="1" ht="12.95" customHeight="1" thickBot="1">
      <c r="B17" s="854" t="s">
        <v>21</v>
      </c>
      <c r="C17" s="855" t="str">
        <f>REDiTool!F7</f>
        <v xml:space="preserve">Scope:     </v>
      </c>
      <c r="D17" s="855" t="str">
        <f>REDiTool!G7</f>
        <v xml:space="preserve">Scope:     </v>
      </c>
      <c r="E17" s="855" t="str">
        <f>REDiTool!H7</f>
        <v xml:space="preserve">Scope:     </v>
      </c>
      <c r="F17" s="855" t="str">
        <f>REDiTool!I7</f>
        <v xml:space="preserve">Scope:     </v>
      </c>
      <c r="G17" s="856" t="str">
        <f>REDiTool!J7</f>
        <v xml:space="preserve">Scope:     </v>
      </c>
      <c r="H17" s="1100" t="s">
        <v>22</v>
      </c>
    </row>
    <row r="18" spans="1:8" ht="19.5" customHeight="1">
      <c r="B18" s="851" t="s">
        <v>23</v>
      </c>
      <c r="C18" s="852">
        <f>REDiTool!F63</f>
        <v>0</v>
      </c>
      <c r="D18" s="852">
        <f>REDiTool!G63</f>
        <v>0</v>
      </c>
      <c r="E18" s="852">
        <f>REDiTool!H63</f>
        <v>0</v>
      </c>
      <c r="F18" s="852">
        <f>REDiTool!I63</f>
        <v>0</v>
      </c>
      <c r="G18" s="853">
        <f>REDiTool!J63</f>
        <v>0</v>
      </c>
      <c r="H18" s="1100" t="s">
        <v>24</v>
      </c>
    </row>
    <row r="19" spans="1:8" ht="21.75" customHeight="1">
      <c r="B19" s="793" t="s">
        <v>25</v>
      </c>
      <c r="C19" s="794">
        <f>REDiTool!F59</f>
        <v>0</v>
      </c>
      <c r="D19" s="794">
        <f>REDiTool!G59</f>
        <v>0</v>
      </c>
      <c r="E19" s="794">
        <f>REDiTool!H59</f>
        <v>0</v>
      </c>
      <c r="F19" s="794">
        <f>REDiTool!I59</f>
        <v>0</v>
      </c>
      <c r="G19" s="795">
        <f>REDiTool!J59</f>
        <v>0</v>
      </c>
    </row>
    <row r="20" spans="1:8" ht="22.5">
      <c r="B20" s="793" t="s">
        <v>26</v>
      </c>
      <c r="C20" s="794">
        <f>REDiTool!F62</f>
        <v>0</v>
      </c>
      <c r="D20" s="794">
        <f>REDiTool!G62</f>
        <v>0</v>
      </c>
      <c r="E20" s="794">
        <f>REDiTool!H62</f>
        <v>0</v>
      </c>
      <c r="F20" s="794">
        <f>REDiTool!I62</f>
        <v>0</v>
      </c>
      <c r="G20" s="795">
        <f>REDiTool!J62</f>
        <v>0</v>
      </c>
    </row>
    <row r="21" spans="1:8" ht="12" customHeight="1">
      <c r="B21" s="793" t="s">
        <v>27</v>
      </c>
      <c r="C21" s="794">
        <f>REDiTool!F73</f>
        <v>0</v>
      </c>
      <c r="D21" s="794">
        <f>REDiTool!G73</f>
        <v>0</v>
      </c>
      <c r="E21" s="794">
        <f>REDiTool!H73</f>
        <v>0</v>
      </c>
      <c r="F21" s="794">
        <f>REDiTool!I73</f>
        <v>0</v>
      </c>
      <c r="G21" s="795">
        <f>REDiTool!J73</f>
        <v>0</v>
      </c>
      <c r="H21" s="1100" t="s">
        <v>28</v>
      </c>
    </row>
    <row r="22" spans="1:8" ht="12" customHeight="1">
      <c r="B22" s="864" t="s">
        <v>29</v>
      </c>
      <c r="C22" s="794">
        <f>REDiTool!F74</f>
        <v>0</v>
      </c>
      <c r="D22" s="794">
        <f>REDiTool!G74</f>
        <v>0</v>
      </c>
      <c r="E22" s="794">
        <f>REDiTool!H74</f>
        <v>0</v>
      </c>
      <c r="F22" s="794">
        <f>REDiTool!I74</f>
        <v>0</v>
      </c>
      <c r="G22" s="795">
        <f>REDiTool!J74</f>
        <v>0</v>
      </c>
      <c r="H22" s="1100" t="s">
        <v>28</v>
      </c>
    </row>
    <row r="23" spans="1:8" ht="31.5" customHeight="1">
      <c r="B23" s="865" t="s">
        <v>30</v>
      </c>
      <c r="C23" s="794">
        <f>REDiTool!F71</f>
        <v>0</v>
      </c>
      <c r="D23" s="794">
        <f>REDiTool!G71</f>
        <v>0</v>
      </c>
      <c r="E23" s="794">
        <f>REDiTool!H71</f>
        <v>0</v>
      </c>
      <c r="F23" s="794">
        <f>REDiTool!I71</f>
        <v>0</v>
      </c>
      <c r="G23" s="795">
        <f>REDiTool!J71</f>
        <v>0</v>
      </c>
      <c r="H23" s="1102"/>
    </row>
    <row r="24" spans="1:8" ht="21" hidden="1" customHeight="1">
      <c r="B24" s="865"/>
      <c r="C24" s="794">
        <f>REDiTool!F69</f>
        <v>0</v>
      </c>
      <c r="D24" s="794">
        <f>REDiTool!G69</f>
        <v>0</v>
      </c>
      <c r="E24" s="794">
        <f>REDiTool!H69</f>
        <v>0</v>
      </c>
      <c r="F24" s="794">
        <f>REDiTool!I69</f>
        <v>0</v>
      </c>
      <c r="G24" s="795">
        <f>REDiTool!J69</f>
        <v>0</v>
      </c>
      <c r="H24" s="817"/>
    </row>
    <row r="25" spans="1:8" ht="31.5" customHeight="1">
      <c r="B25" s="865" t="s">
        <v>31</v>
      </c>
      <c r="C25" s="794">
        <f>REDiTool!F70</f>
        <v>0</v>
      </c>
      <c r="D25" s="794">
        <f>REDiTool!G70</f>
        <v>0</v>
      </c>
      <c r="E25" s="794">
        <f>REDiTool!H70</f>
        <v>0</v>
      </c>
      <c r="F25" s="794">
        <f>REDiTool!I70</f>
        <v>0</v>
      </c>
      <c r="G25" s="795">
        <f>REDiTool!J70</f>
        <v>0</v>
      </c>
      <c r="H25" s="817"/>
    </row>
    <row r="26" spans="1:8">
      <c r="B26" s="865" t="s">
        <v>32</v>
      </c>
      <c r="C26" s="794">
        <f>REDiTool!F68</f>
        <v>0</v>
      </c>
      <c r="D26" s="794">
        <f>REDiTool!G68</f>
        <v>0</v>
      </c>
      <c r="E26" s="794">
        <f>REDiTool!H68</f>
        <v>0</v>
      </c>
      <c r="F26" s="794">
        <f>REDiTool!I68</f>
        <v>0</v>
      </c>
      <c r="G26" s="795">
        <f>REDiTool!J68</f>
        <v>0</v>
      </c>
      <c r="H26" s="817"/>
    </row>
    <row r="27" spans="1:8" ht="12" customHeight="1">
      <c r="B27" s="793" t="s">
        <v>33</v>
      </c>
      <c r="C27" s="794">
        <f>REDiTool!F67</f>
        <v>0</v>
      </c>
      <c r="D27" s="794">
        <f>REDiTool!G67</f>
        <v>0</v>
      </c>
      <c r="E27" s="794">
        <f>REDiTool!H67</f>
        <v>0</v>
      </c>
      <c r="F27" s="794">
        <f>REDiTool!I67</f>
        <v>0</v>
      </c>
      <c r="G27" s="795">
        <f>REDiTool!J67</f>
        <v>0</v>
      </c>
    </row>
    <row r="28" spans="1:8" ht="12" customHeight="1" thickBot="1">
      <c r="B28" s="847" t="s">
        <v>34</v>
      </c>
      <c r="C28" s="796">
        <f>REDiTool!F72</f>
        <v>0</v>
      </c>
      <c r="D28" s="796">
        <f>REDiTool!G72</f>
        <v>0</v>
      </c>
      <c r="E28" s="797">
        <f>REDiTool!H72</f>
        <v>0</v>
      </c>
      <c r="F28" s="797">
        <f>REDiTool!I72</f>
        <v>0</v>
      </c>
      <c r="G28" s="848">
        <f>REDiTool!J72</f>
        <v>0</v>
      </c>
      <c r="H28" s="1100" t="s">
        <v>35</v>
      </c>
    </row>
    <row r="29" spans="1:8" s="816" customFormat="1" ht="13.15" customHeight="1">
      <c r="A29" s="818"/>
      <c r="B29" s="804" t="s">
        <v>36</v>
      </c>
      <c r="C29" s="798" t="e">
        <f>ROUND(REDiTool!F179,-3)</f>
        <v>#N/A</v>
      </c>
      <c r="D29" s="798" t="e">
        <f>ROUND(REDiTool!G179,-3)</f>
        <v>#N/A</v>
      </c>
      <c r="E29" s="798" t="e">
        <f>ROUND(REDiTool!H179,-3)</f>
        <v>#N/A</v>
      </c>
      <c r="F29" s="798" t="e">
        <f>ROUND(REDiTool!I179,-3)</f>
        <v>#N/A</v>
      </c>
      <c r="G29" s="849" t="e">
        <f>ROUND(REDiTool!J179,-3)</f>
        <v>#N/A</v>
      </c>
      <c r="H29" s="819"/>
    </row>
    <row r="30" spans="1:8" s="816" customFormat="1" ht="20.85" customHeight="1">
      <c r="A30" s="818"/>
      <c r="B30" s="811" t="s">
        <v>37</v>
      </c>
      <c r="C30" s="799" t="e">
        <f>-REDiTool!F162</f>
        <v>#N/A</v>
      </c>
      <c r="D30" s="799" t="e">
        <f>-REDiTool!G162</f>
        <v>#N/A</v>
      </c>
      <c r="E30" s="799" t="e">
        <f>-REDiTool!H162</f>
        <v>#N/A</v>
      </c>
      <c r="F30" s="799" t="e">
        <f>-REDiTool!I162</f>
        <v>#N/A</v>
      </c>
      <c r="G30" s="850" t="e">
        <f>-REDiTool!J162</f>
        <v>#N/A</v>
      </c>
      <c r="H30" s="819" t="s">
        <v>38</v>
      </c>
    </row>
    <row r="31" spans="1:8" s="816" customFormat="1" ht="12" customHeight="1" thickBot="1">
      <c r="A31" s="818"/>
      <c r="B31" s="1194" t="s">
        <v>39</v>
      </c>
      <c r="C31" s="1195"/>
      <c r="D31" s="1195"/>
      <c r="E31" s="1195"/>
      <c r="F31" s="1195"/>
      <c r="G31" s="1196"/>
      <c r="H31" s="819"/>
    </row>
    <row r="32" spans="1:8" s="816" customFormat="1" ht="12" customHeight="1">
      <c r="B32" s="800" t="s">
        <v>40</v>
      </c>
      <c r="C32" s="805" t="e">
        <f>ROUND(REDiTool!F125,1)</f>
        <v>#VALUE!</v>
      </c>
      <c r="D32" s="805" t="e">
        <f>ROUND(REDiTool!G125,1)</f>
        <v>#VALUE!</v>
      </c>
      <c r="E32" s="805" t="e">
        <f>ROUND(REDiTool!H125,1)</f>
        <v>#VALUE!</v>
      </c>
      <c r="F32" s="805" t="e">
        <f>ROUND(REDiTool!I125,1)</f>
        <v>#VALUE!</v>
      </c>
      <c r="G32" s="806" t="e">
        <f>ROUND(REDiTool!J125,1)</f>
        <v>#VALUE!</v>
      </c>
      <c r="H32" s="819" t="s">
        <v>41</v>
      </c>
    </row>
    <row r="33" spans="1:8" s="816" customFormat="1" ht="12" customHeight="1" thickBot="1">
      <c r="B33" s="801" t="s">
        <v>42</v>
      </c>
      <c r="C33" s="802" t="e">
        <f>ROUND(REDiTool!F144,1)</f>
        <v>#VALUE!</v>
      </c>
      <c r="D33" s="802" t="e">
        <f>ROUND(REDiTool!G144,1)</f>
        <v>#VALUE!</v>
      </c>
      <c r="E33" s="802" t="e">
        <f>ROUND(REDiTool!H144,1)</f>
        <v>#VALUE!</v>
      </c>
      <c r="F33" s="802" t="e">
        <f>ROUND(REDiTool!I144,1)</f>
        <v>#VALUE!</v>
      </c>
      <c r="G33" s="803" t="e">
        <f>ROUND(REDiTool!J144,1)</f>
        <v>#VALUE!</v>
      </c>
      <c r="H33" s="819" t="s">
        <v>41</v>
      </c>
    </row>
    <row r="34" spans="1:8" s="816" customFormat="1" ht="12" customHeight="1">
      <c r="B34" s="804" t="s">
        <v>43</v>
      </c>
      <c r="C34" s="805" t="e">
        <f>ROUND(REDiTool!F147,1)</f>
        <v>#N/A</v>
      </c>
      <c r="D34" s="805" t="e">
        <f>ROUND(REDiTool!G147,1)</f>
        <v>#N/A</v>
      </c>
      <c r="E34" s="805" t="e">
        <f>ROUND(REDiTool!H147,1)</f>
        <v>#N/A</v>
      </c>
      <c r="F34" s="805" t="e">
        <f>ROUND(REDiTool!I147,1)</f>
        <v>#N/A</v>
      </c>
      <c r="G34" s="806" t="e">
        <f>ROUND(REDiTool!J147,1)</f>
        <v>#N/A</v>
      </c>
      <c r="H34" s="819"/>
    </row>
    <row r="35" spans="1:8" s="816" customFormat="1" ht="12" customHeight="1">
      <c r="B35" s="807" t="s">
        <v>44</v>
      </c>
      <c r="C35" s="808" t="e">
        <f>REDiTool!F252</f>
        <v>#N/A</v>
      </c>
      <c r="D35" s="808" t="e">
        <f>REDiTool!G252</f>
        <v>#N/A</v>
      </c>
      <c r="E35" s="808" t="e">
        <f>REDiTool!H252</f>
        <v>#N/A</v>
      </c>
      <c r="F35" s="808" t="e">
        <f>REDiTool!I252</f>
        <v>#N/A</v>
      </c>
      <c r="G35" s="809" t="e">
        <f>REDiTool!J252</f>
        <v>#N/A</v>
      </c>
      <c r="H35" s="819"/>
    </row>
    <row r="36" spans="1:8" s="816" customFormat="1" ht="12" customHeight="1" thickBot="1">
      <c r="A36" s="818"/>
      <c r="B36" s="1194" t="s">
        <v>45</v>
      </c>
      <c r="C36" s="1195"/>
      <c r="D36" s="1195"/>
      <c r="E36" s="1195"/>
      <c r="F36" s="1195"/>
      <c r="G36" s="1196"/>
      <c r="H36" s="819"/>
    </row>
    <row r="37" spans="1:8" s="816" customFormat="1" ht="21.75" customHeight="1" thickBot="1">
      <c r="B37" s="857" t="s">
        <v>46</v>
      </c>
      <c r="C37" s="858" t="str">
        <f>REDiTool!F10</f>
        <v>Fund!</v>
      </c>
      <c r="D37" s="858" t="str">
        <f>REDiTool!G10</f>
        <v>Fund!</v>
      </c>
      <c r="E37" s="858" t="str">
        <f>REDiTool!H10</f>
        <v>Fund!</v>
      </c>
      <c r="F37" s="858" t="str">
        <f>REDiTool!I10</f>
        <v>Fund!</v>
      </c>
      <c r="G37" s="859" t="str">
        <f>REDiTool!J10</f>
        <v>Fund!</v>
      </c>
      <c r="H37" s="819"/>
    </row>
    <row r="38" spans="1:8" s="816" customFormat="1" ht="12" customHeight="1">
      <c r="B38" s="810" t="s">
        <v>47</v>
      </c>
      <c r="C38" s="1197">
        <f>ROUND(REDiTool!F184,-3)</f>
        <v>0</v>
      </c>
      <c r="D38" s="1197"/>
      <c r="E38" s="1197"/>
      <c r="F38" s="1197"/>
      <c r="G38" s="1198"/>
      <c r="H38" s="819"/>
    </row>
    <row r="39" spans="1:8" s="816" customFormat="1" ht="12" customHeight="1">
      <c r="B39" s="1091" t="s">
        <v>48</v>
      </c>
      <c r="C39" s="1202">
        <f>REDiTool!F189</f>
        <v>0</v>
      </c>
      <c r="D39" s="1202"/>
      <c r="E39" s="1202"/>
      <c r="F39" s="1202"/>
      <c r="G39" s="1203"/>
      <c r="H39" s="819" t="s">
        <v>49</v>
      </c>
    </row>
    <row r="40" spans="1:8" s="816" customFormat="1" ht="12" customHeight="1">
      <c r="B40" s="1092" t="s">
        <v>50</v>
      </c>
      <c r="C40" s="1205">
        <f>REDiTool!F191</f>
        <v>0</v>
      </c>
      <c r="D40" s="1205"/>
      <c r="E40" s="1205"/>
      <c r="F40" s="1205"/>
      <c r="G40" s="1206"/>
      <c r="H40" s="819" t="s">
        <v>51</v>
      </c>
    </row>
    <row r="41" spans="1:8" s="816" customFormat="1" ht="13.5" customHeight="1">
      <c r="B41" s="1200" t="s">
        <v>52</v>
      </c>
      <c r="C41" s="1207">
        <f>ROUND(REDiTool!F192,-3)</f>
        <v>0</v>
      </c>
      <c r="D41" s="1207"/>
      <c r="E41" s="1207"/>
      <c r="F41" s="1207"/>
      <c r="G41" s="1208"/>
      <c r="H41" s="819"/>
    </row>
    <row r="42" spans="1:8" s="816" customFormat="1" ht="10.15" customHeight="1">
      <c r="B42" s="1201"/>
      <c r="C42" s="1209" t="e">
        <f>ROUND(REDiTool!F194,5)</f>
        <v>#DIV/0!</v>
      </c>
      <c r="D42" s="1209"/>
      <c r="E42" s="1209"/>
      <c r="F42" s="1209"/>
      <c r="G42" s="1210"/>
      <c r="H42" s="819"/>
    </row>
    <row r="43" spans="1:8" ht="12" customHeight="1">
      <c r="B43" s="812" t="s">
        <v>53</v>
      </c>
      <c r="C43" s="1087"/>
      <c r="D43" s="1087"/>
      <c r="E43" s="1087"/>
      <c r="F43" s="1204" t="s">
        <v>54</v>
      </c>
      <c r="G43" s="1204"/>
    </row>
    <row r="44" spans="1:8" ht="12" customHeight="1">
      <c r="B44" s="812" t="s">
        <v>55</v>
      </c>
      <c r="C44" s="1087"/>
      <c r="D44" s="1087"/>
      <c r="E44" s="1087"/>
      <c r="F44" s="1169"/>
      <c r="G44" s="1169"/>
    </row>
    <row r="45" spans="1:8" ht="12" customHeight="1">
      <c r="B45" s="812" t="s">
        <v>56</v>
      </c>
      <c r="C45" s="1087"/>
      <c r="D45" s="1087"/>
      <c r="E45" s="1087"/>
      <c r="F45" s="1169" t="s">
        <v>57</v>
      </c>
      <c r="G45" s="1169"/>
    </row>
    <row r="46" spans="1:8" ht="14.65" customHeight="1" thickBot="1">
      <c r="B46" s="1199"/>
      <c r="C46" s="1199"/>
      <c r="D46" s="1199"/>
      <c r="E46" s="1199"/>
      <c r="F46" s="1199"/>
      <c r="G46" s="1199"/>
    </row>
    <row r="47" spans="1:8" s="816" customFormat="1" ht="29.25" customHeight="1">
      <c r="A47" s="818"/>
      <c r="B47" s="1187" t="s">
        <v>58</v>
      </c>
      <c r="C47" s="1188"/>
      <c r="D47" s="1188"/>
      <c r="E47" s="1188"/>
      <c r="F47" s="1188"/>
      <c r="G47" s="1189"/>
      <c r="H47" s="819" t="s">
        <v>59</v>
      </c>
    </row>
    <row r="48" spans="1:8" s="816" customFormat="1">
      <c r="A48" s="818"/>
      <c r="B48" s="820" t="s">
        <v>13</v>
      </c>
      <c r="C48" s="821">
        <f>C11</f>
        <v>0</v>
      </c>
      <c r="D48" s="821">
        <f>D11</f>
        <v>0</v>
      </c>
      <c r="E48" s="821">
        <f>E11</f>
        <v>0</v>
      </c>
      <c r="F48" s="821">
        <f>F11</f>
        <v>0</v>
      </c>
      <c r="G48" s="822">
        <f>G11</f>
        <v>0</v>
      </c>
      <c r="H48" s="819"/>
    </row>
    <row r="49" spans="1:13" s="816" customFormat="1">
      <c r="B49" s="807" t="s">
        <v>60</v>
      </c>
      <c r="C49" s="823" t="e">
        <f>REDiTool!F299</f>
        <v>#N/A</v>
      </c>
      <c r="D49" s="823" t="e">
        <f>REDiTool!G299</f>
        <v>#N/A</v>
      </c>
      <c r="E49" s="823" t="e">
        <f>REDiTool!H299</f>
        <v>#N/A</v>
      </c>
      <c r="F49" s="823" t="e">
        <f>REDiTool!I299</f>
        <v>#N/A</v>
      </c>
      <c r="G49" s="824" t="e">
        <f>REDiTool!J299</f>
        <v>#N/A</v>
      </c>
      <c r="H49" s="819"/>
    </row>
    <row r="50" spans="1:13" s="816" customFormat="1">
      <c r="B50" s="807" t="s">
        <v>61</v>
      </c>
      <c r="C50" s="825" t="str">
        <f>REDiTool!F300</f>
        <v>Not In Scope</v>
      </c>
      <c r="D50" s="825" t="str">
        <f>REDiTool!G300</f>
        <v>Not In Scope</v>
      </c>
      <c r="E50" s="825" t="str">
        <f>REDiTool!H300</f>
        <v>Not In Scope</v>
      </c>
      <c r="F50" s="825" t="str">
        <f>REDiTool!I300</f>
        <v>Not In Scope</v>
      </c>
      <c r="G50" s="826" t="str">
        <f>REDiTool!J300</f>
        <v>Not In Scope</v>
      </c>
    </row>
    <row r="51" spans="1:13" s="816" customFormat="1" ht="15.75" thickBot="1">
      <c r="B51" s="827" t="s">
        <v>62</v>
      </c>
      <c r="C51" s="828" t="str">
        <f>IF(C50="Not In Scope","N/A",REDiTool!F65)</f>
        <v>N/A</v>
      </c>
      <c r="D51" s="828" t="str">
        <f>IF(D50="Not In Scope","N/A",REDiTool!G65)</f>
        <v>N/A</v>
      </c>
      <c r="E51" s="828" t="str">
        <f>IF(E50="Not In Scope","N/A",REDiTool!H65)</f>
        <v>N/A</v>
      </c>
      <c r="F51" s="828" t="str">
        <f>IF(F50="Not In Scope","N/A",REDiTool!I65)</f>
        <v>N/A</v>
      </c>
      <c r="G51" s="829" t="str">
        <f>IF(G50="Not In Scope","N/A",REDiTool!J65)</f>
        <v>N/A</v>
      </c>
      <c r="H51" s="819"/>
    </row>
    <row r="52" spans="1:13" s="816" customFormat="1">
      <c r="A52" s="818"/>
      <c r="B52" s="807" t="s">
        <v>63</v>
      </c>
      <c r="C52" s="823">
        <f>REDiTool!F292</f>
        <v>0</v>
      </c>
      <c r="D52" s="823">
        <f>REDiTool!G292</f>
        <v>0</v>
      </c>
      <c r="E52" s="823">
        <f>REDiTool!H292</f>
        <v>0</v>
      </c>
      <c r="F52" s="823">
        <f>REDiTool!I292</f>
        <v>0</v>
      </c>
      <c r="G52" s="824">
        <f>REDiTool!J292</f>
        <v>0</v>
      </c>
      <c r="H52" s="819"/>
    </row>
    <row r="53" spans="1:13" s="816" customFormat="1">
      <c r="B53" s="807" t="s">
        <v>64</v>
      </c>
      <c r="C53" s="823">
        <f>REDiTool!F293</f>
        <v>0</v>
      </c>
      <c r="D53" s="823">
        <f>REDiTool!G293</f>
        <v>0</v>
      </c>
      <c r="E53" s="823">
        <f>REDiTool!H293</f>
        <v>0</v>
      </c>
      <c r="F53" s="823">
        <f>REDiTool!I293</f>
        <v>0</v>
      </c>
      <c r="G53" s="824">
        <f>REDiTool!J293</f>
        <v>0</v>
      </c>
    </row>
    <row r="54" spans="1:13" s="816" customFormat="1" ht="15.75" thickBot="1">
      <c r="B54" s="827" t="s">
        <v>62</v>
      </c>
      <c r="C54" s="828">
        <f>IF(C53="Not In Scope","N/A",REDiTool!F60)</f>
        <v>0</v>
      </c>
      <c r="D54" s="828">
        <f>IF(D53="Not In Scope","N/A",REDiTool!G60)</f>
        <v>0</v>
      </c>
      <c r="E54" s="828">
        <f>IF(E53="Not In Scope","N/A",REDiTool!H60)</f>
        <v>0</v>
      </c>
      <c r="F54" s="828">
        <f>IF(F53="Not In Scope","N/A",REDiTool!I60)</f>
        <v>0</v>
      </c>
      <c r="G54" s="829">
        <f>IF(G53="Not In Scope","N/A",REDiTool!J60)</f>
        <v>0</v>
      </c>
      <c r="H54" s="819"/>
    </row>
    <row r="55" spans="1:13" s="816" customFormat="1">
      <c r="B55" s="804" t="s">
        <v>65</v>
      </c>
      <c r="C55" s="823">
        <f>REDiTool!F296</f>
        <v>0</v>
      </c>
      <c r="D55" s="823">
        <f>REDiTool!G296</f>
        <v>0</v>
      </c>
      <c r="E55" s="823">
        <f>REDiTool!H296</f>
        <v>0</v>
      </c>
      <c r="F55" s="823">
        <f>REDiTool!I296</f>
        <v>0</v>
      </c>
      <c r="G55" s="824">
        <f>REDiTool!J296</f>
        <v>0</v>
      </c>
      <c r="H55" s="819"/>
    </row>
    <row r="56" spans="1:13" s="816" customFormat="1">
      <c r="B56" s="807" t="s">
        <v>66</v>
      </c>
      <c r="C56" s="825" t="str">
        <f>REDiTool!F297</f>
        <v>Not In Scope</v>
      </c>
      <c r="D56" s="825" t="str">
        <f>REDiTool!G297</f>
        <v>Not In Scope</v>
      </c>
      <c r="E56" s="825" t="str">
        <f>REDiTool!H297</f>
        <v>Not In Scope</v>
      </c>
      <c r="F56" s="825" t="str">
        <f>REDiTool!I297</f>
        <v>Not In Scope</v>
      </c>
      <c r="G56" s="826" t="str">
        <f>REDiTool!J297</f>
        <v>Not In Scope</v>
      </c>
      <c r="H56" s="819"/>
    </row>
    <row r="57" spans="1:13" s="816" customFormat="1" ht="15.75" thickBot="1">
      <c r="B57" s="827" t="s">
        <v>62</v>
      </c>
      <c r="C57" s="828" t="str">
        <f>IF(C56="Not In Scope","N/A",REDiTool!F61)</f>
        <v>N/A</v>
      </c>
      <c r="D57" s="828" t="str">
        <f>IF(D56="Not In Scope","N/A",REDiTool!G61)</f>
        <v>N/A</v>
      </c>
      <c r="E57" s="828" t="str">
        <f>IF(E56="Not In Scope","N/A",REDiTool!H61)</f>
        <v>N/A</v>
      </c>
      <c r="F57" s="828" t="str">
        <f>IF(F56="Not In Scope","N/A",REDiTool!I61)</f>
        <v>N/A</v>
      </c>
      <c r="G57" s="829" t="str">
        <f>IF(G56="Not In Scope","N/A",REDiTool!J61)</f>
        <v>N/A</v>
      </c>
      <c r="H57" s="819" t="s">
        <v>67</v>
      </c>
    </row>
    <row r="58" spans="1:13" s="816" customFormat="1" ht="15.75" thickBot="1">
      <c r="B58" s="1164" t="s">
        <v>68</v>
      </c>
      <c r="C58" s="1165"/>
      <c r="D58" s="1165"/>
      <c r="E58" s="1165"/>
      <c r="F58" s="1165"/>
      <c r="G58" s="1166"/>
      <c r="H58" s="819"/>
    </row>
    <row r="59" spans="1:13" s="830" customFormat="1" ht="12">
      <c r="B59" s="1167" t="s">
        <v>69</v>
      </c>
      <c r="C59" s="1167"/>
      <c r="D59" s="1167"/>
      <c r="E59" s="1167"/>
      <c r="F59" s="1167"/>
      <c r="G59" s="1167"/>
    </row>
    <row r="60" spans="1:13" s="830" customFormat="1" ht="12">
      <c r="B60" s="1057" t="s">
        <v>70</v>
      </c>
      <c r="C60" s="1103"/>
      <c r="D60" s="1103"/>
      <c r="E60" s="1103"/>
      <c r="F60" s="1103"/>
      <c r="G60" s="1103"/>
    </row>
    <row r="61" spans="1:13" s="831" customFormat="1" ht="12">
      <c r="B61" s="1168" t="s">
        <v>71</v>
      </c>
      <c r="C61" s="1168"/>
      <c r="D61" s="1168"/>
      <c r="E61" s="1168"/>
      <c r="F61" s="1168"/>
      <c r="G61" s="1168"/>
    </row>
    <row r="62" spans="1:13" s="831" customFormat="1" ht="26.25" customHeight="1">
      <c r="B62" s="1104"/>
      <c r="C62" s="1104"/>
      <c r="D62" s="1104"/>
      <c r="E62" s="1104"/>
      <c r="F62" s="1104"/>
      <c r="G62" s="1104"/>
    </row>
    <row r="63" spans="1:13" s="832" customFormat="1" ht="31.5" customHeight="1">
      <c r="B63" s="1170" t="s">
        <v>72</v>
      </c>
      <c r="C63" s="1171"/>
      <c r="E63" s="1170" t="s">
        <v>73</v>
      </c>
      <c r="F63" s="1172"/>
      <c r="G63" s="1171"/>
      <c r="H63" s="1211" t="s">
        <v>59</v>
      </c>
      <c r="I63" s="1211"/>
      <c r="J63" s="1211"/>
      <c r="K63" s="1211"/>
      <c r="L63" s="1211"/>
      <c r="M63" s="1211"/>
    </row>
    <row r="64" spans="1:13" s="832" customFormat="1">
      <c r="B64" s="866" t="s">
        <v>74</v>
      </c>
      <c r="C64" s="867">
        <f>Dropdowns_v2!D207</f>
        <v>3000</v>
      </c>
      <c r="E64" s="1229" t="s">
        <v>75</v>
      </c>
      <c r="F64" s="1230"/>
      <c r="G64" s="874">
        <v>119</v>
      </c>
      <c r="H64" s="833"/>
      <c r="I64" s="1103"/>
      <c r="J64" s="1103"/>
      <c r="K64" s="1103"/>
      <c r="L64" s="814"/>
      <c r="M64" s="814"/>
    </row>
    <row r="65" spans="1:13" s="832" customFormat="1">
      <c r="B65" s="866" t="s">
        <v>76</v>
      </c>
      <c r="C65" s="867">
        <f>Dropdowns_v2!D215</f>
        <v>24000</v>
      </c>
      <c r="E65" s="866" t="s">
        <v>77</v>
      </c>
      <c r="F65" s="1137"/>
      <c r="G65" s="1138">
        <v>330</v>
      </c>
      <c r="H65" s="1130"/>
      <c r="I65" s="1103"/>
      <c r="J65" s="1103"/>
      <c r="K65" s="1103"/>
      <c r="L65" s="814"/>
      <c r="M65" s="814"/>
    </row>
    <row r="66" spans="1:13">
      <c r="B66" s="1077" t="s">
        <v>78</v>
      </c>
      <c r="C66" s="868" t="s">
        <v>79</v>
      </c>
      <c r="E66" s="1143" t="s">
        <v>80</v>
      </c>
      <c r="F66" s="1140"/>
      <c r="G66" s="1141">
        <v>187</v>
      </c>
      <c r="H66" s="836"/>
      <c r="I66" s="1103"/>
      <c r="J66" s="1103"/>
      <c r="K66" s="1103"/>
      <c r="L66" s="837"/>
      <c r="M66" s="837"/>
    </row>
    <row r="67" spans="1:13" ht="14.25" customHeight="1" thickBot="1">
      <c r="B67" s="1070" t="s">
        <v>81</v>
      </c>
      <c r="C67" s="1071">
        <f>Dropdowns_v2!D225</f>
        <v>4000</v>
      </c>
      <c r="E67" s="1142" t="s">
        <v>82</v>
      </c>
      <c r="F67" s="1139"/>
      <c r="G67" s="1136" t="s">
        <v>83</v>
      </c>
      <c r="H67" s="838"/>
      <c r="J67" s="838"/>
      <c r="K67" s="838"/>
      <c r="L67" s="838"/>
      <c r="M67" s="838"/>
    </row>
    <row r="68" spans="1:13">
      <c r="B68" s="1078" t="s">
        <v>84</v>
      </c>
      <c r="C68" s="1072" t="s">
        <v>85</v>
      </c>
      <c r="E68" s="1217" t="s">
        <v>86</v>
      </c>
      <c r="F68" s="1218"/>
      <c r="G68" s="874">
        <v>221</v>
      </c>
    </row>
    <row r="69" spans="1:13" ht="14.25" customHeight="1">
      <c r="B69" s="1077" t="s">
        <v>87</v>
      </c>
      <c r="C69" s="868">
        <v>2000</v>
      </c>
      <c r="E69" s="866" t="s">
        <v>88</v>
      </c>
      <c r="F69" s="834"/>
      <c r="G69" s="874">
        <v>256</v>
      </c>
    </row>
    <row r="70" spans="1:13" ht="14.25" customHeight="1" thickBot="1">
      <c r="B70" s="1079" t="s">
        <v>89</v>
      </c>
      <c r="C70" s="1056">
        <v>8000</v>
      </c>
      <c r="E70" s="876" t="s">
        <v>90</v>
      </c>
      <c r="F70" s="835"/>
      <c r="G70" s="874">
        <v>205</v>
      </c>
    </row>
    <row r="71" spans="1:13" ht="14.25" customHeight="1" thickBot="1">
      <c r="B71" s="1074" t="s">
        <v>91</v>
      </c>
      <c r="C71" s="872">
        <v>32000</v>
      </c>
      <c r="E71" s="870" t="s">
        <v>92</v>
      </c>
      <c r="F71" s="873"/>
      <c r="G71" s="875">
        <f>Dropdowns_v2!D27</f>
        <v>153.6</v>
      </c>
    </row>
    <row r="72" spans="1:13" ht="14.25" customHeight="1" thickBot="1">
      <c r="B72" s="1074" t="s">
        <v>93</v>
      </c>
      <c r="C72" s="872">
        <v>35000</v>
      </c>
      <c r="E72" s="1093" t="s">
        <v>94</v>
      </c>
      <c r="F72" s="1094"/>
      <c r="G72" s="877">
        <v>108</v>
      </c>
    </row>
    <row r="73" spans="1:13" ht="15.75" thickBot="1">
      <c r="B73" s="1144" t="s">
        <v>95</v>
      </c>
      <c r="C73" s="1145">
        <f>Dropdowns_v2!D240</f>
        <v>1250000</v>
      </c>
      <c r="E73" s="878" t="s">
        <v>96</v>
      </c>
      <c r="F73" s="879"/>
      <c r="G73" s="888" t="s">
        <v>97</v>
      </c>
    </row>
    <row r="74" spans="1:13" ht="12.75" customHeight="1" thickBot="1">
      <c r="B74" s="870" t="s">
        <v>98</v>
      </c>
      <c r="C74" s="871">
        <f>Dropdowns_v2!D241</f>
        <v>2500000</v>
      </c>
      <c r="E74" s="1216" t="s">
        <v>99</v>
      </c>
      <c r="F74" s="1216"/>
      <c r="G74" s="1216"/>
    </row>
    <row r="75" spans="1:13" ht="12.75" customHeight="1" thickBot="1">
      <c r="A75" s="839"/>
      <c r="B75" s="1228" t="s">
        <v>100</v>
      </c>
      <c r="C75" s="1228"/>
      <c r="E75" s="1226" t="s">
        <v>101</v>
      </c>
      <c r="F75" s="1226"/>
      <c r="G75" s="1226"/>
      <c r="H75" s="819"/>
    </row>
    <row r="76" spans="1:13" ht="12" customHeight="1">
      <c r="A76" s="839"/>
      <c r="B76" s="1215" t="s">
        <v>102</v>
      </c>
      <c r="C76" s="1215"/>
      <c r="E76" s="1227" t="s">
        <v>103</v>
      </c>
      <c r="F76" s="1227"/>
      <c r="G76" s="1227"/>
      <c r="H76" s="819"/>
    </row>
    <row r="77" spans="1:13" ht="21.75" customHeight="1">
      <c r="B77" s="1214" t="s">
        <v>104</v>
      </c>
      <c r="C77" s="1214"/>
    </row>
    <row r="78" spans="1:13" ht="22.5" customHeight="1">
      <c r="D78" s="1076"/>
    </row>
    <row r="79" spans="1:13" ht="12" customHeight="1">
      <c r="D79" s="1076"/>
    </row>
    <row r="80" spans="1:13" ht="12" customHeight="1">
      <c r="B80" s="1101"/>
      <c r="C80" s="1101"/>
    </row>
    <row r="81" spans="1:8">
      <c r="B81" s="1219" t="s">
        <v>105</v>
      </c>
      <c r="C81" s="1220"/>
      <c r="D81" s="1220"/>
      <c r="E81" s="1220"/>
      <c r="F81" s="1220"/>
      <c r="G81" s="1221"/>
    </row>
    <row r="82" spans="1:8">
      <c r="A82" s="814"/>
      <c r="B82" s="840" t="s">
        <v>106</v>
      </c>
      <c r="C82" s="1222"/>
      <c r="D82" s="1222"/>
      <c r="E82" s="1222"/>
      <c r="F82" s="1222"/>
      <c r="G82" s="1223"/>
    </row>
    <row r="83" spans="1:8">
      <c r="A83" s="814"/>
      <c r="B83" s="840" t="s">
        <v>107</v>
      </c>
      <c r="C83" s="1222"/>
      <c r="D83" s="1222"/>
      <c r="E83" s="1222"/>
      <c r="F83" s="1222"/>
      <c r="G83" s="1223"/>
    </row>
    <row r="84" spans="1:8">
      <c r="A84" s="814"/>
      <c r="B84" s="840" t="s">
        <v>108</v>
      </c>
      <c r="C84" s="1222"/>
      <c r="D84" s="1222"/>
      <c r="E84" s="1222"/>
      <c r="F84" s="1222"/>
      <c r="G84" s="1223"/>
    </row>
    <row r="85" spans="1:8">
      <c r="B85" s="841" t="s">
        <v>109</v>
      </c>
      <c r="C85" s="1224"/>
      <c r="D85" s="1224"/>
      <c r="E85" s="1224"/>
      <c r="F85" s="1224"/>
      <c r="G85" s="1225"/>
    </row>
    <row r="86" spans="1:8" s="816" customFormat="1">
      <c r="B86" s="812" t="s">
        <v>110</v>
      </c>
      <c r="C86" s="1075"/>
      <c r="D86" s="1075"/>
      <c r="E86" s="842"/>
      <c r="F86" s="1169" t="s">
        <v>57</v>
      </c>
      <c r="G86" s="1169"/>
      <c r="H86" s="819"/>
    </row>
    <row r="87" spans="1:8" s="816" customFormat="1" ht="17.25" customHeight="1">
      <c r="B87" s="812"/>
      <c r="C87" s="1075"/>
      <c r="D87" s="1075"/>
      <c r="E87" s="842"/>
      <c r="F87" s="1096"/>
      <c r="G87" s="1096"/>
      <c r="H87" s="819"/>
    </row>
    <row r="88" spans="1:8">
      <c r="B88" s="1212" t="s">
        <v>111</v>
      </c>
      <c r="C88" s="1212"/>
      <c r="D88" s="1212"/>
    </row>
    <row r="89" spans="1:8">
      <c r="A89" s="814"/>
      <c r="B89" s="1213" t="s">
        <v>112</v>
      </c>
      <c r="C89" s="1213"/>
      <c r="D89" s="1213"/>
      <c r="E89" s="814"/>
    </row>
    <row r="90" spans="1:8">
      <c r="A90" s="814"/>
      <c r="B90" s="1233" t="s">
        <v>113</v>
      </c>
      <c r="C90" s="1233"/>
      <c r="D90" s="1233"/>
      <c r="E90" s="814"/>
    </row>
    <row r="91" spans="1:8">
      <c r="A91" s="814"/>
      <c r="B91" s="1231" t="s">
        <v>114</v>
      </c>
      <c r="C91" s="1232"/>
      <c r="D91" s="1232"/>
      <c r="E91" s="814"/>
    </row>
    <row r="92" spans="1:8">
      <c r="A92" s="814"/>
      <c r="B92" s="1097" t="s">
        <v>115</v>
      </c>
      <c r="C92" s="929"/>
      <c r="D92" s="929"/>
      <c r="E92" s="814"/>
    </row>
    <row r="93" spans="1:8">
      <c r="A93" s="814"/>
      <c r="B93" s="930" t="s">
        <v>116</v>
      </c>
      <c r="C93" s="814"/>
      <c r="D93" s="814"/>
      <c r="E93" s="814"/>
    </row>
    <row r="94" spans="1:8" ht="14.25" customHeight="1">
      <c r="A94" s="814"/>
      <c r="B94" s="930" t="s">
        <v>117</v>
      </c>
      <c r="C94" s="814"/>
      <c r="D94" s="814"/>
      <c r="E94" s="814"/>
      <c r="F94" s="1169"/>
      <c r="G94" s="1169"/>
    </row>
    <row r="95" spans="1:8">
      <c r="B95" s="843"/>
    </row>
    <row r="96" spans="1:8">
      <c r="B96" s="1235" t="s">
        <v>118</v>
      </c>
      <c r="C96" s="1235"/>
      <c r="D96" s="1235"/>
      <c r="E96" s="1235"/>
      <c r="F96" s="1235"/>
    </row>
    <row r="97" spans="1:7">
      <c r="B97" s="1098"/>
      <c r="C97" s="1098"/>
      <c r="D97" s="1098"/>
      <c r="E97" s="1098"/>
      <c r="F97" s="1098"/>
    </row>
    <row r="98" spans="1:7">
      <c r="B98" s="1236" t="s">
        <v>119</v>
      </c>
      <c r="C98" s="1236"/>
      <c r="D98" s="1236"/>
      <c r="E98" s="1236"/>
      <c r="F98" s="1236"/>
      <c r="G98" s="1236"/>
    </row>
    <row r="99" spans="1:7">
      <c r="B99" s="844" t="s">
        <v>120</v>
      </c>
      <c r="C99" s="1099"/>
      <c r="D99" s="1099"/>
      <c r="E99" s="1099"/>
      <c r="F99" s="1099"/>
      <c r="G99" s="1099"/>
    </row>
    <row r="100" spans="1:7">
      <c r="B100" s="844" t="s">
        <v>121</v>
      </c>
      <c r="C100" s="1099"/>
      <c r="D100" s="1099"/>
      <c r="E100" s="1099"/>
      <c r="F100" s="1099"/>
      <c r="G100" s="1099"/>
    </row>
    <row r="101" spans="1:7">
      <c r="B101" s="844" t="s">
        <v>122</v>
      </c>
      <c r="C101" s="845"/>
      <c r="D101" s="845"/>
      <c r="E101" s="845"/>
      <c r="F101" s="845"/>
    </row>
    <row r="102" spans="1:7">
      <c r="B102" s="844" t="s">
        <v>123</v>
      </c>
      <c r="C102" s="845"/>
      <c r="D102" s="845"/>
      <c r="E102" s="845"/>
      <c r="F102" s="845"/>
    </row>
    <row r="103" spans="1:7">
      <c r="B103" s="844" t="s">
        <v>124</v>
      </c>
      <c r="C103" s="845"/>
      <c r="D103" s="845"/>
      <c r="E103" s="845"/>
      <c r="F103" s="845"/>
    </row>
    <row r="104" spans="1:7">
      <c r="B104" s="1236" t="s">
        <v>125</v>
      </c>
      <c r="C104" s="1236"/>
      <c r="D104" s="1236"/>
      <c r="E104" s="1236"/>
      <c r="F104" s="1236"/>
      <c r="G104" s="1236"/>
    </row>
    <row r="105" spans="1:7">
      <c r="B105" s="844" t="s">
        <v>126</v>
      </c>
      <c r="C105" s="1099"/>
      <c r="D105" s="1099"/>
      <c r="E105" s="1099"/>
      <c r="F105" s="1099"/>
    </row>
    <row r="106" spans="1:7">
      <c r="B106" s="844" t="s">
        <v>127</v>
      </c>
      <c r="C106" s="845"/>
      <c r="D106" s="845"/>
      <c r="E106" s="845"/>
      <c r="F106" s="845"/>
    </row>
    <row r="107" spans="1:7">
      <c r="A107" s="1100"/>
      <c r="B107" s="844" t="s">
        <v>128</v>
      </c>
      <c r="C107" s="845"/>
      <c r="D107" s="845"/>
      <c r="E107" s="845"/>
      <c r="F107" s="845"/>
    </row>
    <row r="108" spans="1:7">
      <c r="B108" s="1237" t="s">
        <v>129</v>
      </c>
      <c r="C108" s="1237"/>
      <c r="D108" s="1237"/>
      <c r="E108" s="1237"/>
      <c r="F108" s="1237"/>
      <c r="G108" s="1237"/>
    </row>
    <row r="109" spans="1:7">
      <c r="B109" s="1237" t="s">
        <v>130</v>
      </c>
      <c r="C109" s="1237"/>
      <c r="D109" s="1237"/>
      <c r="E109" s="1237"/>
      <c r="F109" s="1237"/>
      <c r="G109" s="1237"/>
    </row>
    <row r="110" spans="1:7">
      <c r="B110" s="1237" t="s">
        <v>131</v>
      </c>
      <c r="C110" s="1237"/>
      <c r="D110" s="1237"/>
      <c r="E110" s="1237"/>
      <c r="F110" s="1237"/>
      <c r="G110" s="1237"/>
    </row>
    <row r="111" spans="1:7">
      <c r="B111" s="1237" t="s">
        <v>132</v>
      </c>
      <c r="C111" s="1237"/>
      <c r="D111" s="1237"/>
      <c r="E111" s="1237"/>
      <c r="F111" s="1237"/>
      <c r="G111" s="1237"/>
    </row>
    <row r="112" spans="1:7">
      <c r="B112" s="844" t="s">
        <v>133</v>
      </c>
    </row>
    <row r="113" spans="2:7">
      <c r="B113" s="844" t="s">
        <v>134</v>
      </c>
    </row>
    <row r="114" spans="2:7">
      <c r="B114" s="1238" t="s">
        <v>135</v>
      </c>
      <c r="C114" s="1238"/>
      <c r="D114" s="1238"/>
      <c r="E114" s="1238"/>
      <c r="F114" s="1238"/>
    </row>
    <row r="115" spans="2:7">
      <c r="B115" s="1237" t="s">
        <v>136</v>
      </c>
      <c r="C115" s="1237"/>
      <c r="D115" s="1237"/>
      <c r="E115" s="1237"/>
      <c r="F115" s="1237"/>
      <c r="G115" s="1237"/>
    </row>
    <row r="116" spans="2:7">
      <c r="B116" s="844" t="s">
        <v>137</v>
      </c>
    </row>
    <row r="117" spans="2:7">
      <c r="B117" s="844" t="s">
        <v>138</v>
      </c>
    </row>
    <row r="118" spans="2:7">
      <c r="B118" s="844" t="s">
        <v>139</v>
      </c>
    </row>
    <row r="119" spans="2:7">
      <c r="B119" s="844" t="s">
        <v>140</v>
      </c>
    </row>
    <row r="120" spans="2:7">
      <c r="B120" s="844" t="s">
        <v>141</v>
      </c>
    </row>
    <row r="121" spans="2:7">
      <c r="B121" s="844" t="s">
        <v>142</v>
      </c>
    </row>
    <row r="122" spans="2:7">
      <c r="B122" s="844" t="s">
        <v>143</v>
      </c>
    </row>
    <row r="123" spans="2:7" s="846" customFormat="1" ht="24.75" customHeight="1">
      <c r="B123" s="1234" t="s">
        <v>144</v>
      </c>
      <c r="C123" s="1234"/>
      <c r="D123" s="1234"/>
      <c r="E123" s="1234"/>
      <c r="F123" s="1234"/>
      <c r="G123" s="1234"/>
    </row>
  </sheetData>
  <mergeCells count="59">
    <mergeCell ref="F94:G94"/>
    <mergeCell ref="B91:D91"/>
    <mergeCell ref="F86:G86"/>
    <mergeCell ref="B90:D90"/>
    <mergeCell ref="B123:G123"/>
    <mergeCell ref="B96:F96"/>
    <mergeCell ref="B98:G98"/>
    <mergeCell ref="B104:G104"/>
    <mergeCell ref="B108:G108"/>
    <mergeCell ref="B109:G109"/>
    <mergeCell ref="B110:G110"/>
    <mergeCell ref="B111:G111"/>
    <mergeCell ref="B114:F114"/>
    <mergeCell ref="B115:G115"/>
    <mergeCell ref="H63:M63"/>
    <mergeCell ref="B88:D88"/>
    <mergeCell ref="B89:D89"/>
    <mergeCell ref="B77:C77"/>
    <mergeCell ref="B76:C76"/>
    <mergeCell ref="E74:G74"/>
    <mergeCell ref="E68:F68"/>
    <mergeCell ref="B81:G81"/>
    <mergeCell ref="C82:G82"/>
    <mergeCell ref="C83:G83"/>
    <mergeCell ref="C84:G84"/>
    <mergeCell ref="C85:G85"/>
    <mergeCell ref="E75:G75"/>
    <mergeCell ref="E76:G76"/>
    <mergeCell ref="B75:C75"/>
    <mergeCell ref="E64:F64"/>
    <mergeCell ref="H4:H9"/>
    <mergeCell ref="B47:G47"/>
    <mergeCell ref="C9:D9"/>
    <mergeCell ref="B10:G10"/>
    <mergeCell ref="B31:G31"/>
    <mergeCell ref="C38:G38"/>
    <mergeCell ref="B46:G46"/>
    <mergeCell ref="B36:G36"/>
    <mergeCell ref="B41:B42"/>
    <mergeCell ref="C39:G39"/>
    <mergeCell ref="F43:G44"/>
    <mergeCell ref="C40:G40"/>
    <mergeCell ref="C41:G41"/>
    <mergeCell ref="C42:G42"/>
    <mergeCell ref="F2:G2"/>
    <mergeCell ref="B2:E2"/>
    <mergeCell ref="E4:G9"/>
    <mergeCell ref="B3:D3"/>
    <mergeCell ref="E3:G3"/>
    <mergeCell ref="C5:D5"/>
    <mergeCell ref="C6:D6"/>
    <mergeCell ref="C7:D7"/>
    <mergeCell ref="C8:D8"/>
    <mergeCell ref="B58:G58"/>
    <mergeCell ref="B59:G59"/>
    <mergeCell ref="B61:G61"/>
    <mergeCell ref="F45:G45"/>
    <mergeCell ref="B63:C63"/>
    <mergeCell ref="E63:G63"/>
  </mergeCells>
  <conditionalFormatting sqref="C11:G16 C37:G39 C29:G30">
    <cfRule type="cellIs" dxfId="135" priority="63" operator="equal">
      <formula>0</formula>
    </cfRule>
  </conditionalFormatting>
  <conditionalFormatting sqref="C11:G42">
    <cfRule type="cellIs" dxfId="134" priority="7" operator="equal">
      <formula>0</formula>
    </cfRule>
  </conditionalFormatting>
  <conditionalFormatting sqref="C12:G16">
    <cfRule type="expression" priority="66">
      <formula>"&lt;&gt;$E$21"</formula>
    </cfRule>
    <cfRule type="containsText" dxfId="133" priority="64" operator="containsText" text="resident">
      <formula>NOT(ISERROR(SEARCH("resident",C12)))</formula>
    </cfRule>
    <cfRule type="containsText" dxfId="132" priority="65" operator="containsText" text="resident">
      <formula>NOT(ISERROR(SEARCH("resident",C12)))</formula>
    </cfRule>
  </conditionalFormatting>
  <conditionalFormatting sqref="C13:G13">
    <cfRule type="cellIs" dxfId="131" priority="68" operator="lessThan">
      <formula>0</formula>
    </cfRule>
    <cfRule type="containsText" dxfId="130" priority="67" operator="containsText" text="increases">
      <formula>NOT(ISERROR(SEARCH("increases",C13)))</formula>
    </cfRule>
  </conditionalFormatting>
  <conditionalFormatting sqref="C21:G22 C27:G27">
    <cfRule type="containsText" dxfId="129" priority="6" operator="containsText" text="NO">
      <formula>NOT(ISERROR(SEARCH("NO",C21)))</formula>
    </cfRule>
  </conditionalFormatting>
  <conditionalFormatting sqref="C23:G23">
    <cfRule type="containsText" dxfId="128" priority="33" operator="containsText" text="Not">
      <formula>NOT(ISERROR(SEARCH("Not",C23)))</formula>
    </cfRule>
  </conditionalFormatting>
  <conditionalFormatting sqref="C24:G24">
    <cfRule type="notContainsText" dxfId="127" priority="32" operator="notContains" text="High">
      <formula>ISERROR(SEARCH("High",C24))</formula>
    </cfRule>
  </conditionalFormatting>
  <conditionalFormatting sqref="C25:G25">
    <cfRule type="notContainsText" dxfId="126" priority="29" operator="notContains" text="Passive">
      <formula>ISERROR(SEARCH("Passive",C25))</formula>
    </cfRule>
  </conditionalFormatting>
  <conditionalFormatting sqref="C28:G30 C38:G39">
    <cfRule type="containsText" dxfId="125" priority="17" operator="containsText" text="No">
      <formula>NOT(ISERROR(SEARCH("No",C28)))</formula>
    </cfRule>
  </conditionalFormatting>
  <conditionalFormatting sqref="C29:G30 C38:G39 C48:G48">
    <cfRule type="containsErrors" dxfId="124" priority="73">
      <formula>ISERROR(C29)</formula>
    </cfRule>
  </conditionalFormatting>
  <conditionalFormatting sqref="C32:G35">
    <cfRule type="containsErrors" dxfId="123" priority="72">
      <formula>ISERROR(C32)</formula>
    </cfRule>
    <cfRule type="cellIs" dxfId="122" priority="8" operator="lessThan">
      <formula>0</formula>
    </cfRule>
    <cfRule type="containsText" dxfId="121" priority="9" operator="containsText" text="Not in Scope">
      <formula>NOT(ISERROR(SEARCH("Not in Scope",C32)))</formula>
    </cfRule>
  </conditionalFormatting>
  <conditionalFormatting sqref="C37:G37">
    <cfRule type="containsErrors" dxfId="120" priority="71">
      <formula>ISERROR(C37)</formula>
    </cfRule>
    <cfRule type="expression" dxfId="119" priority="70">
      <formula>ISNA(#REF!)</formula>
    </cfRule>
    <cfRule type="containsText" dxfId="118" priority="34" operator="containsText" text="Revise">
      <formula>NOT(ISERROR(SEARCH("Revise",C37)))</formula>
    </cfRule>
    <cfRule type="cellIs" dxfId="117" priority="35" operator="lessThan">
      <formula>0</formula>
    </cfRule>
  </conditionalFormatting>
  <conditionalFormatting sqref="C49:G49">
    <cfRule type="cellIs" dxfId="116" priority="18" operator="equal">
      <formula>0</formula>
    </cfRule>
    <cfRule type="containsText" dxfId="115" priority="49" operator="containsText" text="resident">
      <formula>NOT(ISERROR(SEARCH("resident",C49)))</formula>
    </cfRule>
    <cfRule type="containsText" dxfId="114" priority="48" operator="containsText" text="resident">
      <formula>NOT(ISERROR(SEARCH("resident",C49)))</formula>
    </cfRule>
    <cfRule type="cellIs" dxfId="113" priority="47" operator="equal">
      <formula>0</formula>
    </cfRule>
    <cfRule type="containsText" dxfId="112" priority="46" operator="containsText" text="resident">
      <formula>NOT(ISERROR(SEARCH("resident",C49)))</formula>
    </cfRule>
    <cfRule type="containsText" dxfId="111" priority="45" operator="containsText" text="resident">
      <formula>NOT(ISERROR(SEARCH("resident",C49)))</formula>
    </cfRule>
  </conditionalFormatting>
  <conditionalFormatting sqref="C49:G50">
    <cfRule type="containsText" dxfId="110" priority="57" operator="containsText" text="resident">
      <formula>NOT(ISERROR(SEARCH("resident",C49)))</formula>
    </cfRule>
    <cfRule type="containsText" dxfId="109" priority="56" operator="containsText" text="resident">
      <formula>NOT(ISERROR(SEARCH("resident",C49)))</formula>
    </cfRule>
  </conditionalFormatting>
  <conditionalFormatting sqref="C49:G57 C37:G37">
    <cfRule type="containsErrors" dxfId="108" priority="44">
      <formula>ISERROR(C37)</formula>
    </cfRule>
  </conditionalFormatting>
  <conditionalFormatting sqref="C50:G50">
    <cfRule type="containsText" dxfId="107" priority="52" operator="containsText" text="Not in Scope">
      <formula>NOT(ISERROR(SEARCH("Not in Scope",C50)))</formula>
    </cfRule>
    <cfRule type="containsText" dxfId="106" priority="53" operator="containsText" text="resident">
      <formula>NOT(ISERROR(SEARCH("resident",C50)))</formula>
    </cfRule>
    <cfRule type="containsText" dxfId="105" priority="54" operator="containsText" text="resident">
      <formula>NOT(ISERROR(SEARCH("resident",C50)))</formula>
    </cfRule>
    <cfRule type="cellIs" dxfId="104" priority="55" operator="equal">
      <formula>0</formula>
    </cfRule>
  </conditionalFormatting>
  <conditionalFormatting sqref="C51:G51">
    <cfRule type="expression" dxfId="103" priority="40">
      <formula>AND(ISNUMBER(SEARCH("Rental", C12)), ISNUMBER(SEARCH("Resident", C51)))</formula>
    </cfRule>
    <cfRule type="containsText" dxfId="102" priority="51" operator="containsText" text="N/A">
      <formula>NOT(ISERROR(SEARCH("N/A",C51)))</formula>
    </cfRule>
  </conditionalFormatting>
  <conditionalFormatting sqref="C52:G53">
    <cfRule type="cellIs" dxfId="101" priority="12" operator="equal">
      <formula>0</formula>
    </cfRule>
  </conditionalFormatting>
  <conditionalFormatting sqref="C53:G53">
    <cfRule type="containsText" dxfId="100" priority="60" operator="containsText" text="Not in Scope">
      <formula>NOT(ISERROR(SEARCH("Not in Scope",C53)))</formula>
    </cfRule>
  </conditionalFormatting>
  <conditionalFormatting sqref="C54:G54">
    <cfRule type="containsText" dxfId="99" priority="39" operator="containsText" text="N/A">
      <formula>NOT(ISERROR(SEARCH("N/A",C54)))</formula>
    </cfRule>
    <cfRule type="expression" dxfId="98" priority="36">
      <formula>AND(ISNUMBER(SEARCH("Rental", C12)), ISNUMBER(SEARCH("Resident", C54)))</formula>
    </cfRule>
  </conditionalFormatting>
  <conditionalFormatting sqref="C54:G57">
    <cfRule type="cellIs" dxfId="97" priority="61" operator="equal">
      <formula>0</formula>
    </cfRule>
  </conditionalFormatting>
  <conditionalFormatting sqref="C56:G56">
    <cfRule type="containsText" dxfId="96" priority="59" operator="containsText" text="Not in Scope">
      <formula>NOT(ISERROR(SEARCH("Not in Scope",C56)))</formula>
    </cfRule>
  </conditionalFormatting>
  <conditionalFormatting sqref="C57:G57">
    <cfRule type="containsText" dxfId="95" priority="30" operator="containsText" text="Owner">
      <formula>NOT(ISERROR(SEARCH("Owner",C57)))</formula>
    </cfRule>
    <cfRule type="containsText" dxfId="94" priority="58" operator="containsText" text="N/A">
      <formula>NOT(ISERROR(SEARCH("N/A",C57)))</formula>
    </cfRule>
  </conditionalFormatting>
  <conditionalFormatting sqref="D53">
    <cfRule type="cellIs" dxfId="93" priority="13" operator="equal">
      <formula>0</formula>
    </cfRule>
  </conditionalFormatting>
  <conditionalFormatting sqref="D54:G54">
    <cfRule type="expression" dxfId="92" priority="38">
      <formula>AND(ISNUMBER(SEARCH("Rental", D12)), ISNUMBER(SEARCH("+$F$52Resident", D54)))</formula>
    </cfRule>
    <cfRule type="containsText" dxfId="91" priority="37" operator="containsText" text="N/A">
      <formula>NOT(ISERROR(SEARCH("N/A",D54)))</formula>
    </cfRule>
  </conditionalFormatting>
  <conditionalFormatting sqref="E11:E12">
    <cfRule type="containsErrors" dxfId="90" priority="62">
      <formula>ISERROR(E11)</formula>
    </cfRule>
  </conditionalFormatting>
  <conditionalFormatting sqref="E52">
    <cfRule type="containsText" dxfId="89" priority="26" operator="containsText" text="resident">
      <formula>NOT(ISERROR(SEARCH("resident",E52)))</formula>
    </cfRule>
    <cfRule type="containsText" dxfId="88" priority="25" operator="containsText" text="resident">
      <formula>NOT(ISERROR(SEARCH("resident",E52)))</formula>
    </cfRule>
    <cfRule type="containsText" dxfId="87" priority="23" operator="containsText" text="resident">
      <formula>NOT(ISERROR(SEARCH("resident",E52)))</formula>
    </cfRule>
    <cfRule type="containsText" dxfId="86" priority="24" operator="containsText" text="resident">
      <formula>NOT(ISERROR(SEARCH("resident",E52)))</formula>
    </cfRule>
    <cfRule type="cellIs" dxfId="85" priority="22" operator="equal">
      <formula>0</formula>
    </cfRule>
    <cfRule type="containsText" dxfId="84" priority="21" operator="containsText" text="resident">
      <formula>NOT(ISERROR(SEARCH("resident",E52)))</formula>
    </cfRule>
    <cfRule type="containsText" dxfId="83" priority="20" operator="containsText" text="resident">
      <formula>NOT(ISERROR(SEARCH("resident",E52)))</formula>
    </cfRule>
  </conditionalFormatting>
  <conditionalFormatting sqref="G64:G73">
    <cfRule type="cellIs" dxfId="82" priority="1" operator="equal">
      <formula>0</formula>
    </cfRule>
    <cfRule type="containsErrors" dxfId="81" priority="2">
      <formula>ISERROR(G64)</formula>
    </cfRule>
  </conditionalFormatting>
  <dataValidations disablePrompts="1" count="1">
    <dataValidation type="list" allowBlank="1" showInputMessage="1" showErrorMessage="1" sqref="D4" xr:uid="{7243A259-0827-407E-9A71-F6A0A8C00059}">
      <formula1>"Application, TAP-Proposed Scope, PIOL, Revised PIOL, Final, Revised Final"</formula1>
    </dataValidation>
  </dataValidations>
  <hyperlinks>
    <hyperlink ref="B61:G61" r:id="rId1" display="Information about HPD's M&amp;O Standards and Utlity Allowances can be found here: HPD underwriting-electric-buildings.page" xr:uid="{71441914-CC2C-4F23-921A-C5C0E3E544FE}"/>
    <hyperlink ref="B61:C61" r:id="rId2" display="HPD underwriting-electric-high-performance-buildings.page" xr:uid="{45B15D10-E02E-491B-BD88-F87EBAB1CE4D}"/>
    <hyperlink ref="B61" r:id="rId3" display="Click here for information about HPD's Electric Heating Policy, M&amp;O Standards and Utility Allowances" xr:uid="{5D755454-C018-45E4-9454-0DED4580C64F}"/>
    <hyperlink ref="B89" r:id="rId4" display="HPD REDi webpage" xr:uid="{5F75DB52-4406-4A96-9D8D-EE92417F23C1}"/>
    <hyperlink ref="B90" r:id="rId5" display="FAQ-Selecting the Right Type of Heat Pump ---&gt;" xr:uid="{0A27C0B2-7BEA-49F8-8BBE-5A07885D5291}"/>
    <hyperlink ref="B92" r:id="rId6" display="https://www.nyc.gov/site/hpd/services-and-information/underwriting-electric-high-performance-buildings.page" xr:uid="{890BCF5A-4948-41D5-84AE-9786E62425DB}"/>
    <hyperlink ref="B93" r:id="rId7" display="https://www.nyc.gov/site/hpd/services-and-information/hpd-heating-policy.page" xr:uid="{7ABAB327-A76C-446C-B8F0-84E606DFE1FF}"/>
    <hyperlink ref="B94" r:id="rId8" xr:uid="{8C3CB026-7BD9-4A0A-A61E-032AEC3B346B}"/>
    <hyperlink ref="B91" r:id="rId9" xr:uid="{437191BC-DBC5-4F83-9AE9-8684FE9F8658}"/>
  </hyperlinks>
  <pageMargins left="0.7" right="0.7" top="0.75" bottom="0.75" header="0.3" footer="0.3"/>
  <pageSetup orientation="portrait" r:id="rId10"/>
  <headerFooter>
    <oddFooter>&amp;F</oddFooter>
  </headerFooter>
  <rowBreaks count="2" manualBreakCount="2">
    <brk id="46" min="1" max="6" man="1"/>
    <brk id="87" min="1" max="6" man="1"/>
  </rowBreaks>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C2FF-EAD4-4F07-970D-43FBF597FDC3}">
  <dimension ref="B2:P22"/>
  <sheetViews>
    <sheetView topLeftCell="A4" workbookViewId="0">
      <selection activeCell="L21" sqref="L21"/>
    </sheetView>
  </sheetViews>
  <sheetFormatPr defaultRowHeight="15"/>
  <cols>
    <col min="2" max="2" width="11.5703125" customWidth="1"/>
  </cols>
  <sheetData>
    <row r="2" spans="2:16">
      <c r="B2" s="1297" t="s">
        <v>1148</v>
      </c>
      <c r="C2" s="1297"/>
      <c r="D2" s="1297"/>
      <c r="E2" s="1297"/>
      <c r="F2" s="1297"/>
      <c r="G2" s="1297"/>
      <c r="H2" s="1297"/>
      <c r="I2" s="1297"/>
      <c r="J2" s="1297"/>
      <c r="K2" s="1297"/>
      <c r="L2" s="1297"/>
      <c r="M2" s="1297"/>
      <c r="N2" s="1297"/>
      <c r="O2" s="1297"/>
      <c r="P2" s="1297"/>
    </row>
    <row r="3" spans="2:16">
      <c r="B3" s="515"/>
      <c r="C3" s="516">
        <v>2024</v>
      </c>
      <c r="D3" s="516">
        <v>2023</v>
      </c>
      <c r="E3" s="516">
        <v>2022</v>
      </c>
      <c r="F3" s="516">
        <v>2021</v>
      </c>
      <c r="G3" s="516">
        <v>2020</v>
      </c>
      <c r="H3" s="516">
        <v>2019</v>
      </c>
      <c r="I3" s="516">
        <v>2018</v>
      </c>
      <c r="J3" s="516">
        <v>2017</v>
      </c>
      <c r="K3" s="516">
        <v>2016</v>
      </c>
      <c r="L3" s="516">
        <v>2015</v>
      </c>
      <c r="M3" s="516">
        <v>2014</v>
      </c>
      <c r="N3" s="516">
        <v>2013</v>
      </c>
      <c r="O3" s="516">
        <v>2012</v>
      </c>
      <c r="P3" s="517" t="s">
        <v>1149</v>
      </c>
    </row>
    <row r="4" spans="2:16">
      <c r="B4" s="518" t="s">
        <v>1150</v>
      </c>
      <c r="C4" s="519">
        <v>1006</v>
      </c>
      <c r="D4" s="519">
        <v>670</v>
      </c>
      <c r="E4" s="519">
        <v>1038</v>
      </c>
      <c r="F4" s="519">
        <v>868</v>
      </c>
      <c r="G4" s="519">
        <v>807</v>
      </c>
      <c r="H4" s="519">
        <v>984</v>
      </c>
      <c r="I4" s="519">
        <v>1037</v>
      </c>
      <c r="J4" s="519">
        <v>780</v>
      </c>
      <c r="K4" s="519">
        <v>903</v>
      </c>
      <c r="L4" s="519">
        <v>1086</v>
      </c>
      <c r="M4" s="519">
        <v>1123</v>
      </c>
      <c r="N4" s="519">
        <v>899</v>
      </c>
      <c r="O4" s="519">
        <v>846</v>
      </c>
      <c r="P4" s="520">
        <v>1008</v>
      </c>
    </row>
    <row r="5" spans="2:16">
      <c r="B5" s="518" t="s">
        <v>1151</v>
      </c>
      <c r="C5" s="519">
        <v>867</v>
      </c>
      <c r="D5" s="519">
        <v>678</v>
      </c>
      <c r="E5" s="519">
        <v>767</v>
      </c>
      <c r="F5" s="519">
        <v>835</v>
      </c>
      <c r="G5" s="519">
        <v>728</v>
      </c>
      <c r="H5" s="519">
        <v>812</v>
      </c>
      <c r="I5" s="519">
        <v>624</v>
      </c>
      <c r="J5" s="519">
        <v>614</v>
      </c>
      <c r="K5" s="519">
        <v>769</v>
      </c>
      <c r="L5" s="519">
        <v>1136</v>
      </c>
      <c r="M5" s="519">
        <v>938</v>
      </c>
      <c r="N5" s="519">
        <v>851</v>
      </c>
      <c r="O5" s="519">
        <v>680</v>
      </c>
      <c r="P5" s="520">
        <v>861</v>
      </c>
    </row>
    <row r="6" spans="2:16">
      <c r="B6" s="518" t="s">
        <v>1152</v>
      </c>
      <c r="C6" s="519">
        <v>697</v>
      </c>
      <c r="D6" s="519">
        <v>631</v>
      </c>
      <c r="E6" s="519">
        <v>625</v>
      </c>
      <c r="F6" s="519">
        <v>613</v>
      </c>
      <c r="G6" s="519">
        <v>527</v>
      </c>
      <c r="H6" s="519">
        <v>734</v>
      </c>
      <c r="I6" s="519">
        <v>745</v>
      </c>
      <c r="J6" s="519">
        <v>738</v>
      </c>
      <c r="K6" s="519">
        <v>499</v>
      </c>
      <c r="L6" s="519">
        <v>835</v>
      </c>
      <c r="M6" s="519">
        <v>866</v>
      </c>
      <c r="N6" s="519">
        <v>755</v>
      </c>
      <c r="O6" s="519">
        <v>438</v>
      </c>
      <c r="P6" s="520">
        <v>713</v>
      </c>
    </row>
    <row r="7" spans="2:16">
      <c r="B7" s="518" t="s">
        <v>1153</v>
      </c>
      <c r="C7" s="519">
        <v>353</v>
      </c>
      <c r="D7" s="519">
        <v>270</v>
      </c>
      <c r="E7" s="519">
        <v>375</v>
      </c>
      <c r="F7" s="519">
        <v>317</v>
      </c>
      <c r="G7" s="519">
        <v>428</v>
      </c>
      <c r="H7" s="519">
        <v>319</v>
      </c>
      <c r="I7" s="519">
        <v>468</v>
      </c>
      <c r="J7" s="519">
        <v>246</v>
      </c>
      <c r="K7" s="519">
        <v>357</v>
      </c>
      <c r="L7" s="519">
        <v>344</v>
      </c>
      <c r="M7" s="519">
        <v>412</v>
      </c>
      <c r="N7" s="519">
        <v>366</v>
      </c>
      <c r="O7" s="519">
        <v>294</v>
      </c>
      <c r="P7" s="520">
        <v>392</v>
      </c>
    </row>
    <row r="8" spans="2:16">
      <c r="B8" s="518" t="s">
        <v>1154</v>
      </c>
      <c r="C8" s="519">
        <v>86</v>
      </c>
      <c r="D8" s="519">
        <v>100</v>
      </c>
      <c r="E8" s="519">
        <v>100</v>
      </c>
      <c r="F8" s="519">
        <v>132</v>
      </c>
      <c r="G8" s="519">
        <v>173</v>
      </c>
      <c r="H8" s="519">
        <v>146</v>
      </c>
      <c r="I8" s="519">
        <v>57</v>
      </c>
      <c r="J8" s="519">
        <v>122</v>
      </c>
      <c r="K8" s="519">
        <v>145</v>
      </c>
      <c r="L8" s="519">
        <v>53</v>
      </c>
      <c r="M8" s="519">
        <v>88</v>
      </c>
      <c r="N8" s="519">
        <v>128</v>
      </c>
      <c r="O8" s="519">
        <v>69</v>
      </c>
      <c r="P8" s="520">
        <v>136</v>
      </c>
    </row>
    <row r="9" spans="2:16">
      <c r="B9" s="518" t="s">
        <v>1155</v>
      </c>
      <c r="C9" s="519">
        <v>0</v>
      </c>
      <c r="D9" s="519">
        <v>0</v>
      </c>
      <c r="E9" s="519">
        <v>2</v>
      </c>
      <c r="F9" s="519">
        <v>0</v>
      </c>
      <c r="G9" s="519">
        <v>2</v>
      </c>
      <c r="H9" s="519">
        <v>4</v>
      </c>
      <c r="I9" s="519">
        <v>8</v>
      </c>
      <c r="J9" s="519">
        <v>16</v>
      </c>
      <c r="K9" s="519">
        <v>2</v>
      </c>
      <c r="L9" s="519">
        <v>35</v>
      </c>
      <c r="M9" s="519">
        <v>0</v>
      </c>
      <c r="N9" s="519">
        <v>4</v>
      </c>
      <c r="O9" s="519">
        <v>11</v>
      </c>
      <c r="P9" s="520">
        <v>16</v>
      </c>
    </row>
    <row r="10" spans="2:16">
      <c r="B10" s="518" t="s">
        <v>1156</v>
      </c>
      <c r="C10" s="519">
        <v>0</v>
      </c>
      <c r="D10" s="519">
        <v>0</v>
      </c>
      <c r="E10" s="519">
        <v>0</v>
      </c>
      <c r="F10" s="519">
        <v>1</v>
      </c>
      <c r="G10" s="519">
        <v>0</v>
      </c>
      <c r="H10" s="519">
        <v>0</v>
      </c>
      <c r="I10" s="519">
        <v>0</v>
      </c>
      <c r="J10" s="519">
        <v>0</v>
      </c>
      <c r="K10" s="519">
        <v>0</v>
      </c>
      <c r="L10" s="519">
        <v>0</v>
      </c>
      <c r="M10" s="519">
        <v>0</v>
      </c>
      <c r="N10" s="519">
        <v>0</v>
      </c>
      <c r="O10" s="519">
        <v>0</v>
      </c>
      <c r="P10" s="520">
        <v>1</v>
      </c>
    </row>
    <row r="11" spans="2:16">
      <c r="B11" s="518" t="s">
        <v>1157</v>
      </c>
      <c r="C11" s="519">
        <v>0</v>
      </c>
      <c r="D11" s="519">
        <v>0</v>
      </c>
      <c r="E11" s="519">
        <v>0</v>
      </c>
      <c r="F11" s="519">
        <v>0</v>
      </c>
      <c r="G11" s="519">
        <v>0</v>
      </c>
      <c r="H11" s="519">
        <v>0</v>
      </c>
      <c r="I11" s="519">
        <v>0</v>
      </c>
      <c r="J11" s="519">
        <v>0</v>
      </c>
      <c r="K11" s="519">
        <v>0</v>
      </c>
      <c r="L11" s="519">
        <v>0</v>
      </c>
      <c r="M11" s="519">
        <v>0</v>
      </c>
      <c r="N11" s="519">
        <v>0</v>
      </c>
      <c r="O11" s="519">
        <v>0</v>
      </c>
      <c r="P11" s="520">
        <v>1</v>
      </c>
    </row>
    <row r="12" spans="2:16" ht="30">
      <c r="B12" s="518" t="s">
        <v>1158</v>
      </c>
      <c r="C12" s="519">
        <v>3</v>
      </c>
      <c r="D12" s="519">
        <v>3</v>
      </c>
      <c r="E12" s="519">
        <v>22</v>
      </c>
      <c r="F12" s="519">
        <v>4</v>
      </c>
      <c r="G12" s="519">
        <v>26</v>
      </c>
      <c r="H12" s="519">
        <v>3</v>
      </c>
      <c r="I12" s="519">
        <v>9</v>
      </c>
      <c r="J12" s="519">
        <v>10</v>
      </c>
      <c r="K12" s="519">
        <v>5</v>
      </c>
      <c r="L12" s="519">
        <v>3</v>
      </c>
      <c r="M12" s="519">
        <v>14</v>
      </c>
      <c r="N12" s="519">
        <v>31</v>
      </c>
      <c r="O12" s="519">
        <v>9</v>
      </c>
      <c r="P12" s="520">
        <v>40</v>
      </c>
    </row>
    <row r="13" spans="2:16">
      <c r="B13" s="518" t="s">
        <v>1159</v>
      </c>
      <c r="C13" s="519">
        <v>222</v>
      </c>
      <c r="D13" s="519">
        <v>222</v>
      </c>
      <c r="E13" s="519">
        <v>207</v>
      </c>
      <c r="F13" s="519">
        <v>79</v>
      </c>
      <c r="G13" s="519">
        <v>172</v>
      </c>
      <c r="H13" s="519">
        <v>152</v>
      </c>
      <c r="I13" s="519">
        <v>233</v>
      </c>
      <c r="J13" s="519">
        <v>76</v>
      </c>
      <c r="K13" s="519">
        <v>161</v>
      </c>
      <c r="L13" s="519">
        <v>217</v>
      </c>
      <c r="M13" s="519">
        <v>166</v>
      </c>
      <c r="N13" s="519">
        <v>172</v>
      </c>
      <c r="O13" s="519">
        <v>173</v>
      </c>
      <c r="P13" s="520">
        <v>249</v>
      </c>
    </row>
    <row r="14" spans="2:16">
      <c r="B14" s="518" t="s">
        <v>1160</v>
      </c>
      <c r="C14" s="519">
        <v>518</v>
      </c>
      <c r="D14" s="519">
        <v>518</v>
      </c>
      <c r="E14" s="519">
        <v>411</v>
      </c>
      <c r="F14" s="519">
        <v>487</v>
      </c>
      <c r="G14" s="519">
        <v>323</v>
      </c>
      <c r="H14" s="519">
        <v>607</v>
      </c>
      <c r="I14" s="519">
        <v>580</v>
      </c>
      <c r="J14" s="519">
        <v>505</v>
      </c>
      <c r="K14" s="519">
        <v>378</v>
      </c>
      <c r="L14" s="519">
        <v>352</v>
      </c>
      <c r="M14" s="519">
        <v>579</v>
      </c>
      <c r="N14" s="519">
        <v>577</v>
      </c>
      <c r="O14" s="519">
        <v>591</v>
      </c>
      <c r="P14" s="520">
        <v>524</v>
      </c>
    </row>
    <row r="15" spans="2:16">
      <c r="B15" s="518" t="s">
        <v>1161</v>
      </c>
      <c r="C15" s="519" t="s">
        <v>1162</v>
      </c>
      <c r="D15" s="519">
        <v>838</v>
      </c>
      <c r="E15" s="519">
        <v>805</v>
      </c>
      <c r="F15" s="519">
        <v>625</v>
      </c>
      <c r="G15" s="519">
        <v>744</v>
      </c>
      <c r="H15" s="519">
        <v>804</v>
      </c>
      <c r="I15" s="519">
        <v>750</v>
      </c>
      <c r="J15" s="519">
        <v>889</v>
      </c>
      <c r="K15" s="519">
        <v>759</v>
      </c>
      <c r="L15" s="519">
        <v>435</v>
      </c>
      <c r="M15" s="519">
        <v>752</v>
      </c>
      <c r="N15" s="519">
        <v>826</v>
      </c>
      <c r="O15" s="519">
        <v>681</v>
      </c>
      <c r="P15" s="520">
        <v>836</v>
      </c>
    </row>
    <row r="16" spans="2:16">
      <c r="B16" s="521" t="s">
        <v>1163</v>
      </c>
      <c r="C16" s="522">
        <v>3749</v>
      </c>
      <c r="D16" s="522">
        <v>3930</v>
      </c>
      <c r="E16" s="522">
        <v>4352</v>
      </c>
      <c r="F16" s="522">
        <v>3961</v>
      </c>
      <c r="G16" s="522">
        <v>3930</v>
      </c>
      <c r="H16" s="522">
        <v>4565</v>
      </c>
      <c r="I16" s="522">
        <v>4511</v>
      </c>
      <c r="J16" s="522">
        <v>3996</v>
      </c>
      <c r="K16" s="522">
        <v>3978</v>
      </c>
      <c r="L16" s="522">
        <v>4496</v>
      </c>
      <c r="M16" s="522">
        <v>4938</v>
      </c>
      <c r="N16" s="522">
        <v>4609</v>
      </c>
      <c r="O16" s="522">
        <v>3792</v>
      </c>
      <c r="P16" s="523">
        <v>4777</v>
      </c>
    </row>
    <row r="18" spans="2:5">
      <c r="B18" s="514" t="s">
        <v>1164</v>
      </c>
    </row>
    <row r="20" spans="2:5">
      <c r="B20" s="1" t="s">
        <v>1165</v>
      </c>
      <c r="C20" s="1"/>
      <c r="D20" s="1"/>
      <c r="E20" s="1">
        <f>AVERAGE(C16:G16)</f>
        <v>3984.4</v>
      </c>
    </row>
    <row r="21" spans="2:5">
      <c r="D21" s="1" t="s">
        <v>1166</v>
      </c>
      <c r="E21" s="1">
        <f>MIN($C$16:$P$16)</f>
        <v>3749</v>
      </c>
    </row>
    <row r="22" spans="2:5">
      <c r="D22" s="1" t="s">
        <v>1167</v>
      </c>
      <c r="E22" s="1">
        <f>MAX($C$16:$P$16)</f>
        <v>4938</v>
      </c>
    </row>
  </sheetData>
  <mergeCells count="1">
    <mergeCell ref="B2:P2"/>
  </mergeCells>
  <hyperlinks>
    <hyperlink ref="B18" r:id="rId1" xr:uid="{4C62DD8B-7906-4B7A-A9F3-1149FB8EFD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I46"/>
  <sheetViews>
    <sheetView topLeftCell="A25" workbookViewId="0">
      <selection activeCell="D52" sqref="D52"/>
    </sheetView>
  </sheetViews>
  <sheetFormatPr defaultRowHeight="15"/>
  <cols>
    <col min="1" max="1" width="14.85546875" customWidth="1"/>
    <col min="2" max="2" width="10.85546875" customWidth="1"/>
    <col min="3" max="3" width="31" style="355" customWidth="1"/>
    <col min="4" max="4" width="28" customWidth="1"/>
    <col min="5" max="5" width="48" customWidth="1"/>
    <col min="8" max="8" width="9.85546875" bestFit="1" customWidth="1"/>
    <col min="9" max="9" width="12.85546875" customWidth="1"/>
  </cols>
  <sheetData>
    <row r="2" spans="1:5">
      <c r="B2" s="357" t="s">
        <v>1168</v>
      </c>
      <c r="C2" s="357" t="s">
        <v>1168</v>
      </c>
      <c r="D2" s="357" t="s">
        <v>1169</v>
      </c>
      <c r="E2" s="358"/>
    </row>
    <row r="3" spans="1:5">
      <c r="B3" s="365" t="s">
        <v>1170</v>
      </c>
      <c r="C3" s="356"/>
      <c r="D3" s="354"/>
      <c r="E3" s="354"/>
    </row>
    <row r="4" spans="1:5">
      <c r="B4" s="354"/>
      <c r="C4" s="356"/>
      <c r="D4" s="354"/>
      <c r="E4" s="354"/>
    </row>
    <row r="5" spans="1:5">
      <c r="B5" s="367" t="s">
        <v>443</v>
      </c>
      <c r="D5" s="368"/>
      <c r="E5" s="354" t="s">
        <v>1171</v>
      </c>
    </row>
    <row r="6" spans="1:5">
      <c r="B6" s="354"/>
      <c r="C6" s="367">
        <v>2.75</v>
      </c>
      <c r="D6" s="368" t="s">
        <v>1172</v>
      </c>
      <c r="E6" s="354" t="s">
        <v>1173</v>
      </c>
    </row>
    <row r="7" spans="1:5">
      <c r="A7" t="s">
        <v>1174</v>
      </c>
      <c r="B7" s="354"/>
      <c r="C7" s="367">
        <v>2.75</v>
      </c>
      <c r="D7" s="368" t="s">
        <v>1175</v>
      </c>
      <c r="E7" s="354" t="s">
        <v>1173</v>
      </c>
    </row>
    <row r="8" spans="1:5">
      <c r="B8" s="354"/>
      <c r="C8" s="367">
        <v>5.5</v>
      </c>
      <c r="D8" s="368" t="s">
        <v>1176</v>
      </c>
      <c r="E8" s="354" t="s">
        <v>1177</v>
      </c>
    </row>
    <row r="9" spans="1:5">
      <c r="A9" t="s">
        <v>1178</v>
      </c>
      <c r="B9" s="367" t="s">
        <v>1179</v>
      </c>
      <c r="D9" s="368"/>
      <c r="E9" s="354" t="s">
        <v>1180</v>
      </c>
    </row>
    <row r="10" spans="1:5">
      <c r="B10" s="354"/>
      <c r="C10" s="367" t="s">
        <v>1181</v>
      </c>
      <c r="D10" s="368"/>
      <c r="E10" s="354"/>
    </row>
    <row r="11" spans="1:5">
      <c r="B11" s="354"/>
      <c r="C11" s="422" t="s">
        <v>1182</v>
      </c>
      <c r="D11" s="423">
        <v>2400</v>
      </c>
      <c r="E11" s="354"/>
    </row>
    <row r="12" spans="1:5">
      <c r="B12" s="354"/>
      <c r="C12" s="369" t="s">
        <v>1183</v>
      </c>
      <c r="D12" s="423">
        <v>24000</v>
      </c>
      <c r="E12" s="354"/>
    </row>
    <row r="13" spans="1:5">
      <c r="B13" s="354"/>
      <c r="C13" s="369" t="s">
        <v>1184</v>
      </c>
      <c r="D13" s="423">
        <v>0</v>
      </c>
      <c r="E13" s="354" t="s">
        <v>1185</v>
      </c>
    </row>
    <row r="14" spans="1:5" ht="27">
      <c r="B14" s="354"/>
      <c r="C14" s="369" t="s">
        <v>1186</v>
      </c>
      <c r="D14" s="423">
        <v>2500</v>
      </c>
      <c r="E14" s="354" t="s">
        <v>1187</v>
      </c>
    </row>
    <row r="15" spans="1:5" ht="27">
      <c r="B15" s="354"/>
      <c r="C15" s="370" t="s">
        <v>1188</v>
      </c>
      <c r="D15" s="423">
        <v>2500</v>
      </c>
      <c r="E15" s="354" t="s">
        <v>1189</v>
      </c>
    </row>
    <row r="16" spans="1:5">
      <c r="B16" s="354"/>
      <c r="C16" s="369" t="s">
        <v>1190</v>
      </c>
      <c r="D16" s="423">
        <v>3600</v>
      </c>
      <c r="E16" s="354"/>
    </row>
    <row r="17" spans="1:5" ht="15.75" thickBot="1">
      <c r="B17" s="354"/>
      <c r="C17" s="370" t="s">
        <v>1191</v>
      </c>
      <c r="D17" s="423">
        <v>0</v>
      </c>
      <c r="E17" s="354" t="s">
        <v>1185</v>
      </c>
    </row>
    <row r="20" spans="1:5">
      <c r="A20" t="s">
        <v>1178</v>
      </c>
      <c r="B20" t="s">
        <v>1192</v>
      </c>
      <c r="C20" s="355" t="s">
        <v>1193</v>
      </c>
    </row>
    <row r="22" spans="1:5">
      <c r="A22" t="s">
        <v>1194</v>
      </c>
      <c r="B22" s="428" t="s">
        <v>1195</v>
      </c>
      <c r="C22" s="429"/>
      <c r="D22" s="428"/>
    </row>
    <row r="23" spans="1:5">
      <c r="B23" s="428"/>
      <c r="C23" s="429" t="s">
        <v>1196</v>
      </c>
      <c r="D23" s="430">
        <v>119</v>
      </c>
    </row>
    <row r="24" spans="1:5">
      <c r="B24" s="428"/>
      <c r="C24" s="429" t="s">
        <v>1197</v>
      </c>
      <c r="D24" s="430">
        <v>160</v>
      </c>
    </row>
    <row r="25" spans="1:5">
      <c r="B25" s="428"/>
      <c r="C25" s="429" t="s">
        <v>1198</v>
      </c>
      <c r="D25" s="430">
        <v>330</v>
      </c>
    </row>
    <row r="26" spans="1:5">
      <c r="B26" s="428" t="s">
        <v>1199</v>
      </c>
      <c r="C26" s="429"/>
      <c r="D26" s="430"/>
    </row>
    <row r="27" spans="1:5">
      <c r="B27" s="428"/>
      <c r="C27" s="429" t="s">
        <v>1196</v>
      </c>
      <c r="D27" s="430">
        <v>221</v>
      </c>
    </row>
    <row r="28" spans="1:5">
      <c r="B28" s="428"/>
      <c r="C28" s="429" t="s">
        <v>1197</v>
      </c>
      <c r="D28" s="430">
        <v>240</v>
      </c>
    </row>
    <row r="30" spans="1:5">
      <c r="A30" s="428" t="s">
        <v>1178</v>
      </c>
      <c r="B30" s="428" t="s">
        <v>1200</v>
      </c>
      <c r="C30" s="429"/>
      <c r="D30" s="428"/>
      <c r="E30" s="428"/>
    </row>
    <row r="31" spans="1:5">
      <c r="A31" s="428"/>
      <c r="B31" s="428"/>
      <c r="C31" s="429"/>
      <c r="D31" s="428"/>
      <c r="E31" s="428"/>
    </row>
    <row r="32" spans="1:5">
      <c r="A32" s="428" t="s">
        <v>1201</v>
      </c>
      <c r="B32" s="428" t="s">
        <v>1202</v>
      </c>
      <c r="C32" s="429"/>
      <c r="D32" s="428"/>
      <c r="E32" s="428"/>
    </row>
    <row r="33" spans="1:9">
      <c r="A33" s="428"/>
      <c r="B33" s="428"/>
      <c r="C33" s="429"/>
      <c r="D33" s="428"/>
      <c r="E33" s="428"/>
    </row>
    <row r="34" spans="1:9">
      <c r="A34" s="428" t="s">
        <v>1203</v>
      </c>
      <c r="B34" s="428" t="s">
        <v>1204</v>
      </c>
      <c r="C34" s="429"/>
      <c r="D34" s="428"/>
      <c r="E34" s="428"/>
    </row>
    <row r="35" spans="1:9">
      <c r="A35" s="428"/>
      <c r="B35" s="428" t="s">
        <v>1205</v>
      </c>
      <c r="C35" s="429"/>
      <c r="D35" s="428"/>
      <c r="E35" s="428"/>
    </row>
    <row r="36" spans="1:9">
      <c r="A36" s="428"/>
      <c r="B36" s="428"/>
      <c r="C36" s="429"/>
      <c r="D36" s="428"/>
      <c r="E36" s="428"/>
    </row>
    <row r="37" spans="1:9">
      <c r="A37" s="428" t="s">
        <v>1206</v>
      </c>
      <c r="B37" s="431" t="s">
        <v>1207</v>
      </c>
      <c r="C37" s="429"/>
      <c r="D37" s="428"/>
      <c r="E37" s="428"/>
    </row>
    <row r="39" spans="1:9">
      <c r="A39" t="s">
        <v>1208</v>
      </c>
      <c r="B39" t="s">
        <v>1209</v>
      </c>
    </row>
    <row r="41" spans="1:9">
      <c r="A41" s="1" t="s">
        <v>443</v>
      </c>
    </row>
    <row r="42" spans="1:9">
      <c r="B42" s="483" t="s">
        <v>1210</v>
      </c>
      <c r="C42" s="425"/>
      <c r="D42" s="24" t="s">
        <v>1211</v>
      </c>
      <c r="E42" s="24" t="s">
        <v>1212</v>
      </c>
      <c r="F42" s="498" t="s">
        <v>1213</v>
      </c>
      <c r="G42" s="485" t="s">
        <v>1037</v>
      </c>
      <c r="H42" s="485" t="s">
        <v>1214</v>
      </c>
      <c r="I42" s="1" t="s">
        <v>1215</v>
      </c>
    </row>
    <row r="43" spans="1:9">
      <c r="B43" s="482" t="s">
        <v>1216</v>
      </c>
      <c r="C43" s="166"/>
      <c r="D43" s="494" t="s">
        <v>1217</v>
      </c>
      <c r="E43" s="494"/>
      <c r="F43" s="499">
        <v>3</v>
      </c>
      <c r="G43" s="500">
        <f>F43*375</f>
        <v>1125</v>
      </c>
      <c r="H43" s="500">
        <f>F43*750</f>
        <v>2250</v>
      </c>
      <c r="I43" s="359">
        <f>F43*25000</f>
        <v>75000</v>
      </c>
    </row>
    <row r="44" spans="1:9">
      <c r="B44" s="482" t="s">
        <v>1218</v>
      </c>
      <c r="C44" s="166"/>
      <c r="D44" s="494" t="s">
        <v>1219</v>
      </c>
      <c r="E44" s="494"/>
      <c r="F44" s="499">
        <v>3</v>
      </c>
      <c r="G44" s="500">
        <f>F44*375</f>
        <v>1125</v>
      </c>
      <c r="H44" s="500">
        <f>F44*750</f>
        <v>2250</v>
      </c>
      <c r="I44" s="359">
        <f t="shared" ref="I44:I46" si="0">F44*25000</f>
        <v>75000</v>
      </c>
    </row>
    <row r="45" spans="1:9">
      <c r="B45" s="482" t="s">
        <v>1220</v>
      </c>
      <c r="C45" s="166"/>
      <c r="D45" s="494" t="s">
        <v>1221</v>
      </c>
      <c r="E45" s="494"/>
      <c r="F45" s="499">
        <v>3</v>
      </c>
      <c r="G45" s="500">
        <f>F45*375</f>
        <v>1125</v>
      </c>
      <c r="H45" s="500">
        <f>F45*750</f>
        <v>2250</v>
      </c>
      <c r="I45" s="359">
        <f t="shared" si="0"/>
        <v>75000</v>
      </c>
    </row>
    <row r="46" spans="1:9" ht="75">
      <c r="B46" s="496" t="s">
        <v>1222</v>
      </c>
      <c r="C46" s="166"/>
      <c r="D46" s="495" t="s">
        <v>1223</v>
      </c>
      <c r="E46" s="494"/>
      <c r="F46" s="499">
        <v>3</v>
      </c>
      <c r="G46" s="499">
        <f>F46*375</f>
        <v>1125</v>
      </c>
      <c r="H46" s="499">
        <f>F46*750</f>
        <v>2250</v>
      </c>
      <c r="I46" s="497">
        <f t="shared" si="0"/>
        <v>75000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X757"/>
  <sheetViews>
    <sheetView showGridLines="0" tabSelected="1" zoomScale="88" zoomScaleNormal="88" zoomScaleSheetLayoutView="85" workbookViewId="0">
      <pane xSplit="5" ySplit="13" topLeftCell="F14" activePane="bottomRight" state="frozen"/>
      <selection pane="topRight" activeCell="D1" sqref="D1"/>
      <selection pane="bottomLeft" activeCell="A3" sqref="A3"/>
      <selection pane="bottomRight" activeCell="I62" sqref="I62"/>
    </sheetView>
  </sheetViews>
  <sheetFormatPr defaultColWidth="9.140625" defaultRowHeight="15"/>
  <cols>
    <col min="1" max="1" width="7.140625" style="206" hidden="1" customWidth="1"/>
    <col min="2" max="2" width="6.140625" style="906" hidden="1" customWidth="1"/>
    <col min="3" max="3" width="37.140625" style="207" customWidth="1"/>
    <col min="4" max="4" width="24.7109375" style="33" customWidth="1"/>
    <col min="5" max="5" width="1" style="33" customWidth="1"/>
    <col min="6" max="6" width="22.42578125" style="33" customWidth="1"/>
    <col min="7" max="15" width="20.7109375" style="33" customWidth="1"/>
    <col min="16" max="16" width="1.5703125" style="33" customWidth="1"/>
    <col min="17" max="17" width="24.7109375" style="277" hidden="1" customWidth="1"/>
    <col min="18" max="18" width="1.42578125" style="277" hidden="1" customWidth="1"/>
    <col min="19" max="20" width="19.42578125" style="33" hidden="1" customWidth="1"/>
    <col min="21" max="21" width="19.7109375" style="33" hidden="1" customWidth="1"/>
    <col min="22" max="16384" width="9.140625" style="33"/>
  </cols>
  <sheetData>
    <row r="1" spans="1:21" ht="16.899999999999999" customHeight="1">
      <c r="A1" s="80"/>
      <c r="B1" s="891" t="s">
        <v>145</v>
      </c>
      <c r="C1" s="1239" t="s">
        <v>146</v>
      </c>
      <c r="D1" s="1239"/>
      <c r="E1" s="29"/>
      <c r="F1" s="546">
        <f t="shared" ref="F1:O1" si="0">F21</f>
        <v>0</v>
      </c>
      <c r="G1" s="546">
        <f t="shared" si="0"/>
        <v>0</v>
      </c>
      <c r="H1" s="546">
        <f t="shared" si="0"/>
        <v>0</v>
      </c>
      <c r="I1" s="546">
        <f t="shared" si="0"/>
        <v>0</v>
      </c>
      <c r="J1" s="546">
        <f t="shared" si="0"/>
        <v>0</v>
      </c>
      <c r="K1" s="546">
        <f t="shared" si="0"/>
        <v>0</v>
      </c>
      <c r="L1" s="546">
        <f t="shared" si="0"/>
        <v>0</v>
      </c>
      <c r="M1" s="546">
        <f t="shared" si="0"/>
        <v>0</v>
      </c>
      <c r="N1" s="546">
        <f t="shared" si="0"/>
        <v>0</v>
      </c>
      <c r="O1" s="546">
        <f t="shared" si="0"/>
        <v>0</v>
      </c>
      <c r="P1" s="29"/>
      <c r="Q1" s="737" t="s">
        <v>147</v>
      </c>
      <c r="R1" s="29"/>
      <c r="S1" s="546" t="str">
        <f t="shared" ref="S1:U1" si="1">S21</f>
        <v>Example 1</v>
      </c>
      <c r="T1" s="546" t="str">
        <f t="shared" si="1"/>
        <v>Example 2</v>
      </c>
      <c r="U1" s="546" t="str">
        <f t="shared" si="1"/>
        <v>Example 3</v>
      </c>
    </row>
    <row r="2" spans="1:21" ht="16.899999999999999" customHeight="1">
      <c r="A2" s="80"/>
      <c r="B2" s="891" t="s">
        <v>148</v>
      </c>
      <c r="C2" s="343" t="s">
        <v>149</v>
      </c>
      <c r="D2" s="1112"/>
      <c r="E2" s="29"/>
      <c r="F2" s="1059" t="s">
        <v>150</v>
      </c>
      <c r="G2" s="546"/>
      <c r="H2" s="546"/>
      <c r="I2" s="546"/>
      <c r="J2" s="546"/>
      <c r="K2" s="546"/>
      <c r="L2" s="546"/>
      <c r="M2" s="546"/>
      <c r="N2" s="546"/>
      <c r="O2" s="546"/>
      <c r="P2" s="29"/>
      <c r="Q2" s="737"/>
      <c r="R2" s="29"/>
      <c r="S2" s="546"/>
      <c r="T2" s="546"/>
      <c r="U2" s="546"/>
    </row>
    <row r="3" spans="1:21" s="646" customFormat="1" ht="12" hidden="1" customHeight="1">
      <c r="A3" s="80"/>
      <c r="B3" s="648" t="s">
        <v>151</v>
      </c>
      <c r="C3" s="343" t="s">
        <v>152</v>
      </c>
      <c r="D3" s="613"/>
      <c r="E3" s="29"/>
      <c r="F3" s="651">
        <f>F45</f>
        <v>0</v>
      </c>
      <c r="G3" s="651">
        <f>G45</f>
        <v>0</v>
      </c>
      <c r="H3" s="651">
        <f t="shared" ref="H3:O3" si="2">H45</f>
        <v>0</v>
      </c>
      <c r="I3" s="651">
        <f t="shared" si="2"/>
        <v>0</v>
      </c>
      <c r="J3" s="651">
        <f t="shared" si="2"/>
        <v>0</v>
      </c>
      <c r="K3" s="651">
        <f t="shared" si="2"/>
        <v>0</v>
      </c>
      <c r="L3" s="651">
        <f t="shared" si="2"/>
        <v>0</v>
      </c>
      <c r="M3" s="651">
        <f t="shared" si="2"/>
        <v>0</v>
      </c>
      <c r="N3" s="651">
        <f t="shared" si="2"/>
        <v>0</v>
      </c>
      <c r="O3" s="651">
        <f t="shared" si="2"/>
        <v>0</v>
      </c>
      <c r="P3" s="645"/>
      <c r="Q3" s="733"/>
      <c r="R3" s="645"/>
      <c r="S3" s="651">
        <f>S45</f>
        <v>135</v>
      </c>
      <c r="T3" s="651">
        <f t="shared" ref="T3:U3" si="3">T45</f>
        <v>135</v>
      </c>
      <c r="U3" s="651">
        <f t="shared" si="3"/>
        <v>135</v>
      </c>
    </row>
    <row r="4" spans="1:21" ht="12" hidden="1" customHeight="1">
      <c r="A4" s="80"/>
      <c r="B4" s="233" t="s">
        <v>153</v>
      </c>
      <c r="C4" s="613"/>
      <c r="D4" s="613"/>
      <c r="E4" s="29"/>
      <c r="F4" s="547" t="str">
        <f t="shared" ref="F4:O4" si="4">IF(ISNUMBER(SEARCH("Heat Pump", F63)), 1, " ")</f>
        <v xml:space="preserve"> </v>
      </c>
      <c r="G4" s="547" t="str">
        <f>IF(ISNUMBER(SEARCH("Heat Pump", G63)), 1, " ")</f>
        <v xml:space="preserve"> </v>
      </c>
      <c r="H4" s="547" t="str">
        <f>IF(ISNUMBER(SEARCH("Heat Pump", H63)), 1, " ")</f>
        <v xml:space="preserve"> </v>
      </c>
      <c r="I4" s="547" t="str">
        <f t="shared" si="4"/>
        <v xml:space="preserve"> </v>
      </c>
      <c r="J4" s="547" t="str">
        <f t="shared" si="4"/>
        <v xml:space="preserve"> </v>
      </c>
      <c r="K4" s="547" t="str">
        <f t="shared" si="4"/>
        <v xml:space="preserve"> </v>
      </c>
      <c r="L4" s="547" t="str">
        <f t="shared" si="4"/>
        <v xml:space="preserve"> </v>
      </c>
      <c r="M4" s="547" t="str">
        <f t="shared" si="4"/>
        <v xml:space="preserve"> </v>
      </c>
      <c r="N4" s="547" t="str">
        <f t="shared" si="4"/>
        <v xml:space="preserve"> </v>
      </c>
      <c r="O4" s="547" t="str">
        <f t="shared" si="4"/>
        <v xml:space="preserve"> </v>
      </c>
      <c r="P4" s="29"/>
      <c r="Q4" s="733"/>
      <c r="R4" s="29"/>
      <c r="S4" s="547">
        <f t="shared" ref="S4" si="5">IF(ISNUMBER(SEARCH("Heat Pump", S63)), 1, " ")</f>
        <v>1</v>
      </c>
      <c r="T4" s="547">
        <f>IF(ISNUMBER(SEARCH("Heat Pump", T63)), 1, " ")</f>
        <v>1</v>
      </c>
      <c r="U4" s="547">
        <f>IF(ISNUMBER(SEARCH("Heat Pump", U63)), 1, " ")</f>
        <v>1</v>
      </c>
    </row>
    <row r="5" spans="1:21" ht="12" hidden="1" customHeight="1">
      <c r="A5" s="80"/>
      <c r="B5" s="233" t="s">
        <v>153</v>
      </c>
      <c r="C5" s="613"/>
      <c r="D5" s="613"/>
      <c r="E5" s="29"/>
      <c r="F5" s="547" t="str">
        <f t="shared" ref="F5:O5" si="6">IF(ISNUMBER(SEARCH("Heat Pump", F59)), 2, " ")</f>
        <v xml:space="preserve"> </v>
      </c>
      <c r="G5" s="547" t="str">
        <f t="shared" si="6"/>
        <v xml:space="preserve"> </v>
      </c>
      <c r="H5" s="547" t="str">
        <f>IF(ISNUMBER(SEARCH("Heat Pump", H59)), 2, " ")</f>
        <v xml:space="preserve"> </v>
      </c>
      <c r="I5" s="547" t="str">
        <f t="shared" si="6"/>
        <v xml:space="preserve"> </v>
      </c>
      <c r="J5" s="547" t="str">
        <f t="shared" si="6"/>
        <v xml:space="preserve"> </v>
      </c>
      <c r="K5" s="547" t="str">
        <f t="shared" si="6"/>
        <v xml:space="preserve"> </v>
      </c>
      <c r="L5" s="547" t="str">
        <f t="shared" si="6"/>
        <v xml:space="preserve"> </v>
      </c>
      <c r="M5" s="547" t="str">
        <f t="shared" si="6"/>
        <v xml:space="preserve"> </v>
      </c>
      <c r="N5" s="547" t="str">
        <f t="shared" si="6"/>
        <v xml:space="preserve"> </v>
      </c>
      <c r="O5" s="547" t="str">
        <f t="shared" si="6"/>
        <v xml:space="preserve"> </v>
      </c>
      <c r="P5" s="29"/>
      <c r="Q5" s="733"/>
      <c r="R5" s="29"/>
      <c r="S5" s="547">
        <f t="shared" ref="S5:T5" si="7">IF(ISNUMBER(SEARCH("Heat Pump", S59)), 2, " ")</f>
        <v>2</v>
      </c>
      <c r="T5" s="547">
        <f t="shared" si="7"/>
        <v>2</v>
      </c>
      <c r="U5" s="547">
        <f>IF(ISNUMBER(SEARCH("Heat Pump", U59)), 2, " ")</f>
        <v>2</v>
      </c>
    </row>
    <row r="6" spans="1:21" ht="12" hidden="1" customHeight="1">
      <c r="A6" s="80"/>
      <c r="B6" s="233" t="s">
        <v>153</v>
      </c>
      <c r="C6" s="613"/>
      <c r="D6" s="613"/>
      <c r="E6" s="29"/>
      <c r="F6" s="547" t="str">
        <f t="shared" ref="F6:O6" si="8">IF(OR(ISBLANK(F71), ISNUMBER(SEARCH("not", F71))), "", 3)</f>
        <v/>
      </c>
      <c r="G6" s="547" t="str">
        <f t="shared" si="8"/>
        <v/>
      </c>
      <c r="H6" s="547" t="str">
        <f t="shared" si="8"/>
        <v/>
      </c>
      <c r="I6" s="547" t="str">
        <f t="shared" si="8"/>
        <v/>
      </c>
      <c r="J6" s="547" t="str">
        <f t="shared" si="8"/>
        <v/>
      </c>
      <c r="K6" s="547" t="str">
        <f t="shared" si="8"/>
        <v/>
      </c>
      <c r="L6" s="547" t="str">
        <f t="shared" si="8"/>
        <v/>
      </c>
      <c r="M6" s="547" t="str">
        <f t="shared" si="8"/>
        <v/>
      </c>
      <c r="N6" s="547" t="str">
        <f t="shared" si="8"/>
        <v/>
      </c>
      <c r="O6" s="547" t="str">
        <f t="shared" si="8"/>
        <v/>
      </c>
      <c r="P6" s="29"/>
      <c r="Q6" s="733"/>
      <c r="R6" s="29"/>
      <c r="S6" s="547">
        <f t="shared" ref="S6:U6" si="9">IF(OR(ISBLANK(S71), ISNUMBER(SEARCH("not", S71))), "", 3)</f>
        <v>3</v>
      </c>
      <c r="T6" s="547">
        <f t="shared" si="9"/>
        <v>3</v>
      </c>
      <c r="U6" s="547">
        <f t="shared" si="9"/>
        <v>3</v>
      </c>
    </row>
    <row r="7" spans="1:21" s="409" customFormat="1" ht="12" hidden="1" customHeight="1">
      <c r="A7" s="80"/>
      <c r="B7" s="648" t="s">
        <v>151</v>
      </c>
      <c r="C7" s="343" t="s">
        <v>154</v>
      </c>
      <c r="D7" s="117"/>
      <c r="E7" s="29"/>
      <c r="F7" s="652" t="str">
        <f t="shared" ref="F7:O7" si="10">CONCATENATE("Scope: ", F4, " ", F5, " ", F6)</f>
        <v xml:space="preserve">Scope:     </v>
      </c>
      <c r="G7" s="652" t="str">
        <f t="shared" si="10"/>
        <v xml:space="preserve">Scope:     </v>
      </c>
      <c r="H7" s="652" t="str">
        <f t="shared" si="10"/>
        <v xml:space="preserve">Scope:     </v>
      </c>
      <c r="I7" s="652" t="str">
        <f t="shared" si="10"/>
        <v xml:space="preserve">Scope:     </v>
      </c>
      <c r="J7" s="652" t="str">
        <f t="shared" si="10"/>
        <v xml:space="preserve">Scope:     </v>
      </c>
      <c r="K7" s="652" t="str">
        <f t="shared" si="10"/>
        <v xml:space="preserve">Scope:     </v>
      </c>
      <c r="L7" s="652" t="str">
        <f t="shared" si="10"/>
        <v xml:space="preserve">Scope:     </v>
      </c>
      <c r="M7" s="652" t="str">
        <f t="shared" si="10"/>
        <v xml:space="preserve">Scope:     </v>
      </c>
      <c r="N7" s="652" t="str">
        <f t="shared" si="10"/>
        <v xml:space="preserve">Scope:     </v>
      </c>
      <c r="O7" s="652" t="str">
        <f t="shared" si="10"/>
        <v xml:space="preserve">Scope:     </v>
      </c>
      <c r="P7" s="645"/>
      <c r="Q7" s="729" t="s">
        <v>155</v>
      </c>
      <c r="R7" s="645"/>
      <c r="S7" s="652" t="str">
        <f t="shared" ref="S7:U7" si="11">CONCATENATE("Scope: ", S4, " ", S5, " ", S6)</f>
        <v>Scope: 1 2 3</v>
      </c>
      <c r="T7" s="652" t="str">
        <f t="shared" si="11"/>
        <v>Scope: 1 2 3</v>
      </c>
      <c r="U7" s="652" t="str">
        <f t="shared" si="11"/>
        <v>Scope: 1 2 3</v>
      </c>
    </row>
    <row r="8" spans="1:21" s="409" customFormat="1" ht="12" hidden="1" customHeight="1">
      <c r="A8" s="80"/>
      <c r="B8" s="648" t="s">
        <v>151</v>
      </c>
      <c r="C8" s="343" t="s">
        <v>17</v>
      </c>
      <c r="D8" s="117"/>
      <c r="E8" s="29"/>
      <c r="F8" s="760">
        <f>F25</f>
        <v>0</v>
      </c>
      <c r="G8" s="760">
        <f t="shared" ref="G8:O8" si="12">G25</f>
        <v>0</v>
      </c>
      <c r="H8" s="760">
        <f t="shared" si="12"/>
        <v>0</v>
      </c>
      <c r="I8" s="760">
        <f t="shared" si="12"/>
        <v>0</v>
      </c>
      <c r="J8" s="760">
        <f t="shared" si="12"/>
        <v>0</v>
      </c>
      <c r="K8" s="760">
        <f t="shared" si="12"/>
        <v>0</v>
      </c>
      <c r="L8" s="760">
        <f t="shared" si="12"/>
        <v>0</v>
      </c>
      <c r="M8" s="760">
        <f t="shared" si="12"/>
        <v>0</v>
      </c>
      <c r="N8" s="760">
        <f t="shared" si="12"/>
        <v>0</v>
      </c>
      <c r="O8" s="760">
        <f t="shared" si="12"/>
        <v>0</v>
      </c>
      <c r="P8" s="645"/>
      <c r="Q8" s="733"/>
      <c r="R8" s="645"/>
      <c r="S8" s="760" t="str">
        <f>S25</f>
        <v>Natural Gas</v>
      </c>
      <c r="T8" s="760" t="str">
        <f t="shared" ref="T8:U8" si="13">T25</f>
        <v>Natural Gas</v>
      </c>
      <c r="U8" s="760" t="str">
        <f t="shared" si="13"/>
        <v>Natural Gas</v>
      </c>
    </row>
    <row r="9" spans="1:21" s="409" customFormat="1" ht="12" hidden="1" customHeight="1">
      <c r="A9" s="80" t="s">
        <v>156</v>
      </c>
      <c r="B9" s="648" t="s">
        <v>151</v>
      </c>
      <c r="C9" s="343" t="s">
        <v>157</v>
      </c>
      <c r="D9" s="117"/>
      <c r="E9" s="29"/>
      <c r="F9" s="1132">
        <f t="shared" ref="F9:O9" si="14">F31</f>
        <v>0</v>
      </c>
      <c r="G9" s="1132">
        <f t="shared" si="14"/>
        <v>0</v>
      </c>
      <c r="H9" s="1132">
        <f t="shared" si="14"/>
        <v>0</v>
      </c>
      <c r="I9" s="1132">
        <f t="shared" si="14"/>
        <v>0</v>
      </c>
      <c r="J9" s="1132">
        <f t="shared" si="14"/>
        <v>0</v>
      </c>
      <c r="K9" s="1132">
        <f t="shared" si="14"/>
        <v>0</v>
      </c>
      <c r="L9" s="1132">
        <f t="shared" si="14"/>
        <v>0</v>
      </c>
      <c r="M9" s="1132">
        <f t="shared" si="14"/>
        <v>0</v>
      </c>
      <c r="N9" s="1132">
        <f t="shared" si="14"/>
        <v>0</v>
      </c>
      <c r="O9" s="1132">
        <f t="shared" si="14"/>
        <v>0</v>
      </c>
      <c r="P9" s="645"/>
      <c r="Q9" s="733"/>
      <c r="R9" s="645"/>
      <c r="S9" s="1132" t="str">
        <f>S31</f>
        <v>NGrid</v>
      </c>
      <c r="T9" s="1132" t="str">
        <f>T31</f>
        <v>ConEd</v>
      </c>
      <c r="U9" s="1132" t="str">
        <f>U31</f>
        <v>ConEd</v>
      </c>
    </row>
    <row r="10" spans="1:21" s="277" customFormat="1" ht="12" hidden="1" customHeight="1" thickBot="1">
      <c r="A10" s="647"/>
      <c r="B10" s="648" t="s">
        <v>151</v>
      </c>
      <c r="C10" s="343" t="s">
        <v>158</v>
      </c>
      <c r="D10" s="117"/>
      <c r="E10" s="29"/>
      <c r="F10" s="649" t="str">
        <f>F206</f>
        <v>Fund!</v>
      </c>
      <c r="G10" s="649" t="str">
        <f>G206</f>
        <v>Fund!</v>
      </c>
      <c r="H10" s="650" t="str">
        <f t="shared" ref="H10:O10" si="15">H206</f>
        <v>Fund!</v>
      </c>
      <c r="I10" s="650" t="str">
        <f t="shared" si="15"/>
        <v>Fund!</v>
      </c>
      <c r="J10" s="650" t="str">
        <f t="shared" si="15"/>
        <v>Fund!</v>
      </c>
      <c r="K10" s="650" t="str">
        <f t="shared" si="15"/>
        <v>Fund!</v>
      </c>
      <c r="L10" s="650" t="str">
        <f t="shared" si="15"/>
        <v>Fund!</v>
      </c>
      <c r="M10" s="650" t="str">
        <f t="shared" si="15"/>
        <v>Fund!</v>
      </c>
      <c r="N10" s="650" t="str">
        <f t="shared" si="15"/>
        <v>Fund!</v>
      </c>
      <c r="O10" s="650" t="str">
        <f t="shared" si="15"/>
        <v>Fund!</v>
      </c>
      <c r="P10" s="29"/>
      <c r="Q10" s="729" t="s">
        <v>159</v>
      </c>
      <c r="R10" s="29"/>
      <c r="S10" s="649" t="str">
        <f>S206</f>
        <v>Fund!</v>
      </c>
      <c r="T10" s="649" t="str">
        <f>T206</f>
        <v>Fund!</v>
      </c>
      <c r="U10" s="650" t="str">
        <f t="shared" ref="U10" si="16">U206</f>
        <v>Fund!</v>
      </c>
    </row>
    <row r="11" spans="1:21" ht="15.75" hidden="1" customHeight="1" thickBot="1">
      <c r="A11" s="137"/>
      <c r="B11" s="309" t="s">
        <v>151</v>
      </c>
      <c r="C11" s="609" t="s">
        <v>160</v>
      </c>
      <c r="D11" s="123"/>
      <c r="E11" s="71"/>
      <c r="F11" s="545" t="s">
        <v>161</v>
      </c>
      <c r="G11" s="545"/>
      <c r="H11" s="434"/>
      <c r="I11" s="434"/>
      <c r="J11" s="435"/>
      <c r="K11" s="435"/>
      <c r="L11" s="435"/>
      <c r="M11" s="435"/>
      <c r="N11" s="436"/>
      <c r="O11" s="436"/>
      <c r="P11" s="69"/>
      <c r="Q11" s="436"/>
      <c r="R11" s="69"/>
      <c r="S11" s="545" t="s">
        <v>161</v>
      </c>
      <c r="T11" s="545"/>
      <c r="U11" s="434"/>
    </row>
    <row r="12" spans="1:21" s="48" customFormat="1" ht="15.75">
      <c r="A12" s="80"/>
      <c r="B12" s="892" t="s">
        <v>162</v>
      </c>
      <c r="C12" s="211" t="s">
        <v>163</v>
      </c>
      <c r="D12" s="122" t="s">
        <v>164</v>
      </c>
      <c r="E12" s="77"/>
      <c r="F12" s="479" t="s">
        <v>165</v>
      </c>
      <c r="G12" s="92"/>
      <c r="H12" s="92"/>
      <c r="I12" s="92"/>
      <c r="J12" s="92"/>
      <c r="K12" s="92"/>
      <c r="L12" s="92"/>
      <c r="M12" s="92"/>
      <c r="N12" s="92"/>
      <c r="O12" s="92"/>
      <c r="P12" s="77"/>
      <c r="Q12" s="242" t="s">
        <v>166</v>
      </c>
      <c r="R12" s="77"/>
      <c r="S12" s="479" t="s">
        <v>167</v>
      </c>
      <c r="T12" s="92"/>
      <c r="U12" s="92"/>
    </row>
    <row r="13" spans="1:21" ht="15" hidden="1" customHeight="1">
      <c r="A13" s="137"/>
      <c r="B13" s="310" t="s">
        <v>153</v>
      </c>
      <c r="C13" s="61" t="s">
        <v>168</v>
      </c>
      <c r="D13" s="221" t="s">
        <v>169</v>
      </c>
      <c r="E13" s="30"/>
      <c r="F13" s="713"/>
      <c r="G13" s="723"/>
      <c r="H13" s="713"/>
      <c r="I13" s="713"/>
      <c r="J13" s="713"/>
      <c r="K13" s="109"/>
      <c r="L13" s="109"/>
      <c r="M13" s="109"/>
      <c r="N13" s="713"/>
      <c r="O13" s="713"/>
      <c r="P13" s="30"/>
      <c r="Q13" s="243"/>
      <c r="R13" s="30"/>
      <c r="S13" s="713"/>
      <c r="T13" s="723"/>
      <c r="U13" s="713"/>
    </row>
    <row r="14" spans="1:21" ht="50.25" customHeight="1">
      <c r="A14" s="137"/>
      <c r="B14" s="893" t="s">
        <v>148</v>
      </c>
      <c r="C14" s="35" t="s">
        <v>170</v>
      </c>
      <c r="D14" s="1148" t="s">
        <v>169</v>
      </c>
      <c r="E14" s="30"/>
      <c r="F14" s="713"/>
      <c r="G14" s="713"/>
      <c r="H14" s="713"/>
      <c r="I14" s="713"/>
      <c r="J14" s="713"/>
      <c r="K14" s="713"/>
      <c r="L14" s="109"/>
      <c r="M14" s="109"/>
      <c r="N14" s="713"/>
      <c r="O14" s="713"/>
      <c r="P14" s="30"/>
      <c r="Q14" s="243"/>
      <c r="R14" s="30"/>
      <c r="S14" s="713" t="s">
        <v>171</v>
      </c>
      <c r="T14" s="723" t="s">
        <v>172</v>
      </c>
      <c r="U14" s="713" t="s">
        <v>173</v>
      </c>
    </row>
    <row r="15" spans="1:21" ht="15" hidden="1" customHeight="1">
      <c r="A15" s="137"/>
      <c r="B15" s="310" t="s">
        <v>153</v>
      </c>
      <c r="C15" s="194" t="s">
        <v>174</v>
      </c>
      <c r="D15" s="73" t="s">
        <v>169</v>
      </c>
      <c r="E15" s="30"/>
      <c r="F15" s="713"/>
      <c r="G15" s="723"/>
      <c r="H15" s="713"/>
      <c r="I15" s="713"/>
      <c r="J15" s="713"/>
      <c r="K15" s="109"/>
      <c r="L15" s="109"/>
      <c r="M15" s="109"/>
      <c r="N15" s="713"/>
      <c r="O15" s="713"/>
      <c r="P15" s="30"/>
      <c r="Q15" s="244"/>
      <c r="R15" s="30"/>
      <c r="S15" s="713"/>
      <c r="T15" s="723"/>
      <c r="U15" s="713"/>
    </row>
    <row r="16" spans="1:21" ht="15" hidden="1" customHeight="1">
      <c r="A16" s="137"/>
      <c r="B16" s="310" t="s">
        <v>153</v>
      </c>
      <c r="C16" s="194" t="s">
        <v>175</v>
      </c>
      <c r="D16" s="73" t="s">
        <v>169</v>
      </c>
      <c r="E16" s="30"/>
      <c r="F16" s="713"/>
      <c r="G16" s="723"/>
      <c r="H16" s="713"/>
      <c r="I16" s="713"/>
      <c r="J16" s="713"/>
      <c r="K16" s="109"/>
      <c r="L16" s="109"/>
      <c r="M16" s="109"/>
      <c r="N16" s="713"/>
      <c r="O16" s="713"/>
      <c r="P16" s="30"/>
      <c r="Q16" s="244"/>
      <c r="R16" s="30"/>
      <c r="S16" s="713"/>
      <c r="T16" s="723"/>
      <c r="U16" s="713"/>
    </row>
    <row r="17" spans="1:21" ht="15" hidden="1" customHeight="1">
      <c r="A17" s="80"/>
      <c r="B17" s="310" t="s">
        <v>153</v>
      </c>
      <c r="C17" s="194" t="s">
        <v>176</v>
      </c>
      <c r="D17" s="73" t="s">
        <v>169</v>
      </c>
      <c r="E17" s="30"/>
      <c r="F17" s="713"/>
      <c r="G17" s="723"/>
      <c r="H17" s="713"/>
      <c r="I17" s="713"/>
      <c r="J17" s="713"/>
      <c r="K17" s="109"/>
      <c r="L17" s="109"/>
      <c r="M17" s="109"/>
      <c r="N17" s="713"/>
      <c r="O17" s="713"/>
      <c r="P17" s="30"/>
      <c r="Q17" s="244"/>
      <c r="R17" s="30"/>
      <c r="S17" s="713"/>
      <c r="T17" s="723"/>
      <c r="U17" s="713"/>
    </row>
    <row r="18" spans="1:21" ht="15" hidden="1" customHeight="1">
      <c r="A18" s="80"/>
      <c r="B18" s="310" t="s">
        <v>153</v>
      </c>
      <c r="C18" s="194" t="s">
        <v>177</v>
      </c>
      <c r="D18" s="73" t="s">
        <v>169</v>
      </c>
      <c r="E18" s="30"/>
      <c r="F18" s="713"/>
      <c r="G18" s="723"/>
      <c r="H18" s="713"/>
      <c r="I18" s="713"/>
      <c r="J18" s="713"/>
      <c r="K18" s="109"/>
      <c r="L18" s="109"/>
      <c r="M18" s="109"/>
      <c r="N18" s="713"/>
      <c r="O18" s="713"/>
      <c r="P18" s="30"/>
      <c r="Q18" s="244"/>
      <c r="R18" s="30"/>
      <c r="S18" s="713"/>
      <c r="T18" s="723"/>
      <c r="U18" s="713"/>
    </row>
    <row r="19" spans="1:21" ht="63" hidden="1" customHeight="1">
      <c r="A19" s="137"/>
      <c r="B19" s="310" t="s">
        <v>153</v>
      </c>
      <c r="C19" s="194" t="s">
        <v>11</v>
      </c>
      <c r="D19" s="73" t="s">
        <v>169</v>
      </c>
      <c r="E19" s="30"/>
      <c r="F19" s="713"/>
      <c r="G19" s="723"/>
      <c r="H19" s="713"/>
      <c r="I19" s="713"/>
      <c r="J19" s="713"/>
      <c r="K19" s="109"/>
      <c r="L19" s="109"/>
      <c r="M19" s="109"/>
      <c r="N19" s="713"/>
      <c r="O19" s="713"/>
      <c r="P19" s="30"/>
      <c r="Q19" s="243"/>
      <c r="R19" s="30"/>
      <c r="S19" s="713"/>
      <c r="T19" s="723"/>
      <c r="U19" s="713"/>
    </row>
    <row r="20" spans="1:21" ht="15.75" hidden="1">
      <c r="A20" s="80"/>
      <c r="B20" s="312"/>
      <c r="C20" s="211" t="s">
        <v>178</v>
      </c>
      <c r="D20" s="56" t="s">
        <v>164</v>
      </c>
      <c r="E20" s="77"/>
      <c r="F20" s="479" t="s">
        <v>167</v>
      </c>
      <c r="G20" s="32"/>
      <c r="H20" s="32" t="s">
        <v>179</v>
      </c>
      <c r="I20" s="32"/>
      <c r="J20" s="32"/>
      <c r="K20" s="32"/>
      <c r="L20" s="32"/>
      <c r="M20" s="106"/>
      <c r="N20" s="32"/>
      <c r="O20" s="32"/>
      <c r="P20" s="77"/>
      <c r="Q20" s="242" t="s">
        <v>166</v>
      </c>
      <c r="R20" s="77"/>
      <c r="S20" s="479" t="s">
        <v>167</v>
      </c>
      <c r="T20" s="32"/>
      <c r="U20" s="32" t="s">
        <v>179</v>
      </c>
    </row>
    <row r="21" spans="1:21">
      <c r="A21" s="137"/>
      <c r="B21" s="893" t="s">
        <v>148</v>
      </c>
      <c r="C21" s="35" t="s">
        <v>180</v>
      </c>
      <c r="D21" s="1148" t="s">
        <v>169</v>
      </c>
      <c r="E21" s="30"/>
      <c r="F21" s="713"/>
      <c r="G21" s="723"/>
      <c r="H21" s="723"/>
      <c r="I21" s="723"/>
      <c r="J21" s="713"/>
      <c r="K21" s="713"/>
      <c r="L21" s="109"/>
      <c r="M21" s="109"/>
      <c r="N21" s="723"/>
      <c r="O21" s="713"/>
      <c r="P21" s="30"/>
      <c r="Q21" s="243"/>
      <c r="R21" s="30"/>
      <c r="S21" s="713" t="s">
        <v>171</v>
      </c>
      <c r="T21" s="723" t="s">
        <v>172</v>
      </c>
      <c r="U21" s="713" t="s">
        <v>173</v>
      </c>
    </row>
    <row r="22" spans="1:21" hidden="1">
      <c r="A22" s="137"/>
      <c r="B22" s="311" t="s">
        <v>151</v>
      </c>
      <c r="C22" s="35" t="s">
        <v>181</v>
      </c>
      <c r="D22" s="73" t="s">
        <v>169</v>
      </c>
      <c r="E22" s="30"/>
      <c r="F22" s="724" t="s">
        <v>182</v>
      </c>
      <c r="G22" s="724" t="s">
        <v>182</v>
      </c>
      <c r="H22" s="724" t="s">
        <v>182</v>
      </c>
      <c r="I22" s="724"/>
      <c r="J22" s="713"/>
      <c r="K22" s="110"/>
      <c r="L22" s="110"/>
      <c r="M22" s="110"/>
      <c r="N22" s="724"/>
      <c r="O22" s="713"/>
      <c r="P22" s="30"/>
      <c r="Q22" s="243"/>
      <c r="R22" s="30"/>
      <c r="S22" s="724" t="s">
        <v>182</v>
      </c>
      <c r="T22" s="724" t="s">
        <v>182</v>
      </c>
      <c r="U22" s="724" t="s">
        <v>182</v>
      </c>
    </row>
    <row r="23" spans="1:21" ht="27">
      <c r="A23" s="137"/>
      <c r="B23" s="893" t="s">
        <v>148</v>
      </c>
      <c r="C23" s="35" t="s">
        <v>183</v>
      </c>
      <c r="D23" s="1148" t="s">
        <v>169</v>
      </c>
      <c r="E23" s="30"/>
      <c r="F23" s="713"/>
      <c r="G23" s="713"/>
      <c r="H23" s="713"/>
      <c r="I23" s="713"/>
      <c r="J23" s="713"/>
      <c r="K23" s="109"/>
      <c r="L23" s="109"/>
      <c r="M23" s="109"/>
      <c r="N23" s="713"/>
      <c r="O23" s="713"/>
      <c r="P23" s="30"/>
      <c r="Q23" s="244"/>
      <c r="R23" s="30"/>
      <c r="S23" s="713" t="s">
        <v>184</v>
      </c>
      <c r="T23" s="713" t="s">
        <v>184</v>
      </c>
      <c r="U23" s="713" t="s">
        <v>184</v>
      </c>
    </row>
    <row r="24" spans="1:21" hidden="1">
      <c r="A24" s="137"/>
      <c r="B24" s="893" t="s">
        <v>151</v>
      </c>
      <c r="C24" s="449" t="s">
        <v>185</v>
      </c>
      <c r="D24" s="73" t="s">
        <v>169</v>
      </c>
      <c r="E24" s="30"/>
      <c r="F24" s="713">
        <v>135</v>
      </c>
      <c r="G24" s="713">
        <v>135</v>
      </c>
      <c r="H24" s="713">
        <v>135</v>
      </c>
      <c r="I24" s="713"/>
      <c r="J24" s="713"/>
      <c r="K24" s="109"/>
      <c r="L24" s="109"/>
      <c r="M24" s="112"/>
      <c r="N24" s="713"/>
      <c r="O24" s="713"/>
      <c r="P24" s="30"/>
      <c r="Q24" s="244"/>
      <c r="R24" s="30"/>
      <c r="S24" s="713">
        <v>135</v>
      </c>
      <c r="T24" s="713">
        <v>135</v>
      </c>
      <c r="U24" s="713">
        <v>135</v>
      </c>
    </row>
    <row r="25" spans="1:21">
      <c r="A25" s="371"/>
      <c r="B25" s="893" t="s">
        <v>162</v>
      </c>
      <c r="C25" s="35" t="s">
        <v>186</v>
      </c>
      <c r="D25" s="1148" t="s">
        <v>169</v>
      </c>
      <c r="E25" s="30"/>
      <c r="F25" s="725"/>
      <c r="G25" s="725"/>
      <c r="H25" s="725"/>
      <c r="I25" s="725"/>
      <c r="J25" s="725"/>
      <c r="K25" s="725"/>
      <c r="L25" s="725"/>
      <c r="M25" s="725"/>
      <c r="N25" s="725"/>
      <c r="O25" s="725"/>
      <c r="P25" s="30"/>
      <c r="Q25" s="244"/>
      <c r="R25" s="30"/>
      <c r="S25" s="725" t="s">
        <v>187</v>
      </c>
      <c r="T25" s="725" t="s">
        <v>187</v>
      </c>
      <c r="U25" s="725" t="s">
        <v>187</v>
      </c>
    </row>
    <row r="26" spans="1:21" ht="24">
      <c r="A26" s="371"/>
      <c r="B26" s="893" t="s">
        <v>162</v>
      </c>
      <c r="C26" s="35" t="s">
        <v>188</v>
      </c>
      <c r="D26" s="1148" t="s">
        <v>189</v>
      </c>
      <c r="E26" s="30"/>
      <c r="F26" s="725"/>
      <c r="G26" s="725"/>
      <c r="H26" s="725"/>
      <c r="I26" s="725"/>
      <c r="J26" s="725"/>
      <c r="K26" s="159"/>
      <c r="L26" s="159"/>
      <c r="M26" s="159"/>
      <c r="N26" s="725"/>
      <c r="O26" s="159"/>
      <c r="P26" s="30"/>
      <c r="Q26" s="244"/>
      <c r="R26" s="30"/>
      <c r="S26" s="725" t="s">
        <v>190</v>
      </c>
      <c r="T26" s="725" t="s">
        <v>190</v>
      </c>
      <c r="U26" s="725" t="s">
        <v>190</v>
      </c>
    </row>
    <row r="27" spans="1:21">
      <c r="A27" s="371"/>
      <c r="B27" s="893" t="s">
        <v>162</v>
      </c>
      <c r="C27" s="35" t="s">
        <v>191</v>
      </c>
      <c r="D27" s="1148" t="s">
        <v>169</v>
      </c>
      <c r="E27" s="30"/>
      <c r="F27" s="724"/>
      <c r="G27" s="724"/>
      <c r="H27" s="724"/>
      <c r="I27" s="724"/>
      <c r="J27" s="724"/>
      <c r="K27" s="724"/>
      <c r="L27" s="724"/>
      <c r="M27" s="724"/>
      <c r="N27" s="724"/>
      <c r="O27" s="724"/>
      <c r="P27" s="30"/>
      <c r="Q27" s="244"/>
      <c r="R27" s="30"/>
      <c r="S27" s="724" t="s">
        <v>192</v>
      </c>
      <c r="T27" s="724" t="s">
        <v>192</v>
      </c>
      <c r="U27" s="724" t="s">
        <v>192</v>
      </c>
    </row>
    <row r="28" spans="1:21" ht="27" hidden="1">
      <c r="A28" s="80"/>
      <c r="B28" s="893" t="s">
        <v>151</v>
      </c>
      <c r="C28" s="35" t="s">
        <v>193</v>
      </c>
      <c r="D28" s="73" t="s">
        <v>169</v>
      </c>
      <c r="E28" s="30"/>
      <c r="F28" s="724" t="s">
        <v>194</v>
      </c>
      <c r="G28" s="724" t="s">
        <v>194</v>
      </c>
      <c r="H28" s="724" t="s">
        <v>194</v>
      </c>
      <c r="I28" s="724"/>
      <c r="J28" s="724"/>
      <c r="K28" s="724"/>
      <c r="L28" s="724"/>
      <c r="M28" s="724"/>
      <c r="N28" s="724"/>
      <c r="O28" s="724"/>
      <c r="P28" s="30"/>
      <c r="Q28" s="244"/>
      <c r="R28" s="30"/>
      <c r="S28" s="724" t="s">
        <v>194</v>
      </c>
      <c r="T28" s="724" t="s">
        <v>194</v>
      </c>
      <c r="U28" s="724" t="s">
        <v>194</v>
      </c>
    </row>
    <row r="29" spans="1:21" ht="27">
      <c r="A29" s="67"/>
      <c r="B29" s="335" t="s">
        <v>148</v>
      </c>
      <c r="C29" s="35" t="s">
        <v>195</v>
      </c>
      <c r="D29" s="1148" t="s">
        <v>169</v>
      </c>
      <c r="E29" s="30"/>
      <c r="F29" s="724"/>
      <c r="G29" s="724"/>
      <c r="H29" s="724"/>
      <c r="I29" s="724"/>
      <c r="J29" s="713"/>
      <c r="K29" s="724"/>
      <c r="L29" s="724"/>
      <c r="M29" s="724"/>
      <c r="N29" s="724"/>
      <c r="O29" s="724"/>
      <c r="P29" s="30"/>
      <c r="Q29" s="244"/>
      <c r="R29" s="30"/>
      <c r="S29" s="724" t="s">
        <v>196</v>
      </c>
      <c r="T29" s="724" t="s">
        <v>196</v>
      </c>
      <c r="U29" s="724" t="s">
        <v>196</v>
      </c>
    </row>
    <row r="30" spans="1:21" ht="27">
      <c r="A30" s="137"/>
      <c r="B30" s="335" t="s">
        <v>148</v>
      </c>
      <c r="C30" s="35" t="s">
        <v>197</v>
      </c>
      <c r="D30" s="1148" t="s">
        <v>169</v>
      </c>
      <c r="E30" s="30"/>
      <c r="F30" s="1019"/>
      <c r="G30" s="1019"/>
      <c r="H30" s="1019"/>
      <c r="I30" s="1019"/>
      <c r="J30" s="1019"/>
      <c r="K30" s="110"/>
      <c r="L30" s="110"/>
      <c r="M30" s="110"/>
      <c r="N30" s="724"/>
      <c r="O30" s="713"/>
      <c r="P30" s="30"/>
      <c r="Q30" s="244"/>
      <c r="R30" s="30"/>
      <c r="S30" s="1019" t="s">
        <v>198</v>
      </c>
      <c r="T30" s="1019" t="s">
        <v>198</v>
      </c>
      <c r="U30" s="1019" t="s">
        <v>198</v>
      </c>
    </row>
    <row r="31" spans="1:21" ht="27">
      <c r="A31" s="80"/>
      <c r="B31" s="335" t="s">
        <v>148</v>
      </c>
      <c r="C31" s="35" t="s">
        <v>199</v>
      </c>
      <c r="D31" s="1149" t="s">
        <v>169</v>
      </c>
      <c r="E31" s="30"/>
      <c r="F31" s="1019"/>
      <c r="G31" s="1019"/>
      <c r="H31" s="1019"/>
      <c r="I31" s="1019"/>
      <c r="J31" s="1019"/>
      <c r="K31" s="110"/>
      <c r="L31" s="110"/>
      <c r="M31" s="113"/>
      <c r="N31" s="724"/>
      <c r="O31" s="110"/>
      <c r="P31" s="30"/>
      <c r="Q31" s="244"/>
      <c r="R31" s="30"/>
      <c r="S31" s="1019" t="s">
        <v>200</v>
      </c>
      <c r="T31" s="1019" t="s">
        <v>198</v>
      </c>
      <c r="U31" s="1019" t="s">
        <v>198</v>
      </c>
    </row>
    <row r="32" spans="1:21" ht="27">
      <c r="A32" s="209"/>
      <c r="B32" s="893" t="s">
        <v>148</v>
      </c>
      <c r="C32" s="35" t="s">
        <v>201</v>
      </c>
      <c r="D32" s="1148" t="s">
        <v>169</v>
      </c>
      <c r="E32" s="30"/>
      <c r="F32" s="724"/>
      <c r="G32" s="724"/>
      <c r="H32" s="724"/>
      <c r="I32" s="724"/>
      <c r="J32" s="713"/>
      <c r="K32" s="110"/>
      <c r="L32" s="110"/>
      <c r="M32" s="113"/>
      <c r="N32" s="724"/>
      <c r="O32" s="713"/>
      <c r="P32" s="30"/>
      <c r="Q32" s="244"/>
      <c r="R32" s="30"/>
      <c r="S32" s="724" t="s">
        <v>202</v>
      </c>
      <c r="T32" s="724" t="s">
        <v>202</v>
      </c>
      <c r="U32" s="724" t="s">
        <v>202</v>
      </c>
    </row>
    <row r="33" spans="1:21" ht="27">
      <c r="A33" s="137"/>
      <c r="B33" s="893" t="s">
        <v>148</v>
      </c>
      <c r="C33" s="35" t="s">
        <v>203</v>
      </c>
      <c r="D33" s="1148" t="s">
        <v>169</v>
      </c>
      <c r="E33" s="30"/>
      <c r="F33" s="724"/>
      <c r="G33" s="724"/>
      <c r="H33" s="724"/>
      <c r="I33" s="724"/>
      <c r="J33" s="724"/>
      <c r="K33" s="724"/>
      <c r="L33" s="724"/>
      <c r="M33" s="724"/>
      <c r="N33" s="724"/>
      <c r="O33" s="724"/>
      <c r="P33" s="30"/>
      <c r="Q33" s="244"/>
      <c r="R33" s="30"/>
      <c r="S33" s="724" t="s">
        <v>204</v>
      </c>
      <c r="T33" s="724" t="s">
        <v>204</v>
      </c>
      <c r="U33" s="724" t="s">
        <v>204</v>
      </c>
    </row>
    <row r="34" spans="1:21" hidden="1">
      <c r="A34" s="67"/>
      <c r="B34" s="310" t="s">
        <v>151</v>
      </c>
      <c r="C34" s="35" t="s">
        <v>205</v>
      </c>
      <c r="D34" s="73" t="s">
        <v>169</v>
      </c>
      <c r="E34" s="30"/>
      <c r="F34" s="724" t="s">
        <v>206</v>
      </c>
      <c r="G34" s="724" t="s">
        <v>206</v>
      </c>
      <c r="H34" s="724" t="s">
        <v>206</v>
      </c>
      <c r="I34" s="724"/>
      <c r="J34" s="713"/>
      <c r="K34" s="110"/>
      <c r="L34" s="110"/>
      <c r="M34" s="110"/>
      <c r="N34" s="724"/>
      <c r="O34" s="713"/>
      <c r="P34" s="30"/>
      <c r="Q34" s="244"/>
      <c r="R34" s="30"/>
      <c r="S34" s="724" t="s">
        <v>206</v>
      </c>
      <c r="T34" s="724" t="s">
        <v>206</v>
      </c>
      <c r="U34" s="724" t="s">
        <v>206</v>
      </c>
    </row>
    <row r="35" spans="1:21" ht="30" hidden="1" customHeight="1">
      <c r="A35" s="67"/>
      <c r="B35" s="310" t="s">
        <v>151</v>
      </c>
      <c r="C35" s="54" t="s">
        <v>207</v>
      </c>
      <c r="D35" s="73" t="s">
        <v>169</v>
      </c>
      <c r="E35" s="30"/>
      <c r="F35" s="724" t="s">
        <v>208</v>
      </c>
      <c r="G35" s="724" t="s">
        <v>208</v>
      </c>
      <c r="H35" s="724" t="s">
        <v>208</v>
      </c>
      <c r="I35" s="724"/>
      <c r="J35" s="713"/>
      <c r="K35" s="110"/>
      <c r="L35" s="110"/>
      <c r="M35" s="110"/>
      <c r="N35" s="724"/>
      <c r="O35" s="713"/>
      <c r="P35" s="30"/>
      <c r="Q35" s="244"/>
      <c r="R35" s="30"/>
      <c r="S35" s="724" t="s">
        <v>208</v>
      </c>
      <c r="T35" s="724" t="s">
        <v>208</v>
      </c>
      <c r="U35" s="724" t="s">
        <v>208</v>
      </c>
    </row>
    <row r="36" spans="1:21" s="48" customFormat="1" ht="16.149999999999999" hidden="1" customHeight="1">
      <c r="A36" s="80"/>
      <c r="B36" s="312" t="s">
        <v>151</v>
      </c>
      <c r="C36" s="211" t="s">
        <v>209</v>
      </c>
      <c r="D36" s="56" t="s">
        <v>164</v>
      </c>
      <c r="E36" s="77"/>
      <c r="F36" s="479"/>
      <c r="G36" s="32"/>
      <c r="H36" s="32"/>
      <c r="I36" s="32"/>
      <c r="J36" s="32"/>
      <c r="K36" s="32"/>
      <c r="L36" s="32"/>
      <c r="M36" s="106"/>
      <c r="N36" s="32"/>
      <c r="O36" s="32"/>
      <c r="P36" s="77"/>
      <c r="Q36" s="242" t="s">
        <v>166</v>
      </c>
      <c r="R36" s="77"/>
      <c r="S36" s="479"/>
      <c r="T36" s="32"/>
      <c r="U36" s="32" t="s">
        <v>210</v>
      </c>
    </row>
    <row r="37" spans="1:21" hidden="1">
      <c r="A37" s="80"/>
      <c r="B37" s="311" t="s">
        <v>151</v>
      </c>
      <c r="C37" s="35" t="s">
        <v>211</v>
      </c>
      <c r="D37" s="221" t="s">
        <v>169</v>
      </c>
      <c r="E37" s="30"/>
      <c r="F37" s="713" t="s">
        <v>212</v>
      </c>
      <c r="G37" s="713" t="s">
        <v>212</v>
      </c>
      <c r="H37" s="713" t="s">
        <v>212</v>
      </c>
      <c r="I37" s="713"/>
      <c r="J37" s="232"/>
      <c r="K37" s="232"/>
      <c r="L37" s="232"/>
      <c r="M37" s="232"/>
      <c r="N37" s="713"/>
      <c r="O37" s="232"/>
      <c r="P37" s="30"/>
      <c r="Q37" s="243"/>
      <c r="R37" s="30"/>
      <c r="S37" s="713" t="s">
        <v>212</v>
      </c>
      <c r="T37" s="713" t="s">
        <v>212</v>
      </c>
      <c r="U37" s="713" t="s">
        <v>212</v>
      </c>
    </row>
    <row r="38" spans="1:21" ht="27" hidden="1">
      <c r="A38" s="80"/>
      <c r="B38" s="311" t="s">
        <v>151</v>
      </c>
      <c r="C38" s="480" t="s">
        <v>213</v>
      </c>
      <c r="D38" s="73" t="s">
        <v>169</v>
      </c>
      <c r="E38" s="30"/>
      <c r="F38" s="713" t="s">
        <v>210</v>
      </c>
      <c r="G38" s="723" t="s">
        <v>210</v>
      </c>
      <c r="H38" s="723" t="s">
        <v>210</v>
      </c>
      <c r="I38" s="723"/>
      <c r="J38" s="213"/>
      <c r="K38" s="213"/>
      <c r="L38" s="213"/>
      <c r="M38" s="213"/>
      <c r="N38" s="723"/>
      <c r="O38" s="213"/>
      <c r="P38" s="30"/>
      <c r="Q38" s="243"/>
      <c r="R38" s="30"/>
      <c r="S38" s="713" t="s">
        <v>210</v>
      </c>
      <c r="T38" s="723" t="s">
        <v>210</v>
      </c>
      <c r="U38" s="723" t="s">
        <v>210</v>
      </c>
    </row>
    <row r="39" spans="1:21" ht="40.5" hidden="1">
      <c r="A39" s="448"/>
      <c r="B39" s="311" t="s">
        <v>151</v>
      </c>
      <c r="C39" s="480" t="s">
        <v>214</v>
      </c>
      <c r="D39" s="73" t="s">
        <v>169</v>
      </c>
      <c r="E39" s="30"/>
      <c r="F39" s="713" t="s">
        <v>215</v>
      </c>
      <c r="G39" s="713" t="s">
        <v>215</v>
      </c>
      <c r="H39" s="713" t="s">
        <v>215</v>
      </c>
      <c r="I39" s="713"/>
      <c r="J39" s="110"/>
      <c r="K39" s="110"/>
      <c r="L39" s="110"/>
      <c r="M39" s="110"/>
      <c r="N39" s="713"/>
      <c r="O39" s="110"/>
      <c r="P39" s="30"/>
      <c r="Q39" s="243"/>
      <c r="R39" s="30"/>
      <c r="S39" s="713" t="s">
        <v>215</v>
      </c>
      <c r="T39" s="713" t="s">
        <v>215</v>
      </c>
      <c r="U39" s="713" t="s">
        <v>215</v>
      </c>
    </row>
    <row r="40" spans="1:21" ht="54" hidden="1">
      <c r="A40" s="80"/>
      <c r="B40" s="311" t="s">
        <v>151</v>
      </c>
      <c r="C40" s="35" t="s">
        <v>216</v>
      </c>
      <c r="D40" s="73" t="s">
        <v>217</v>
      </c>
      <c r="E40" s="30"/>
      <c r="F40" s="713" t="s">
        <v>218</v>
      </c>
      <c r="G40" s="713" t="s">
        <v>218</v>
      </c>
      <c r="H40" s="713" t="s">
        <v>218</v>
      </c>
      <c r="I40" s="713"/>
      <c r="J40" s="727"/>
      <c r="K40" s="727"/>
      <c r="L40" s="727"/>
      <c r="M40" s="727"/>
      <c r="N40" s="713"/>
      <c r="O40" s="727"/>
      <c r="P40" s="30"/>
      <c r="Q40" s="243"/>
      <c r="R40" s="30"/>
      <c r="S40" s="713" t="s">
        <v>218</v>
      </c>
      <c r="T40" s="713" t="s">
        <v>218</v>
      </c>
      <c r="U40" s="713" t="s">
        <v>218</v>
      </c>
    </row>
    <row r="41" spans="1:21" ht="27" hidden="1">
      <c r="A41" s="80"/>
      <c r="B41" s="311" t="s">
        <v>151</v>
      </c>
      <c r="C41" s="35" t="s">
        <v>219</v>
      </c>
      <c r="D41" s="73" t="s">
        <v>169</v>
      </c>
      <c r="E41" s="30"/>
      <c r="F41" s="713" t="s">
        <v>210</v>
      </c>
      <c r="G41" s="713" t="s">
        <v>210</v>
      </c>
      <c r="H41" s="713" t="s">
        <v>210</v>
      </c>
      <c r="I41" s="713"/>
      <c r="J41" s="213"/>
      <c r="K41" s="213"/>
      <c r="L41" s="213"/>
      <c r="M41" s="213"/>
      <c r="N41" s="713"/>
      <c r="O41" s="213"/>
      <c r="P41" s="30"/>
      <c r="Q41" s="243"/>
      <c r="R41" s="30"/>
      <c r="S41" s="713" t="s">
        <v>210</v>
      </c>
      <c r="T41" s="713" t="s">
        <v>210</v>
      </c>
      <c r="U41" s="713" t="s">
        <v>210</v>
      </c>
    </row>
    <row r="42" spans="1:21" hidden="1">
      <c r="A42" s="137"/>
      <c r="B42" s="311" t="s">
        <v>151</v>
      </c>
      <c r="C42" s="35" t="s">
        <v>220</v>
      </c>
      <c r="D42" s="73" t="s">
        <v>169</v>
      </c>
      <c r="E42" s="30"/>
      <c r="F42" s="713"/>
      <c r="G42" s="713"/>
      <c r="H42" s="713"/>
      <c r="I42" s="713"/>
      <c r="J42" s="110"/>
      <c r="K42" s="110"/>
      <c r="L42" s="110"/>
      <c r="M42" s="110"/>
      <c r="N42" s="713"/>
      <c r="O42" s="110"/>
      <c r="P42" s="30"/>
      <c r="Q42" s="243"/>
      <c r="R42" s="30"/>
      <c r="S42" s="713"/>
      <c r="T42" s="713"/>
      <c r="U42" s="713"/>
    </row>
    <row r="43" spans="1:21" s="48" customFormat="1" ht="12.75" customHeight="1">
      <c r="A43" s="137"/>
      <c r="B43" s="892" t="s">
        <v>162</v>
      </c>
      <c r="C43" s="212" t="s">
        <v>221</v>
      </c>
      <c r="D43" s="58" t="s">
        <v>164</v>
      </c>
      <c r="E43" s="77"/>
      <c r="F43" s="479" t="s">
        <v>165</v>
      </c>
      <c r="G43" s="119"/>
      <c r="H43" s="119"/>
      <c r="I43" s="119"/>
      <c r="J43" s="119"/>
      <c r="K43" s="119"/>
      <c r="L43" s="119"/>
      <c r="M43" s="120"/>
      <c r="N43" s="118"/>
      <c r="O43" s="118"/>
      <c r="P43" s="77"/>
      <c r="Q43" s="242" t="s">
        <v>166</v>
      </c>
      <c r="R43" s="77"/>
      <c r="S43" s="479"/>
      <c r="T43" s="119"/>
      <c r="U43" s="119"/>
    </row>
    <row r="44" spans="1:21" s="48" customFormat="1" ht="15" hidden="1" customHeight="1">
      <c r="A44" s="137"/>
      <c r="B44" s="311" t="s">
        <v>151</v>
      </c>
      <c r="C44" s="84" t="s">
        <v>222</v>
      </c>
      <c r="D44" s="73" t="s">
        <v>169</v>
      </c>
      <c r="E44" s="77"/>
      <c r="F44" s="713">
        <v>8</v>
      </c>
      <c r="G44" s="713">
        <v>8</v>
      </c>
      <c r="H44" s="713">
        <v>8</v>
      </c>
      <c r="I44" s="713"/>
      <c r="J44" s="459"/>
      <c r="K44" s="459"/>
      <c r="L44" s="459"/>
      <c r="M44" s="459"/>
      <c r="N44" s="713"/>
      <c r="O44" s="459"/>
      <c r="P44" s="77"/>
      <c r="Q44" s="243"/>
      <c r="R44" s="77"/>
      <c r="S44" s="713">
        <v>8</v>
      </c>
      <c r="T44" s="713">
        <v>8</v>
      </c>
      <c r="U44" s="713">
        <v>8</v>
      </c>
    </row>
    <row r="45" spans="1:21" ht="15" customHeight="1">
      <c r="A45" s="137"/>
      <c r="B45" s="893" t="s">
        <v>148</v>
      </c>
      <c r="C45" s="35" t="s">
        <v>223</v>
      </c>
      <c r="D45" s="1148" t="s">
        <v>169</v>
      </c>
      <c r="E45" s="30"/>
      <c r="F45" s="713"/>
      <c r="G45" s="713"/>
      <c r="H45" s="713"/>
      <c r="I45" s="713"/>
      <c r="J45" s="459"/>
      <c r="K45" s="459"/>
      <c r="L45" s="459"/>
      <c r="M45" s="459"/>
      <c r="N45" s="713"/>
      <c r="O45" s="459"/>
      <c r="P45" s="30"/>
      <c r="Q45" s="243"/>
      <c r="R45" s="30"/>
      <c r="S45" s="713">
        <v>135</v>
      </c>
      <c r="T45" s="713">
        <v>135</v>
      </c>
      <c r="U45" s="713">
        <v>135</v>
      </c>
    </row>
    <row r="46" spans="1:21" ht="15" customHeight="1">
      <c r="A46" s="137"/>
      <c r="B46" s="893" t="s">
        <v>148</v>
      </c>
      <c r="C46" s="463" t="s">
        <v>224</v>
      </c>
      <c r="D46" s="1148" t="s">
        <v>169</v>
      </c>
      <c r="E46" s="30"/>
      <c r="F46" s="713"/>
      <c r="G46" s="713"/>
      <c r="H46" s="713"/>
      <c r="I46" s="713"/>
      <c r="J46" s="459"/>
      <c r="K46" s="459"/>
      <c r="L46" s="459"/>
      <c r="M46" s="459"/>
      <c r="N46" s="713"/>
      <c r="O46" s="459"/>
      <c r="P46" s="30"/>
      <c r="Q46" s="245"/>
      <c r="R46" s="30"/>
      <c r="S46" s="713">
        <v>0</v>
      </c>
      <c r="T46" s="713">
        <v>0</v>
      </c>
      <c r="U46" s="713">
        <v>0</v>
      </c>
    </row>
    <row r="47" spans="1:21" ht="15" customHeight="1">
      <c r="A47" s="137"/>
      <c r="B47" s="893" t="s">
        <v>148</v>
      </c>
      <c r="C47" s="415" t="s">
        <v>225</v>
      </c>
      <c r="D47" s="1148" t="s">
        <v>169</v>
      </c>
      <c r="E47" s="30"/>
      <c r="F47" s="713"/>
      <c r="G47" s="713"/>
      <c r="H47" s="713"/>
      <c r="I47" s="713"/>
      <c r="J47" s="459"/>
      <c r="K47" s="459"/>
      <c r="L47" s="459"/>
      <c r="M47" s="459"/>
      <c r="N47" s="713"/>
      <c r="O47" s="459"/>
      <c r="P47" s="30"/>
      <c r="Q47" s="244"/>
      <c r="R47" s="30"/>
      <c r="S47" s="713">
        <v>23</v>
      </c>
      <c r="T47" s="713">
        <v>23</v>
      </c>
      <c r="U47" s="713">
        <v>23</v>
      </c>
    </row>
    <row r="48" spans="1:21" ht="15" customHeight="1">
      <c r="A48" s="137"/>
      <c r="B48" s="893" t="s">
        <v>148</v>
      </c>
      <c r="C48" s="415" t="s">
        <v>226</v>
      </c>
      <c r="D48" s="1148" t="s">
        <v>169</v>
      </c>
      <c r="E48" s="30"/>
      <c r="F48" s="713"/>
      <c r="G48" s="713"/>
      <c r="H48" s="713"/>
      <c r="I48" s="713"/>
      <c r="J48" s="459"/>
      <c r="K48" s="459"/>
      <c r="L48" s="459"/>
      <c r="M48" s="459"/>
      <c r="N48" s="713"/>
      <c r="O48" s="459"/>
      <c r="P48" s="30"/>
      <c r="Q48" s="246"/>
      <c r="R48" s="30"/>
      <c r="S48" s="713">
        <v>32</v>
      </c>
      <c r="T48" s="713">
        <v>32</v>
      </c>
      <c r="U48" s="713">
        <v>32</v>
      </c>
    </row>
    <row r="49" spans="1:21" ht="15" customHeight="1">
      <c r="A49" s="137"/>
      <c r="B49" s="893" t="s">
        <v>148</v>
      </c>
      <c r="C49" s="415" t="s">
        <v>227</v>
      </c>
      <c r="D49" s="1148" t="s">
        <v>169</v>
      </c>
      <c r="E49" s="30"/>
      <c r="F49" s="713"/>
      <c r="G49" s="713"/>
      <c r="H49" s="713"/>
      <c r="I49" s="713"/>
      <c r="J49" s="459"/>
      <c r="K49" s="459"/>
      <c r="L49" s="459"/>
      <c r="M49" s="459"/>
      <c r="N49" s="713"/>
      <c r="O49" s="459"/>
      <c r="P49" s="30"/>
      <c r="Q49" s="246"/>
      <c r="R49" s="30"/>
      <c r="S49" s="713">
        <v>64</v>
      </c>
      <c r="T49" s="713">
        <v>64</v>
      </c>
      <c r="U49" s="713">
        <v>64</v>
      </c>
    </row>
    <row r="50" spans="1:21" ht="15" customHeight="1">
      <c r="A50" s="137"/>
      <c r="B50" s="893" t="s">
        <v>148</v>
      </c>
      <c r="C50" s="416" t="s">
        <v>228</v>
      </c>
      <c r="D50" s="1148" t="s">
        <v>169</v>
      </c>
      <c r="E50" s="30"/>
      <c r="F50" s="713"/>
      <c r="G50" s="713"/>
      <c r="H50" s="713"/>
      <c r="I50" s="713"/>
      <c r="J50" s="459"/>
      <c r="K50" s="459"/>
      <c r="L50" s="459"/>
      <c r="M50" s="459"/>
      <c r="N50" s="713"/>
      <c r="O50" s="459"/>
      <c r="P50" s="30"/>
      <c r="Q50" s="247"/>
      <c r="R50" s="30"/>
      <c r="S50" s="713">
        <v>16</v>
      </c>
      <c r="T50" s="713">
        <v>16</v>
      </c>
      <c r="U50" s="713">
        <v>16</v>
      </c>
    </row>
    <row r="51" spans="1:21" ht="15" customHeight="1">
      <c r="A51" s="137"/>
      <c r="B51" s="893" t="s">
        <v>148</v>
      </c>
      <c r="C51" s="416" t="s">
        <v>229</v>
      </c>
      <c r="D51" s="1148" t="s">
        <v>169</v>
      </c>
      <c r="E51" s="30"/>
      <c r="F51" s="713"/>
      <c r="G51" s="713"/>
      <c r="H51" s="713"/>
      <c r="I51" s="713"/>
      <c r="J51" s="459"/>
      <c r="K51" s="459"/>
      <c r="L51" s="459"/>
      <c r="M51" s="459"/>
      <c r="N51" s="713"/>
      <c r="O51" s="459"/>
      <c r="P51" s="30"/>
      <c r="Q51" s="247"/>
      <c r="R51" s="30"/>
      <c r="S51" s="713">
        <v>0</v>
      </c>
      <c r="T51" s="713">
        <v>0</v>
      </c>
      <c r="U51" s="713">
        <v>0</v>
      </c>
    </row>
    <row r="52" spans="1:21" ht="15" customHeight="1">
      <c r="A52" s="137"/>
      <c r="B52" s="893" t="s">
        <v>148</v>
      </c>
      <c r="C52" s="35" t="s">
        <v>230</v>
      </c>
      <c r="D52" s="1148" t="s">
        <v>169</v>
      </c>
      <c r="E52" s="30"/>
      <c r="F52" s="713"/>
      <c r="G52" s="713"/>
      <c r="H52" s="713"/>
      <c r="I52" s="713"/>
      <c r="J52" s="459"/>
      <c r="K52" s="459"/>
      <c r="L52" s="459"/>
      <c r="M52" s="459"/>
      <c r="N52" s="713"/>
      <c r="O52" s="459"/>
      <c r="P52" s="30"/>
      <c r="Q52" s="244"/>
      <c r="R52" s="30"/>
      <c r="S52" s="713">
        <v>478</v>
      </c>
      <c r="T52" s="713">
        <v>478</v>
      </c>
      <c r="U52" s="713">
        <v>478</v>
      </c>
    </row>
    <row r="53" spans="1:21" ht="15" customHeight="1">
      <c r="A53" s="137"/>
      <c r="B53" s="893" t="s">
        <v>148</v>
      </c>
      <c r="C53" s="35" t="s">
        <v>231</v>
      </c>
      <c r="D53" s="1148" t="s">
        <v>169</v>
      </c>
      <c r="E53" s="30"/>
      <c r="F53" s="728"/>
      <c r="G53" s="728"/>
      <c r="H53" s="728"/>
      <c r="I53" s="728"/>
      <c r="J53" s="460"/>
      <c r="K53" s="460"/>
      <c r="L53" s="460"/>
      <c r="M53" s="460"/>
      <c r="N53" s="728"/>
      <c r="O53" s="460"/>
      <c r="P53" s="30"/>
      <c r="Q53" s="244"/>
      <c r="R53" s="30"/>
      <c r="S53" s="728">
        <v>145750</v>
      </c>
      <c r="T53" s="728">
        <v>145750</v>
      </c>
      <c r="U53" s="728">
        <v>145750</v>
      </c>
    </row>
    <row r="54" spans="1:21" ht="15" customHeight="1">
      <c r="A54" s="137"/>
      <c r="B54" s="893" t="s">
        <v>148</v>
      </c>
      <c r="C54" s="35" t="s">
        <v>232</v>
      </c>
      <c r="D54" s="1148" t="s">
        <v>169</v>
      </c>
      <c r="E54" s="30"/>
      <c r="F54" s="713"/>
      <c r="G54" s="713"/>
      <c r="H54" s="713"/>
      <c r="I54" s="713"/>
      <c r="J54" s="461"/>
      <c r="K54" s="461"/>
      <c r="L54" s="462"/>
      <c r="M54" s="462"/>
      <c r="N54" s="713"/>
      <c r="O54" s="461"/>
      <c r="P54" s="30"/>
      <c r="Q54" s="244"/>
      <c r="R54" s="30"/>
      <c r="S54" s="713">
        <v>0</v>
      </c>
      <c r="T54" s="713">
        <v>0</v>
      </c>
      <c r="U54" s="713">
        <v>0</v>
      </c>
    </row>
    <row r="55" spans="1:21" ht="15" hidden="1" customHeight="1">
      <c r="A55" s="137"/>
      <c r="B55" s="311" t="s">
        <v>151</v>
      </c>
      <c r="C55" s="35" t="s">
        <v>233</v>
      </c>
      <c r="D55" s="73" t="s">
        <v>169</v>
      </c>
      <c r="E55" s="30"/>
      <c r="F55" s="713" t="s">
        <v>234</v>
      </c>
      <c r="G55" s="713" t="s">
        <v>234</v>
      </c>
      <c r="H55" s="713" t="s">
        <v>234</v>
      </c>
      <c r="I55" s="713"/>
      <c r="J55" s="460"/>
      <c r="K55" s="460"/>
      <c r="L55" s="458"/>
      <c r="M55" s="458"/>
      <c r="N55" s="713"/>
      <c r="O55" s="460"/>
      <c r="P55" s="30"/>
      <c r="Q55" s="447"/>
      <c r="R55" s="30"/>
      <c r="S55" s="713" t="s">
        <v>234</v>
      </c>
      <c r="T55" s="713" t="s">
        <v>234</v>
      </c>
      <c r="U55" s="713" t="s">
        <v>234</v>
      </c>
    </row>
    <row r="56" spans="1:21" ht="15" customHeight="1">
      <c r="A56" s="137"/>
      <c r="B56" s="893" t="s">
        <v>162</v>
      </c>
      <c r="C56" s="194" t="s">
        <v>235</v>
      </c>
      <c r="D56" s="1148" t="s">
        <v>169</v>
      </c>
      <c r="E56" s="30"/>
      <c r="F56" s="728"/>
      <c r="G56" s="728"/>
      <c r="H56" s="728"/>
      <c r="I56" s="728"/>
      <c r="J56" s="460"/>
      <c r="K56" s="460"/>
      <c r="L56" s="460"/>
      <c r="M56" s="460"/>
      <c r="N56" s="728"/>
      <c r="O56" s="460"/>
      <c r="P56" s="30"/>
      <c r="Q56" s="248"/>
      <c r="R56" s="30"/>
      <c r="S56" s="728">
        <v>145750</v>
      </c>
      <c r="T56" s="728">
        <v>145750</v>
      </c>
      <c r="U56" s="728">
        <v>145750</v>
      </c>
    </row>
    <row r="57" spans="1:21" s="709" customFormat="1" ht="15" customHeight="1">
      <c r="A57" s="509"/>
      <c r="B57" s="894" t="s">
        <v>162</v>
      </c>
      <c r="C57" s="419" t="s">
        <v>236</v>
      </c>
      <c r="D57" s="122"/>
      <c r="E57" s="708"/>
      <c r="F57" s="479" t="s">
        <v>165</v>
      </c>
      <c r="G57" s="911"/>
      <c r="H57" s="911"/>
      <c r="I57" s="911"/>
      <c r="J57" s="911"/>
      <c r="K57" s="911"/>
      <c r="L57" s="911"/>
      <c r="M57" s="912"/>
      <c r="N57" s="911"/>
      <c r="O57" s="479" t="s">
        <v>167</v>
      </c>
      <c r="P57" s="708"/>
      <c r="Q57" s="242" t="s">
        <v>166</v>
      </c>
      <c r="R57" s="708"/>
      <c r="S57" s="479"/>
      <c r="T57" s="911"/>
      <c r="U57" s="911"/>
    </row>
    <row r="58" spans="1:21" s="38" customFormat="1" ht="27">
      <c r="A58" s="80"/>
      <c r="B58" s="919" t="s">
        <v>162</v>
      </c>
      <c r="C58" s="920" t="s">
        <v>237</v>
      </c>
      <c r="D58" s="923" t="s">
        <v>238</v>
      </c>
      <c r="E58" s="30"/>
      <c r="F58" s="921"/>
      <c r="G58" s="921"/>
      <c r="H58" s="921"/>
      <c r="I58" s="921"/>
      <c r="J58" s="921"/>
      <c r="K58" s="921"/>
      <c r="L58" s="921"/>
      <c r="M58" s="921"/>
      <c r="N58" s="921"/>
      <c r="O58" s="921"/>
      <c r="P58" s="30"/>
      <c r="Q58" s="243"/>
      <c r="R58" s="30"/>
      <c r="S58" s="921" t="s">
        <v>239</v>
      </c>
      <c r="T58" s="921" t="s">
        <v>239</v>
      </c>
      <c r="U58" s="921" t="s">
        <v>239</v>
      </c>
    </row>
    <row r="59" spans="1:21" ht="40.5">
      <c r="A59" s="80"/>
      <c r="B59" s="893" t="s">
        <v>162</v>
      </c>
      <c r="C59" s="449" t="s">
        <v>240</v>
      </c>
      <c r="D59" s="93" t="s">
        <v>241</v>
      </c>
      <c r="E59" s="30"/>
      <c r="F59" s="111"/>
      <c r="G59" s="111"/>
      <c r="H59" s="111"/>
      <c r="I59" s="111"/>
      <c r="J59" s="111"/>
      <c r="K59" s="111"/>
      <c r="L59" s="111"/>
      <c r="M59" s="111"/>
      <c r="N59" s="111"/>
      <c r="O59" s="111"/>
      <c r="P59" s="30"/>
      <c r="Q59" s="249"/>
      <c r="R59" s="30"/>
      <c r="S59" s="111" t="s">
        <v>242</v>
      </c>
      <c r="T59" s="111" t="s">
        <v>243</v>
      </c>
      <c r="U59" s="111" t="s">
        <v>244</v>
      </c>
    </row>
    <row r="60" spans="1:21">
      <c r="A60" s="80"/>
      <c r="B60" s="893" t="s">
        <v>162</v>
      </c>
      <c r="C60" s="718" t="s">
        <v>245</v>
      </c>
      <c r="D60" s="93" t="s">
        <v>246</v>
      </c>
      <c r="E60" s="30"/>
      <c r="F60" s="111"/>
      <c r="G60" s="111"/>
      <c r="H60" s="111"/>
      <c r="I60" s="111"/>
      <c r="J60" s="111"/>
      <c r="K60" s="111"/>
      <c r="L60" s="111"/>
      <c r="M60" s="111"/>
      <c r="N60" s="111"/>
      <c r="O60" s="111"/>
      <c r="P60" s="30"/>
      <c r="Q60" s="249"/>
      <c r="R60" s="30"/>
      <c r="S60" s="111" t="s">
        <v>247</v>
      </c>
      <c r="T60" s="111" t="s">
        <v>247</v>
      </c>
      <c r="U60" s="111" t="s">
        <v>247</v>
      </c>
    </row>
    <row r="61" spans="1:21">
      <c r="A61" s="80"/>
      <c r="B61" s="893" t="s">
        <v>162</v>
      </c>
      <c r="C61" s="718" t="s">
        <v>248</v>
      </c>
      <c r="D61" s="93" t="s">
        <v>249</v>
      </c>
      <c r="E61" s="30"/>
      <c r="F61" s="111"/>
      <c r="G61" s="111"/>
      <c r="H61" s="111"/>
      <c r="I61" s="111"/>
      <c r="J61" s="111"/>
      <c r="K61" s="111"/>
      <c r="L61" s="111"/>
      <c r="M61" s="111"/>
      <c r="N61" s="111"/>
      <c r="O61" s="111"/>
      <c r="P61" s="30"/>
      <c r="Q61" s="249"/>
      <c r="R61" s="30"/>
      <c r="S61" s="111" t="s">
        <v>247</v>
      </c>
      <c r="T61" s="111" t="s">
        <v>247</v>
      </c>
      <c r="U61" s="111" t="s">
        <v>247</v>
      </c>
    </row>
    <row r="62" spans="1:21" ht="27">
      <c r="A62" s="80"/>
      <c r="B62" s="311" t="s">
        <v>148</v>
      </c>
      <c r="C62" s="449" t="s">
        <v>250</v>
      </c>
      <c r="D62" s="93" t="s">
        <v>241</v>
      </c>
      <c r="E62" s="30"/>
      <c r="F62" s="111"/>
      <c r="G62" s="111"/>
      <c r="H62" s="111"/>
      <c r="I62" s="111"/>
      <c r="J62" s="111"/>
      <c r="K62" s="111"/>
      <c r="L62" s="111"/>
      <c r="M62" s="111"/>
      <c r="N62" s="111"/>
      <c r="O62" s="111"/>
      <c r="P62" s="30"/>
      <c r="Q62" s="249"/>
      <c r="R62" s="30"/>
      <c r="S62" s="111" t="s">
        <v>243</v>
      </c>
      <c r="T62" s="111" t="s">
        <v>243</v>
      </c>
      <c r="U62" s="111" t="s">
        <v>243</v>
      </c>
    </row>
    <row r="63" spans="1:21" ht="27">
      <c r="A63" s="80"/>
      <c r="B63" s="895" t="s">
        <v>162</v>
      </c>
      <c r="C63" s="54" t="s">
        <v>251</v>
      </c>
      <c r="D63" s="93" t="s">
        <v>241</v>
      </c>
      <c r="E63" s="30"/>
      <c r="F63" s="111"/>
      <c r="G63" s="111"/>
      <c r="H63" s="111"/>
      <c r="I63" s="111"/>
      <c r="J63" s="111"/>
      <c r="K63" s="111"/>
      <c r="L63" s="111"/>
      <c r="M63" s="111"/>
      <c r="N63" s="111"/>
      <c r="O63" s="111"/>
      <c r="P63" s="30"/>
      <c r="Q63" s="249"/>
      <c r="R63" s="30"/>
      <c r="S63" s="111" t="s">
        <v>252</v>
      </c>
      <c r="T63" s="111" t="s">
        <v>253</v>
      </c>
      <c r="U63" s="111" t="s">
        <v>252</v>
      </c>
    </row>
    <row r="64" spans="1:21" ht="24">
      <c r="A64" s="80" t="s">
        <v>254</v>
      </c>
      <c r="B64" s="895" t="s">
        <v>162</v>
      </c>
      <c r="C64" s="717" t="s">
        <v>255</v>
      </c>
      <c r="D64" s="440" t="s">
        <v>256</v>
      </c>
      <c r="E64" s="30"/>
      <c r="F64" s="887"/>
      <c r="G64" s="887"/>
      <c r="H64" s="887"/>
      <c r="I64" s="887"/>
      <c r="J64" s="887"/>
      <c r="K64" s="887"/>
      <c r="L64" s="887"/>
      <c r="M64" s="887"/>
      <c r="N64" s="887"/>
      <c r="O64" s="887"/>
      <c r="P64" s="30"/>
      <c r="Q64" s="249"/>
      <c r="R64" s="30"/>
      <c r="S64" s="887">
        <v>1</v>
      </c>
      <c r="T64" s="887">
        <v>0.5</v>
      </c>
      <c r="U64" s="887">
        <f>IF(ISNUMBER(SEARCH("partial", U63)), 50%, IF(ISNUMBER(SEARCH("not", U63)), 0%, 100%))</f>
        <v>1</v>
      </c>
    </row>
    <row r="65" spans="1:21">
      <c r="A65" s="137"/>
      <c r="B65" s="893" t="s">
        <v>162</v>
      </c>
      <c r="C65" s="415" t="s">
        <v>257</v>
      </c>
      <c r="D65" s="93" t="s">
        <v>246</v>
      </c>
      <c r="E65" s="30"/>
      <c r="F65" s="111"/>
      <c r="G65" s="111"/>
      <c r="H65" s="111"/>
      <c r="I65" s="111"/>
      <c r="J65" s="111"/>
      <c r="K65" s="111"/>
      <c r="L65" s="111"/>
      <c r="M65" s="111"/>
      <c r="N65" s="111"/>
      <c r="O65" s="111"/>
      <c r="P65" s="30"/>
      <c r="Q65" s="249"/>
      <c r="R65" s="30"/>
      <c r="S65" s="111" t="s">
        <v>247</v>
      </c>
      <c r="T65" s="111" t="s">
        <v>247</v>
      </c>
      <c r="U65" s="111" t="s">
        <v>247</v>
      </c>
    </row>
    <row r="66" spans="1:21" ht="27">
      <c r="A66" s="80"/>
      <c r="B66" s="893" t="s">
        <v>148</v>
      </c>
      <c r="C66" s="415" t="s">
        <v>258</v>
      </c>
      <c r="D66" s="93" t="s">
        <v>259</v>
      </c>
      <c r="E66" s="30"/>
      <c r="F66" s="111"/>
      <c r="G66" s="111"/>
      <c r="H66" s="111"/>
      <c r="I66" s="111"/>
      <c r="J66" s="111"/>
      <c r="K66" s="111"/>
      <c r="L66" s="111"/>
      <c r="M66" s="111"/>
      <c r="N66" s="111"/>
      <c r="O66" s="111"/>
      <c r="P66" s="30"/>
      <c r="Q66" s="249"/>
      <c r="R66" s="30"/>
      <c r="S66" s="111" t="s">
        <v>260</v>
      </c>
      <c r="T66" s="111" t="s">
        <v>260</v>
      </c>
      <c r="U66" s="111" t="s">
        <v>260</v>
      </c>
    </row>
    <row r="67" spans="1:21">
      <c r="A67" s="80"/>
      <c r="B67" s="893" t="s">
        <v>148</v>
      </c>
      <c r="C67" s="54" t="s">
        <v>261</v>
      </c>
      <c r="D67" s="93" t="s">
        <v>262</v>
      </c>
      <c r="E67" s="30"/>
      <c r="F67" s="111"/>
      <c r="G67" s="111"/>
      <c r="H67" s="111"/>
      <c r="I67" s="111"/>
      <c r="J67" s="111"/>
      <c r="K67" s="111"/>
      <c r="L67" s="111"/>
      <c r="M67" s="111"/>
      <c r="N67" s="111"/>
      <c r="O67" s="111"/>
      <c r="P67" s="30"/>
      <c r="Q67" s="249"/>
      <c r="R67" s="30"/>
      <c r="S67" s="111" t="s">
        <v>263</v>
      </c>
      <c r="T67" s="111" t="s">
        <v>263</v>
      </c>
      <c r="U67" s="111" t="s">
        <v>263</v>
      </c>
    </row>
    <row r="68" spans="1:21" ht="40.5">
      <c r="A68" s="210"/>
      <c r="B68" s="893" t="s">
        <v>162</v>
      </c>
      <c r="C68" s="61" t="s">
        <v>264</v>
      </c>
      <c r="D68" s="94" t="s">
        <v>265</v>
      </c>
      <c r="E68" s="30"/>
      <c r="F68" s="115"/>
      <c r="G68" s="115"/>
      <c r="H68" s="115"/>
      <c r="I68" s="115"/>
      <c r="J68" s="115"/>
      <c r="K68" s="115"/>
      <c r="L68" s="115"/>
      <c r="M68" s="115"/>
      <c r="N68" s="115"/>
      <c r="O68" s="115"/>
      <c r="P68" s="30"/>
      <c r="Q68" s="250"/>
      <c r="R68" s="30"/>
      <c r="S68" s="115" t="s">
        <v>266</v>
      </c>
      <c r="T68" s="115" t="s">
        <v>266</v>
      </c>
      <c r="U68" s="115" t="s">
        <v>266</v>
      </c>
    </row>
    <row r="69" spans="1:21" ht="27">
      <c r="A69" s="137"/>
      <c r="B69" s="893" t="s">
        <v>162</v>
      </c>
      <c r="C69" s="449" t="s">
        <v>267</v>
      </c>
      <c r="D69" s="93" t="s">
        <v>268</v>
      </c>
      <c r="E69" s="30"/>
      <c r="F69" s="111"/>
      <c r="G69" s="111"/>
      <c r="H69" s="111"/>
      <c r="I69" s="111"/>
      <c r="J69" s="111"/>
      <c r="K69" s="111"/>
      <c r="L69" s="111"/>
      <c r="M69" s="111"/>
      <c r="N69" s="111"/>
      <c r="O69" s="111"/>
      <c r="P69" s="30"/>
      <c r="Q69" s="249"/>
      <c r="R69" s="30"/>
      <c r="S69" s="111" t="s">
        <v>269</v>
      </c>
      <c r="T69" s="111" t="s">
        <v>269</v>
      </c>
      <c r="U69" s="111" t="s">
        <v>269</v>
      </c>
    </row>
    <row r="70" spans="1:21" s="205" customFormat="1" ht="27">
      <c r="A70" s="505"/>
      <c r="B70" s="893" t="s">
        <v>162</v>
      </c>
      <c r="C70" s="449" t="s">
        <v>270</v>
      </c>
      <c r="D70" s="506" t="s">
        <v>271</v>
      </c>
      <c r="E70" s="402"/>
      <c r="F70" s="111"/>
      <c r="G70" s="111"/>
      <c r="H70" s="111"/>
      <c r="I70" s="111"/>
      <c r="J70" s="111"/>
      <c r="K70" s="111"/>
      <c r="L70" s="111"/>
      <c r="M70" s="111"/>
      <c r="N70" s="111"/>
      <c r="O70" s="111"/>
      <c r="P70" s="402"/>
      <c r="Q70" s="249"/>
      <c r="R70" s="402"/>
      <c r="S70" s="111" t="s">
        <v>272</v>
      </c>
      <c r="T70" s="111" t="s">
        <v>272</v>
      </c>
      <c r="U70" s="111" t="s">
        <v>272</v>
      </c>
    </row>
    <row r="71" spans="1:21" s="205" customFormat="1" ht="67.5">
      <c r="A71" s="509"/>
      <c r="B71" s="893" t="s">
        <v>162</v>
      </c>
      <c r="C71" s="449" t="s">
        <v>273</v>
      </c>
      <c r="D71" s="506" t="s">
        <v>274</v>
      </c>
      <c r="E71" s="402"/>
      <c r="F71" s="111"/>
      <c r="G71" s="111"/>
      <c r="H71" s="111"/>
      <c r="I71" s="111"/>
      <c r="J71" s="111"/>
      <c r="K71" s="111"/>
      <c r="L71" s="111"/>
      <c r="M71" s="111"/>
      <c r="N71" s="111"/>
      <c r="O71" s="111"/>
      <c r="P71" s="402"/>
      <c r="Q71" s="249"/>
      <c r="R71" s="402"/>
      <c r="S71" s="111" t="s">
        <v>275</v>
      </c>
      <c r="T71" s="111" t="s">
        <v>276</v>
      </c>
      <c r="U71" s="111" t="s">
        <v>276</v>
      </c>
    </row>
    <row r="72" spans="1:21" s="205" customFormat="1" ht="27">
      <c r="A72" s="505"/>
      <c r="B72" s="893" t="s">
        <v>162</v>
      </c>
      <c r="C72" s="449" t="s">
        <v>277</v>
      </c>
      <c r="D72" s="57" t="s">
        <v>278</v>
      </c>
      <c r="E72" s="402"/>
      <c r="F72" s="413"/>
      <c r="G72" s="413"/>
      <c r="H72" s="413"/>
      <c r="I72" s="413"/>
      <c r="J72" s="413"/>
      <c r="K72" s="413"/>
      <c r="L72" s="413"/>
      <c r="M72" s="413"/>
      <c r="N72" s="413"/>
      <c r="O72" s="413"/>
      <c r="P72" s="402"/>
      <c r="Q72" s="251"/>
      <c r="R72" s="402"/>
      <c r="S72" s="413" t="s">
        <v>279</v>
      </c>
      <c r="T72" s="413" t="s">
        <v>280</v>
      </c>
      <c r="U72" s="413" t="s">
        <v>280</v>
      </c>
    </row>
    <row r="73" spans="1:21" s="205" customFormat="1" ht="48">
      <c r="A73" s="507"/>
      <c r="B73" s="896" t="s">
        <v>162</v>
      </c>
      <c r="C73" s="610" t="s">
        <v>281</v>
      </c>
      <c r="D73" s="922" t="s">
        <v>282</v>
      </c>
      <c r="E73" s="508"/>
      <c r="F73" s="732"/>
      <c r="G73" s="732"/>
      <c r="H73" s="732"/>
      <c r="I73" s="732"/>
      <c r="J73" s="732"/>
      <c r="K73" s="732"/>
      <c r="L73" s="732"/>
      <c r="M73" s="732"/>
      <c r="N73" s="732"/>
      <c r="O73" s="732"/>
      <c r="P73" s="508"/>
      <c r="Q73" s="744"/>
      <c r="R73" s="508"/>
      <c r="S73" s="732" t="s">
        <v>283</v>
      </c>
      <c r="T73" s="732" t="s">
        <v>284</v>
      </c>
      <c r="U73" s="732" t="s">
        <v>285</v>
      </c>
    </row>
    <row r="74" spans="1:21" s="205" customFormat="1" ht="48.75" thickBot="1">
      <c r="A74" s="509"/>
      <c r="B74" s="897" t="s">
        <v>162</v>
      </c>
      <c r="C74" s="84" t="s">
        <v>286</v>
      </c>
      <c r="D74" s="922" t="s">
        <v>287</v>
      </c>
      <c r="E74" s="402"/>
      <c r="F74" s="1058"/>
      <c r="G74" s="1058"/>
      <c r="H74" s="1058"/>
      <c r="I74" s="1058"/>
      <c r="J74" s="1058"/>
      <c r="K74" s="1058"/>
      <c r="L74" s="1058"/>
      <c r="M74" s="1058"/>
      <c r="N74" s="1058"/>
      <c r="O74" s="1058"/>
      <c r="P74" s="402"/>
      <c r="Q74" s="252"/>
      <c r="R74" s="402"/>
      <c r="S74" s="1058" t="s">
        <v>283</v>
      </c>
      <c r="T74" s="1058" t="s">
        <v>288</v>
      </c>
      <c r="U74" s="1058" t="s">
        <v>289</v>
      </c>
    </row>
    <row r="75" spans="1:21" ht="15.75" hidden="1" customHeight="1" thickBot="1">
      <c r="A75" s="137"/>
      <c r="B75" s="315" t="s">
        <v>151</v>
      </c>
      <c r="C75" s="168"/>
      <c r="D75" s="70"/>
      <c r="E75" s="71"/>
      <c r="F75" s="72"/>
      <c r="G75" s="72"/>
      <c r="H75" s="72"/>
      <c r="I75" s="72"/>
      <c r="J75" s="70"/>
      <c r="K75" s="70"/>
      <c r="L75" s="70"/>
      <c r="M75" s="70"/>
      <c r="N75" s="30"/>
      <c r="O75" s="30"/>
      <c r="P75" s="69"/>
      <c r="Q75" s="253"/>
      <c r="R75" s="69"/>
      <c r="S75" s="72"/>
      <c r="T75" s="72"/>
      <c r="U75" s="72"/>
    </row>
    <row r="76" spans="1:21" ht="15.75" hidden="1" customHeight="1" thickBot="1">
      <c r="A76" s="137"/>
      <c r="B76" s="309" t="s">
        <v>290</v>
      </c>
      <c r="C76" s="208" t="s">
        <v>291</v>
      </c>
      <c r="D76" s="123"/>
      <c r="E76" s="71"/>
      <c r="F76" s="208"/>
      <c r="G76" s="208"/>
      <c r="H76" s="434"/>
      <c r="I76" s="434"/>
      <c r="J76" s="435"/>
      <c r="K76" s="435"/>
      <c r="L76" s="435"/>
      <c r="M76" s="435"/>
      <c r="N76" s="436"/>
      <c r="O76" s="436"/>
      <c r="P76" s="69"/>
      <c r="Q76" s="436"/>
      <c r="R76" s="69"/>
      <c r="S76" s="208"/>
      <c r="T76" s="208"/>
      <c r="U76" s="434"/>
    </row>
    <row r="77" spans="1:21">
      <c r="A77" s="137"/>
      <c r="B77" s="898" t="s">
        <v>148</v>
      </c>
      <c r="C77" s="419" t="s">
        <v>292</v>
      </c>
      <c r="D77" s="56"/>
      <c r="E77" s="30"/>
      <c r="F77" s="479" t="s">
        <v>293</v>
      </c>
      <c r="G77" s="36"/>
      <c r="H77" s="37"/>
      <c r="I77" s="37"/>
      <c r="J77" s="37"/>
      <c r="K77" s="37"/>
      <c r="L77" s="37"/>
      <c r="M77" s="37"/>
      <c r="N77" s="37"/>
      <c r="O77" s="37"/>
      <c r="P77" s="30"/>
      <c r="Q77" s="242" t="s">
        <v>166</v>
      </c>
      <c r="R77" s="30"/>
      <c r="S77" s="479"/>
      <c r="T77" s="36"/>
      <c r="U77" s="37"/>
    </row>
    <row r="78" spans="1:21" ht="21" hidden="1" customHeight="1">
      <c r="A78" s="137"/>
      <c r="B78" s="310" t="s">
        <v>151</v>
      </c>
      <c r="C78" s="449" t="s">
        <v>294</v>
      </c>
      <c r="D78" s="437" t="s">
        <v>169</v>
      </c>
      <c r="E78" s="30"/>
      <c r="F78" s="713" t="s">
        <v>295</v>
      </c>
      <c r="G78" s="713" t="s">
        <v>295</v>
      </c>
      <c r="H78" s="713" t="s">
        <v>295</v>
      </c>
      <c r="I78" s="713"/>
      <c r="J78" s="715"/>
      <c r="K78" s="413"/>
      <c r="L78" s="413"/>
      <c r="M78" s="413"/>
      <c r="N78" s="713"/>
      <c r="O78" s="715"/>
      <c r="P78" s="30"/>
      <c r="Q78" s="244"/>
      <c r="R78" s="30"/>
      <c r="S78" s="713" t="s">
        <v>295</v>
      </c>
      <c r="T78" s="713" t="s">
        <v>295</v>
      </c>
      <c r="U78" s="713" t="s">
        <v>295</v>
      </c>
    </row>
    <row r="79" spans="1:21" ht="15.75" hidden="1" thickBot="1">
      <c r="A79" s="80"/>
      <c r="B79" s="310" t="s">
        <v>151</v>
      </c>
      <c r="C79" s="449" t="s">
        <v>296</v>
      </c>
      <c r="D79" s="437" t="s">
        <v>169</v>
      </c>
      <c r="E79" s="30"/>
      <c r="F79" s="713" t="s">
        <v>297</v>
      </c>
      <c r="G79" s="713" t="s">
        <v>297</v>
      </c>
      <c r="H79" s="713" t="s">
        <v>297</v>
      </c>
      <c r="I79" s="713"/>
      <c r="J79" s="715"/>
      <c r="K79" s="450"/>
      <c r="L79" s="450"/>
      <c r="M79" s="450"/>
      <c r="N79" s="713"/>
      <c r="O79" s="715"/>
      <c r="P79" s="30"/>
      <c r="Q79" s="252"/>
      <c r="R79" s="30"/>
      <c r="S79" s="713" t="s">
        <v>297</v>
      </c>
      <c r="T79" s="713" t="s">
        <v>297</v>
      </c>
      <c r="U79" s="713" t="s">
        <v>297</v>
      </c>
    </row>
    <row r="80" spans="1:21" ht="27.75" hidden="1" thickBot="1">
      <c r="A80" s="80"/>
      <c r="B80" s="310" t="s">
        <v>151</v>
      </c>
      <c r="C80" s="449" t="s">
        <v>298</v>
      </c>
      <c r="D80" s="437" t="s">
        <v>169</v>
      </c>
      <c r="E80" s="30"/>
      <c r="F80" s="713" t="s">
        <v>297</v>
      </c>
      <c r="G80" s="713" t="s">
        <v>297</v>
      </c>
      <c r="H80" s="713" t="s">
        <v>297</v>
      </c>
      <c r="I80" s="713"/>
      <c r="J80" s="715"/>
      <c r="K80" s="450"/>
      <c r="L80" s="450"/>
      <c r="M80" s="450"/>
      <c r="N80" s="713"/>
      <c r="O80" s="715"/>
      <c r="P80" s="30"/>
      <c r="Q80" s="252"/>
      <c r="R80" s="30"/>
      <c r="S80" s="713" t="s">
        <v>297</v>
      </c>
      <c r="T80" s="713" t="s">
        <v>297</v>
      </c>
      <c r="U80" s="713" t="s">
        <v>297</v>
      </c>
    </row>
    <row r="81" spans="1:21" ht="40.5" hidden="1">
      <c r="A81" s="80"/>
      <c r="B81" s="310" t="s">
        <v>151</v>
      </c>
      <c r="C81" s="449" t="s">
        <v>299</v>
      </c>
      <c r="D81" s="437" t="s">
        <v>300</v>
      </c>
      <c r="E81" s="30"/>
      <c r="F81" s="713" t="s">
        <v>301</v>
      </c>
      <c r="G81" s="713" t="s">
        <v>301</v>
      </c>
      <c r="H81" s="713" t="s">
        <v>301</v>
      </c>
      <c r="I81" s="713"/>
      <c r="J81" s="715"/>
      <c r="K81" s="450"/>
      <c r="L81" s="450"/>
      <c r="M81" s="450"/>
      <c r="N81" s="713"/>
      <c r="O81" s="715"/>
      <c r="P81" s="30"/>
      <c r="Q81" s="244"/>
      <c r="R81" s="30"/>
      <c r="S81" s="713" t="s">
        <v>301</v>
      </c>
      <c r="T81" s="713" t="s">
        <v>301</v>
      </c>
      <c r="U81" s="713" t="s">
        <v>301</v>
      </c>
    </row>
    <row r="82" spans="1:21" ht="40.5" hidden="1">
      <c r="A82" s="80"/>
      <c r="B82" s="310" t="s">
        <v>151</v>
      </c>
      <c r="C82" s="449" t="s">
        <v>302</v>
      </c>
      <c r="D82" s="596" t="s">
        <v>303</v>
      </c>
      <c r="E82" s="30"/>
      <c r="F82" s="713" t="s">
        <v>263</v>
      </c>
      <c r="G82" s="713" t="s">
        <v>263</v>
      </c>
      <c r="H82" s="713" t="s">
        <v>263</v>
      </c>
      <c r="I82" s="713"/>
      <c r="J82" s="714"/>
      <c r="K82" s="450"/>
      <c r="L82" s="450"/>
      <c r="M82" s="450"/>
      <c r="N82" s="713"/>
      <c r="O82" s="714"/>
      <c r="P82" s="30"/>
      <c r="Q82" s="244"/>
      <c r="R82" s="30"/>
      <c r="S82" s="713" t="s">
        <v>263</v>
      </c>
      <c r="T82" s="713" t="s">
        <v>263</v>
      </c>
      <c r="U82" s="713" t="s">
        <v>263</v>
      </c>
    </row>
    <row r="83" spans="1:21" ht="33.75" hidden="1">
      <c r="A83" s="80"/>
      <c r="B83" s="310" t="s">
        <v>151</v>
      </c>
      <c r="C83" s="449" t="s">
        <v>304</v>
      </c>
      <c r="D83" s="437" t="s">
        <v>305</v>
      </c>
      <c r="E83" s="30"/>
      <c r="F83" s="713" t="s">
        <v>263</v>
      </c>
      <c r="G83" s="713" t="s">
        <v>263</v>
      </c>
      <c r="H83" s="713" t="s">
        <v>263</v>
      </c>
      <c r="I83" s="713"/>
      <c r="J83" s="715"/>
      <c r="K83" s="450"/>
      <c r="L83" s="450"/>
      <c r="M83" s="450"/>
      <c r="N83" s="713"/>
      <c r="O83" s="715"/>
      <c r="P83" s="30"/>
      <c r="Q83" s="244"/>
      <c r="R83" s="30"/>
      <c r="S83" s="713" t="s">
        <v>263</v>
      </c>
      <c r="T83" s="713" t="s">
        <v>263</v>
      </c>
      <c r="U83" s="713" t="s">
        <v>263</v>
      </c>
    </row>
    <row r="84" spans="1:21">
      <c r="A84" s="137"/>
      <c r="B84" s="335" t="s">
        <v>148</v>
      </c>
      <c r="C84" s="449" t="s">
        <v>306</v>
      </c>
      <c r="D84" s="1148" t="s">
        <v>169</v>
      </c>
      <c r="E84" s="30"/>
      <c r="F84" s="713"/>
      <c r="G84" s="713"/>
      <c r="H84" s="713"/>
      <c r="I84" s="713"/>
      <c r="J84" s="451"/>
      <c r="K84" s="451"/>
      <c r="L84" s="451"/>
      <c r="M84" s="451"/>
      <c r="N84" s="713"/>
      <c r="O84" s="451"/>
      <c r="P84" s="30"/>
      <c r="Q84" s="244"/>
      <c r="R84" s="30"/>
      <c r="S84" s="713">
        <v>88185</v>
      </c>
      <c r="T84" s="713">
        <v>88185</v>
      </c>
      <c r="U84" s="713">
        <v>88185</v>
      </c>
    </row>
    <row r="85" spans="1:21">
      <c r="A85" s="80"/>
      <c r="B85" s="335" t="s">
        <v>148</v>
      </c>
      <c r="C85" s="61" t="s">
        <v>307</v>
      </c>
      <c r="D85" s="1148" t="s">
        <v>169</v>
      </c>
      <c r="E85" s="30"/>
      <c r="F85" s="451"/>
      <c r="G85" s="513"/>
      <c r="H85" s="451"/>
      <c r="I85" s="451"/>
      <c r="J85" s="716"/>
      <c r="K85" s="451"/>
      <c r="L85" s="451"/>
      <c r="M85" s="451"/>
      <c r="N85" s="451"/>
      <c r="O85" s="716"/>
      <c r="P85" s="30"/>
      <c r="Q85" s="244"/>
      <c r="R85" s="30"/>
      <c r="S85" s="451">
        <v>0</v>
      </c>
      <c r="T85" s="513">
        <v>0</v>
      </c>
      <c r="U85" s="451">
        <v>0</v>
      </c>
    </row>
    <row r="86" spans="1:21" ht="15" hidden="1" customHeight="1">
      <c r="A86" s="424"/>
      <c r="B86" s="310" t="s">
        <v>153</v>
      </c>
      <c r="C86" s="171" t="s">
        <v>308</v>
      </c>
      <c r="D86" s="438" t="s">
        <v>309</v>
      </c>
      <c r="E86" s="30"/>
      <c r="F86" s="456" t="e">
        <f t="array" ref="F86">INDEX(Dropdowns_v2!$D$2:$D$248, MATCH(REDiTool!F$25, IF(Dropdowns_v2!$C$2:$C$248=REDiTool!$C$86,Dropdowns_v2!$B$2:$B$248,""),0))</f>
        <v>#N/A</v>
      </c>
      <c r="G86" s="456" t="e">
        <f t="array" ref="G86">INDEX(Dropdowns_v2!$D$2:$D$248, MATCH(REDiTool!G$25, IF(Dropdowns_v2!$C$2:$C$248=REDiTool!$C$86,Dropdowns_v2!$B$2:$B$248,""),0))</f>
        <v>#N/A</v>
      </c>
      <c r="H86" s="456" t="e">
        <f t="array" ref="H86">INDEX(Dropdowns_v2!$D$2:$D$248, MATCH(REDiTool!H$25, IF(Dropdowns_v2!$C$2:$C$248=REDiTool!$C$86,Dropdowns_v2!$B$2:$B$248,""),0))</f>
        <v>#N/A</v>
      </c>
      <c r="I86" s="456" t="e">
        <f t="array" ref="I86">INDEX(Dropdowns_v2!$D$2:$D$248, MATCH(REDiTool!I$25, IF(Dropdowns_v2!$C$2:$C$248=REDiTool!$C$86,Dropdowns_v2!$B$2:$B$248,""),0))</f>
        <v>#N/A</v>
      </c>
      <c r="J86" s="456" t="e">
        <f t="array" ref="J86">INDEX(Dropdowns_v2!$D$2:$D$248, MATCH(REDiTool!J$25, IF(Dropdowns_v2!$C$2:$C$248=REDiTool!$C$86,Dropdowns_v2!$B$2:$B$248,""),0))</f>
        <v>#N/A</v>
      </c>
      <c r="K86" s="456" t="e">
        <f t="array" ref="K86">INDEX(Dropdowns_v2!$D$2:$D$248, MATCH(REDiTool!K$25, IF(Dropdowns_v2!$C$2:$C$248=REDiTool!$C$86,Dropdowns_v2!$B$2:$B$248,""),0))</f>
        <v>#N/A</v>
      </c>
      <c r="L86" s="456" t="e">
        <f t="array" ref="L86">INDEX(Dropdowns_v2!$D$2:$D$248, MATCH(REDiTool!L$25, IF(Dropdowns_v2!$C$2:$C$248=REDiTool!$C$86,Dropdowns_v2!$B$2:$B$248,""),0))</f>
        <v>#N/A</v>
      </c>
      <c r="M86" s="456" t="e">
        <f t="array" ref="M86">INDEX(Dropdowns_v2!$D$2:$D$248, MATCH(REDiTool!M$25, IF(Dropdowns_v2!$C$2:$C$248=REDiTool!$C$86,Dropdowns_v2!$B$2:$B$248,""),0))</f>
        <v>#N/A</v>
      </c>
      <c r="N86" s="456" t="e">
        <f t="array" ref="N86">INDEX(Dropdowns_v2!$D$2:$D$248, MATCH(REDiTool!N$25, IF(Dropdowns_v2!$C$2:$C$248=REDiTool!$C$86,Dropdowns_v2!$B$2:$B$248,""),0))</f>
        <v>#N/A</v>
      </c>
      <c r="O86" s="456" t="e">
        <f t="array" ref="O86">INDEX(Dropdowns_v2!$D$2:$D$248, MATCH(REDiTool!O$25, IF(Dropdowns_v2!$C$2:$C$248=REDiTool!$C$86,Dropdowns_v2!$B$2:$B$248,""),0))</f>
        <v>#N/A</v>
      </c>
      <c r="P86" s="30"/>
      <c r="Q86" s="244"/>
      <c r="R86" s="30"/>
      <c r="S86" s="456">
        <f t="array" ref="S86">INDEX(Dropdowns_v2!$D$2:$D$248, MATCH(REDiTool!S$25, IF(Dropdowns_v2!$C$2:$C$248=REDiTool!$C$86,Dropdowns_v2!$B$2:$B$248,""),0))</f>
        <v>100</v>
      </c>
      <c r="T86" s="456">
        <f t="array" ref="T86">INDEX(Dropdowns_v2!$D$2:$D$248, MATCH(REDiTool!T$25, IF(Dropdowns_v2!$C$2:$C$248=REDiTool!$C$86,Dropdowns_v2!$B$2:$B$248,""),0))</f>
        <v>100</v>
      </c>
      <c r="U86" s="456">
        <f t="array" ref="U86">INDEX(Dropdowns_v2!$D$2:$D$248, MATCH(REDiTool!U$25, IF(Dropdowns_v2!$C$2:$C$248=REDiTool!$C$86,Dropdowns_v2!$B$2:$B$248,""),0))</f>
        <v>100</v>
      </c>
    </row>
    <row r="87" spans="1:21" ht="15" hidden="1" customHeight="1">
      <c r="A87" s="137"/>
      <c r="B87" s="310" t="s">
        <v>153</v>
      </c>
      <c r="C87" s="169" t="s">
        <v>310</v>
      </c>
      <c r="D87" s="438" t="s">
        <v>309</v>
      </c>
      <c r="E87" s="30"/>
      <c r="F87" s="47" t="e">
        <f t="shared" ref="F87:O87" si="17">F84*F86</f>
        <v>#N/A</v>
      </c>
      <c r="G87" s="47" t="e">
        <f t="shared" si="17"/>
        <v>#N/A</v>
      </c>
      <c r="H87" s="47" t="e">
        <f t="shared" si="17"/>
        <v>#N/A</v>
      </c>
      <c r="I87" s="47" t="e">
        <f t="shared" si="17"/>
        <v>#N/A</v>
      </c>
      <c r="J87" s="47" t="e">
        <f>J84*J86</f>
        <v>#N/A</v>
      </c>
      <c r="K87" s="47" t="e">
        <f t="shared" si="17"/>
        <v>#N/A</v>
      </c>
      <c r="L87" s="47" t="e">
        <f t="shared" si="17"/>
        <v>#N/A</v>
      </c>
      <c r="M87" s="47" t="e">
        <f t="shared" si="17"/>
        <v>#N/A</v>
      </c>
      <c r="N87" s="47" t="e">
        <f t="shared" si="17"/>
        <v>#N/A</v>
      </c>
      <c r="O87" s="47" t="e">
        <f t="shared" si="17"/>
        <v>#N/A</v>
      </c>
      <c r="P87" s="30"/>
      <c r="Q87" s="244"/>
      <c r="R87" s="30"/>
      <c r="S87" s="47">
        <f t="shared" ref="S87:U87" si="18">S84*S86</f>
        <v>8818500</v>
      </c>
      <c r="T87" s="47">
        <f t="shared" si="18"/>
        <v>8818500</v>
      </c>
      <c r="U87" s="47">
        <f t="shared" si="18"/>
        <v>8818500</v>
      </c>
    </row>
    <row r="88" spans="1:21" ht="15" hidden="1" customHeight="1">
      <c r="A88" s="137"/>
      <c r="B88" s="310" t="s">
        <v>153</v>
      </c>
      <c r="C88" s="169" t="s">
        <v>311</v>
      </c>
      <c r="D88" s="437" t="s">
        <v>312</v>
      </c>
      <c r="E88" s="30"/>
      <c r="F88" s="457">
        <f>F26</f>
        <v>0</v>
      </c>
      <c r="G88" s="457">
        <f>G26</f>
        <v>0</v>
      </c>
      <c r="H88" s="457">
        <f>H26</f>
        <v>0</v>
      </c>
      <c r="I88" s="457">
        <f>I26</f>
        <v>0</v>
      </c>
      <c r="J88" s="457">
        <f t="shared" ref="J88:M88" si="19">J26</f>
        <v>0</v>
      </c>
      <c r="K88" s="457">
        <f t="shared" si="19"/>
        <v>0</v>
      </c>
      <c r="L88" s="457">
        <f t="shared" si="19"/>
        <v>0</v>
      </c>
      <c r="M88" s="457">
        <f t="shared" si="19"/>
        <v>0</v>
      </c>
      <c r="N88" s="457">
        <f>N26</f>
        <v>0</v>
      </c>
      <c r="O88" s="457">
        <f>O26</f>
        <v>0</v>
      </c>
      <c r="P88" s="30"/>
      <c r="Q88" s="244"/>
      <c r="R88" s="30"/>
      <c r="S88" s="457" t="str">
        <f>S26</f>
        <v>#2 Oil</v>
      </c>
      <c r="T88" s="457" t="str">
        <f>T26</f>
        <v>#2 Oil</v>
      </c>
      <c r="U88" s="457" t="str">
        <f>U26</f>
        <v>#2 Oil</v>
      </c>
    </row>
    <row r="89" spans="1:21" ht="15" hidden="1" customHeight="1">
      <c r="A89" s="137"/>
      <c r="B89" s="310" t="s">
        <v>153</v>
      </c>
      <c r="C89" s="169" t="s">
        <v>307</v>
      </c>
      <c r="D89" s="437" t="s">
        <v>312</v>
      </c>
      <c r="E89" s="30"/>
      <c r="F89" s="46">
        <f>F85</f>
        <v>0</v>
      </c>
      <c r="G89" s="46">
        <v>0</v>
      </c>
      <c r="H89" s="46">
        <f t="shared" ref="H89:O89" si="20">H85</f>
        <v>0</v>
      </c>
      <c r="I89" s="46">
        <f t="shared" si="20"/>
        <v>0</v>
      </c>
      <c r="J89" s="46">
        <f t="shared" si="20"/>
        <v>0</v>
      </c>
      <c r="K89" s="46">
        <f t="shared" si="20"/>
        <v>0</v>
      </c>
      <c r="L89" s="46">
        <f t="shared" si="20"/>
        <v>0</v>
      </c>
      <c r="M89" s="46">
        <f t="shared" si="20"/>
        <v>0</v>
      </c>
      <c r="N89" s="46">
        <f t="shared" si="20"/>
        <v>0</v>
      </c>
      <c r="O89" s="46">
        <f t="shared" si="20"/>
        <v>0</v>
      </c>
      <c r="P89" s="30"/>
      <c r="Q89" s="244"/>
      <c r="R89" s="30"/>
      <c r="S89" s="46">
        <f>S85</f>
        <v>0</v>
      </c>
      <c r="T89" s="46">
        <f t="shared" ref="T89:U89" si="21">T85</f>
        <v>0</v>
      </c>
      <c r="U89" s="46">
        <f t="shared" si="21"/>
        <v>0</v>
      </c>
    </row>
    <row r="90" spans="1:21" ht="15" hidden="1" customHeight="1">
      <c r="A90" s="137"/>
      <c r="B90" s="310" t="s">
        <v>153</v>
      </c>
      <c r="C90" s="171" t="s">
        <v>308</v>
      </c>
      <c r="D90" s="438" t="s">
        <v>313</v>
      </c>
      <c r="E90" s="30"/>
      <c r="F90" s="456" t="e">
        <f t="array" ref="F90">INDEX(Dropdowns_v2!$D$2:$D$248, MATCH(REDiTool!F$88, IF(Dropdowns_v2!$C$2:$C$248=REDiTool!$C$90,Dropdowns_v2!$B$2:$B$248,""),0))</f>
        <v>#N/A</v>
      </c>
      <c r="G90" s="456" t="e">
        <f t="array" ref="G90">INDEX(Dropdowns_v2!$D$2:$D$248, MATCH(REDiTool!G$88, IF(Dropdowns_v2!$C$2:$C$248=REDiTool!$C$90,Dropdowns_v2!$B$2:$B$248,""),0))</f>
        <v>#N/A</v>
      </c>
      <c r="H90" s="456" t="e">
        <f t="array" ref="H90">INDEX(Dropdowns_v2!$D$2:$D$248, MATCH(REDiTool!H$88, IF(Dropdowns_v2!$C$2:$C$248=REDiTool!$C$90,Dropdowns_v2!$B$2:$B$248,""),0))</f>
        <v>#N/A</v>
      </c>
      <c r="I90" s="456" t="e">
        <f t="array" ref="I90">INDEX(Dropdowns_v2!$D$2:$D$248, MATCH(REDiTool!I$88, IF(Dropdowns_v2!$C$2:$C$248=REDiTool!$C$90,Dropdowns_v2!$B$2:$B$248,""),0))</f>
        <v>#N/A</v>
      </c>
      <c r="J90" s="456" t="e">
        <f t="array" ref="J90">INDEX(Dropdowns_v2!$D$2:$D$248, MATCH(REDiTool!J$88, IF(Dropdowns_v2!$C$2:$C$248=REDiTool!$C$90,Dropdowns_v2!$B$2:$B$248,""),0))</f>
        <v>#N/A</v>
      </c>
      <c r="K90" s="456" t="e">
        <f t="array" ref="K90">INDEX(Dropdowns_v2!$D$2:$D$248, MATCH(REDiTool!K$88, IF(Dropdowns_v2!$C$2:$C$248=REDiTool!$C$90,Dropdowns_v2!$B$2:$B$248,""),0))</f>
        <v>#N/A</v>
      </c>
      <c r="L90" s="456" t="e">
        <f t="array" ref="L90">INDEX(Dropdowns_v2!$D$2:$D$248, MATCH(REDiTool!L$88, IF(Dropdowns_v2!$C$2:$C$248=REDiTool!$C$90,Dropdowns_v2!$B$2:$B$248,""),0))</f>
        <v>#N/A</v>
      </c>
      <c r="M90" s="456" t="e">
        <f t="array" ref="M90">INDEX(Dropdowns_v2!$D$2:$D$248, MATCH(REDiTool!M$88, IF(Dropdowns_v2!$C$2:$C$248=REDiTool!$C$90,Dropdowns_v2!$B$2:$B$248,""),0))</f>
        <v>#N/A</v>
      </c>
      <c r="N90" s="456" t="e">
        <f t="array" ref="N90">INDEX(Dropdowns_v2!$D$2:$D$248, MATCH(REDiTool!N$88, IF(Dropdowns_v2!$C$2:$C$248=REDiTool!$C$90,Dropdowns_v2!$B$2:$B$248,""),0))</f>
        <v>#N/A</v>
      </c>
      <c r="O90" s="456" t="e">
        <f t="array" ref="O90">INDEX(Dropdowns_v2!$D$2:$D$248, MATCH(REDiTool!O$88, IF(Dropdowns_v2!$C$2:$C$248=REDiTool!$C$90,Dropdowns_v2!$B$2:$B$248,""),0))</f>
        <v>#N/A</v>
      </c>
      <c r="P90" s="30"/>
      <c r="Q90" s="244"/>
      <c r="R90" s="30"/>
      <c r="S90" s="456">
        <f t="array" ref="S90">INDEX(Dropdowns_v2!$D$2:$D$248, MATCH(REDiTool!S$88, IF(Dropdowns_v2!$C$2:$C$248=REDiTool!$C$90,Dropdowns_v2!$B$2:$B$248,""),0))</f>
        <v>138</v>
      </c>
      <c r="T90" s="456">
        <f t="array" ref="T90">INDEX(Dropdowns_v2!$D$2:$D$248, MATCH(REDiTool!T$88, IF(Dropdowns_v2!$C$2:$C$248=REDiTool!$C$90,Dropdowns_v2!$B$2:$B$248,""),0))</f>
        <v>138</v>
      </c>
      <c r="U90" s="456">
        <f t="array" ref="U90">INDEX(Dropdowns_v2!$D$2:$D$248, MATCH(REDiTool!U$88, IF(Dropdowns_v2!$C$2:$C$248=REDiTool!$C$90,Dropdowns_v2!$B$2:$B$248,""),0))</f>
        <v>138</v>
      </c>
    </row>
    <row r="91" spans="1:21" ht="15" hidden="1" customHeight="1">
      <c r="A91" s="137"/>
      <c r="B91" s="310" t="s">
        <v>153</v>
      </c>
      <c r="C91" s="169" t="s">
        <v>314</v>
      </c>
      <c r="D91" s="438" t="s">
        <v>313</v>
      </c>
      <c r="E91" s="30"/>
      <c r="F91" s="456">
        <f>IFERROR(F89*F90,0)</f>
        <v>0</v>
      </c>
      <c r="G91" s="456">
        <f>IFERROR(G89*G90,0)</f>
        <v>0</v>
      </c>
      <c r="H91" s="456">
        <f t="shared" ref="H91:I91" si="22">IFERROR(H89*H90,0)</f>
        <v>0</v>
      </c>
      <c r="I91" s="456">
        <f t="shared" si="22"/>
        <v>0</v>
      </c>
      <c r="J91" s="456">
        <f>IFERROR(J89*J90,0)</f>
        <v>0</v>
      </c>
      <c r="K91" s="456" t="e">
        <f t="shared" ref="K91:O91" si="23">K89*K90</f>
        <v>#N/A</v>
      </c>
      <c r="L91" s="456" t="e">
        <f>L89*L90</f>
        <v>#N/A</v>
      </c>
      <c r="M91" s="456" t="e">
        <f t="shared" ref="M91:N91" si="24">M89*M90</f>
        <v>#N/A</v>
      </c>
      <c r="N91" s="456" t="e">
        <f t="shared" si="24"/>
        <v>#N/A</v>
      </c>
      <c r="O91" s="456" t="e">
        <f t="shared" si="23"/>
        <v>#N/A</v>
      </c>
      <c r="P91" s="30"/>
      <c r="Q91" s="244"/>
      <c r="R91" s="30"/>
      <c r="S91" s="456">
        <f>IFERROR(S89*S90,0)</f>
        <v>0</v>
      </c>
      <c r="T91" s="456">
        <f t="shared" ref="T91:U91" si="25">IFERROR(T89*T90,0)</f>
        <v>0</v>
      </c>
      <c r="U91" s="456">
        <f t="shared" si="25"/>
        <v>0</v>
      </c>
    </row>
    <row r="92" spans="1:21" ht="15" hidden="1" customHeight="1">
      <c r="A92" s="137"/>
      <c r="B92" s="310" t="s">
        <v>153</v>
      </c>
      <c r="C92" s="169" t="s">
        <v>315</v>
      </c>
      <c r="D92" s="438" t="s">
        <v>316</v>
      </c>
      <c r="E92" s="30"/>
      <c r="F92" s="47" t="e">
        <f>(F87+F91)</f>
        <v>#N/A</v>
      </c>
      <c r="G92" s="47" t="e">
        <f>(G87+G91)</f>
        <v>#N/A</v>
      </c>
      <c r="H92" s="47" t="e">
        <f t="shared" ref="H92:O92" si="26">(H87+H91)</f>
        <v>#N/A</v>
      </c>
      <c r="I92" s="47" t="e">
        <f t="shared" si="26"/>
        <v>#N/A</v>
      </c>
      <c r="J92" s="47" t="e">
        <f>(J87+J91)</f>
        <v>#N/A</v>
      </c>
      <c r="K92" s="47" t="e">
        <f t="shared" si="26"/>
        <v>#N/A</v>
      </c>
      <c r="L92" s="47" t="e">
        <f t="shared" si="26"/>
        <v>#N/A</v>
      </c>
      <c r="M92" s="47" t="e">
        <f t="shared" ref="M92:N92" si="27">(M87+M91)</f>
        <v>#N/A</v>
      </c>
      <c r="N92" s="47" t="e">
        <f t="shared" si="27"/>
        <v>#N/A</v>
      </c>
      <c r="O92" s="47" t="e">
        <f t="shared" si="26"/>
        <v>#N/A</v>
      </c>
      <c r="P92" s="30"/>
      <c r="Q92" s="244"/>
      <c r="R92" s="30"/>
      <c r="S92" s="47">
        <f>(S87+S91)</f>
        <v>8818500</v>
      </c>
      <c r="T92" s="47">
        <f t="shared" ref="T92:U92" si="28">(T87+T91)</f>
        <v>8818500</v>
      </c>
      <c r="U92" s="47">
        <f t="shared" si="28"/>
        <v>8818500</v>
      </c>
    </row>
    <row r="93" spans="1:21" ht="33.75" hidden="1">
      <c r="A93" s="137"/>
      <c r="B93" s="310" t="s">
        <v>151</v>
      </c>
      <c r="C93" s="169" t="s">
        <v>317</v>
      </c>
      <c r="D93" s="438" t="s">
        <v>318</v>
      </c>
      <c r="E93" s="30"/>
      <c r="F93" s="454">
        <v>0.75</v>
      </c>
      <c r="G93" s="454">
        <v>0.75</v>
      </c>
      <c r="H93" s="454">
        <v>0.75</v>
      </c>
      <c r="I93" s="454">
        <f t="array" ref="I93">INDEX(Dropdowns_v2!$D$2:$D$248, MATCH(REDiTool!$C$93, IF(Dropdowns_v2!$C$2:$C$248=REDiTool!$C$93,Dropdowns_v2!$B$2:$B$248,""),0))</f>
        <v>0.75</v>
      </c>
      <c r="J93" s="454">
        <v>0.82</v>
      </c>
      <c r="K93" s="454">
        <v>0.82</v>
      </c>
      <c r="L93" s="454">
        <f t="array" ref="L93">INDEX(Dropdowns_v2!$D$2:$D$248, MATCH(REDiTool!$C$93, IF(Dropdowns_v2!$C$2:$C$248=REDiTool!$C$93,Dropdowns_v2!$B$2:$B$248,""),0))</f>
        <v>0.75</v>
      </c>
      <c r="M93" s="454">
        <f t="array" ref="M93">INDEX(Dropdowns_v2!$D$2:$D$248, MATCH(REDiTool!$C$93, IF(Dropdowns_v2!$C$2:$C$248=REDiTool!$C$93,Dropdowns_v2!$B$2:$B$248,""),0))</f>
        <v>0.75</v>
      </c>
      <c r="N93" s="454">
        <f t="array" ref="N93">INDEX(Dropdowns_v2!$D$2:$D$248, MATCH(REDiTool!$C$93, IF(Dropdowns_v2!$C$2:$C$248=REDiTool!$C$93,Dropdowns_v2!$B$2:$B$248,""),0))</f>
        <v>0.75</v>
      </c>
      <c r="O93" s="454">
        <v>0.82</v>
      </c>
      <c r="P93" s="30"/>
      <c r="Q93" s="244"/>
      <c r="R93" s="30"/>
      <c r="S93" s="454">
        <f t="array" ref="S93">INDEX(Dropdowns_v2!$D$2:$D$248, MATCH(REDiTool!$C$93, IF(Dropdowns_v2!$C$2:$C$248=REDiTool!$C$93,Dropdowns_v2!$B$2:$B$248,""),0))</f>
        <v>0.75</v>
      </c>
      <c r="T93" s="454">
        <f t="array" ref="T93">INDEX(Dropdowns_v2!$D$2:$D$248, MATCH(REDiTool!$C$93, IF(Dropdowns_v2!$C$2:$C$248=REDiTool!$C$93,Dropdowns_v2!$B$2:$B$248,""),0))</f>
        <v>0.75</v>
      </c>
      <c r="U93" s="454">
        <f t="array" ref="U93">INDEX(Dropdowns_v2!$D$2:$D$248, MATCH(REDiTool!$C$93, IF(Dropdowns_v2!$C$2:$C$248=REDiTool!$C$93,Dropdowns_v2!$B$2:$B$248,""),0))</f>
        <v>0.75</v>
      </c>
    </row>
    <row r="94" spans="1:21" ht="26.65" hidden="1" customHeight="1">
      <c r="A94" s="427"/>
      <c r="B94" s="310" t="s">
        <v>151</v>
      </c>
      <c r="C94" s="170" t="s">
        <v>319</v>
      </c>
      <c r="D94" s="438" t="s">
        <v>318</v>
      </c>
      <c r="E94" s="30"/>
      <c r="F94" s="455">
        <v>0.6</v>
      </c>
      <c r="G94" s="455">
        <v>0.6</v>
      </c>
      <c r="H94" s="455">
        <v>0.6</v>
      </c>
      <c r="I94" s="455" t="e" cm="1">
        <f t="array" ref="I94">INDEX(Dropdowns_v2!$D$2:$D$248, MATCH(REDiTool!I$27, IF(Dropdowns_v2!$C$2:$C$248=REDiTool!$C$94,Dropdowns_v2!$B$2:$B$248,""),0))</f>
        <v>#N/A</v>
      </c>
      <c r="J94" s="455">
        <v>0.6</v>
      </c>
      <c r="K94" s="455">
        <v>0.6</v>
      </c>
      <c r="L94" s="455" t="e" cm="1">
        <f t="array" ref="L94">INDEX(Dropdowns_v2!$D$2:$D$248, MATCH(REDiTool!L$27, IF(Dropdowns_v2!$C$2:$C$248=REDiTool!$C$94,Dropdowns_v2!$B$2:$B$248,""),0))</f>
        <v>#N/A</v>
      </c>
      <c r="M94" s="455" t="e" cm="1">
        <f t="array" ref="M94">INDEX(Dropdowns_v2!$D$2:$D$248, MATCH(REDiTool!M$27, IF(Dropdowns_v2!$C$2:$C$248=REDiTool!$C$94,Dropdowns_v2!$B$2:$B$248,""),0))</f>
        <v>#N/A</v>
      </c>
      <c r="N94" s="455" t="e" cm="1">
        <f t="array" ref="N94">INDEX(Dropdowns_v2!$D$2:$D$248, MATCH(REDiTool!N$27, IF(Dropdowns_v2!$C$2:$C$248=REDiTool!$C$94,Dropdowns_v2!$B$2:$B$248,""),0))</f>
        <v>#N/A</v>
      </c>
      <c r="O94" s="455">
        <v>0.6</v>
      </c>
      <c r="P94" s="30"/>
      <c r="Q94" s="244"/>
      <c r="R94" s="30"/>
      <c r="S94" s="455" cm="1">
        <f t="array" ref="S94">INDEX(Dropdowns_v2!$D$2:$D$248, MATCH(REDiTool!S$27, IF(Dropdowns_v2!$C$2:$C$248=REDiTool!$C$94,Dropdowns_v2!$B$2:$B$248,""),0))</f>
        <v>0.6</v>
      </c>
      <c r="T94" s="455">
        <v>0.6</v>
      </c>
      <c r="U94" s="455" cm="1">
        <f t="array" ref="U94">INDEX(Dropdowns_v2!$D$2:$D$248, MATCH(REDiTool!U$27, IF(Dropdowns_v2!$C$2:$C$248=REDiTool!$C$94,Dropdowns_v2!$B$2:$B$248,""),0))</f>
        <v>0.6</v>
      </c>
    </row>
    <row r="95" spans="1:21" ht="24.75" customHeight="1">
      <c r="A95" s="80"/>
      <c r="B95" s="335" t="s">
        <v>148</v>
      </c>
      <c r="C95" s="61" t="s">
        <v>320</v>
      </c>
      <c r="D95" s="923" t="s">
        <v>321</v>
      </c>
      <c r="E95" s="30"/>
      <c r="F95" s="454"/>
      <c r="G95" s="454"/>
      <c r="H95" s="454"/>
      <c r="I95" s="454"/>
      <c r="J95" s="454"/>
      <c r="K95" s="454"/>
      <c r="L95" s="454"/>
      <c r="M95" s="454"/>
      <c r="N95" s="454"/>
      <c r="O95" s="454"/>
      <c r="P95" s="30"/>
      <c r="Q95" s="244"/>
      <c r="R95" s="30"/>
      <c r="S95" s="454">
        <v>0.65</v>
      </c>
      <c r="T95" s="454">
        <v>0.65</v>
      </c>
      <c r="U95" s="454">
        <v>0.65</v>
      </c>
    </row>
    <row r="96" spans="1:21" ht="24.75" customHeight="1">
      <c r="A96" s="80"/>
      <c r="B96" s="335" t="s">
        <v>148</v>
      </c>
      <c r="C96" s="61" t="s">
        <v>322</v>
      </c>
      <c r="D96" s="923" t="s">
        <v>323</v>
      </c>
      <c r="E96" s="30"/>
      <c r="F96" s="512"/>
      <c r="G96" s="512"/>
      <c r="H96" s="512"/>
      <c r="I96" s="512"/>
      <c r="J96" s="512"/>
      <c r="K96" s="512"/>
      <c r="L96" s="512"/>
      <c r="M96" s="512"/>
      <c r="N96" s="512"/>
      <c r="O96" s="512"/>
      <c r="P96" s="30"/>
      <c r="Q96" s="244"/>
      <c r="R96" s="30"/>
      <c r="S96" s="512">
        <v>0</v>
      </c>
      <c r="T96" s="512">
        <v>0</v>
      </c>
      <c r="U96" s="512">
        <v>0</v>
      </c>
    </row>
    <row r="97" spans="1:21" ht="36">
      <c r="A97" s="80"/>
      <c r="B97" s="335" t="s">
        <v>148</v>
      </c>
      <c r="C97" s="169" t="s">
        <v>324</v>
      </c>
      <c r="D97" s="923" t="s">
        <v>325</v>
      </c>
      <c r="E97" s="30"/>
      <c r="F97" s="452"/>
      <c r="G97" s="452"/>
      <c r="H97" s="452"/>
      <c r="I97" s="452"/>
      <c r="J97" s="452"/>
      <c r="K97" s="512"/>
      <c r="L97" s="452"/>
      <c r="M97" s="452"/>
      <c r="N97" s="452"/>
      <c r="O97" s="452"/>
      <c r="P97" s="30"/>
      <c r="Q97" s="244"/>
      <c r="R97" s="30"/>
      <c r="S97" s="452" t="s">
        <v>326</v>
      </c>
      <c r="T97" s="452" t="s">
        <v>326</v>
      </c>
      <c r="U97" s="452" t="s">
        <v>326</v>
      </c>
    </row>
    <row r="98" spans="1:21" ht="40.5">
      <c r="A98" s="509"/>
      <c r="B98" s="335" t="s">
        <v>148</v>
      </c>
      <c r="C98" s="171" t="s">
        <v>327</v>
      </c>
      <c r="D98" s="924" t="s">
        <v>328</v>
      </c>
      <c r="E98" s="30"/>
      <c r="F98" s="452"/>
      <c r="G98" s="452"/>
      <c r="H98" s="452"/>
      <c r="I98" s="453"/>
      <c r="J98" s="453"/>
      <c r="K98" s="452"/>
      <c r="L98" s="453"/>
      <c r="M98" s="453"/>
      <c r="N98" s="453"/>
      <c r="O98" s="453"/>
      <c r="P98" s="30"/>
      <c r="Q98" s="244"/>
      <c r="R98" s="30"/>
      <c r="S98" s="452" t="s">
        <v>329</v>
      </c>
      <c r="T98" s="452" t="s">
        <v>329</v>
      </c>
      <c r="U98" s="452" t="s">
        <v>329</v>
      </c>
    </row>
    <row r="99" spans="1:21" ht="22.5" hidden="1" customHeight="1">
      <c r="A99" s="137"/>
      <c r="B99" s="310" t="s">
        <v>151</v>
      </c>
      <c r="C99" s="171" t="s">
        <v>330</v>
      </c>
      <c r="D99" s="438" t="s">
        <v>331</v>
      </c>
      <c r="E99" s="30"/>
      <c r="F99" s="227" t="e">
        <f t="array" ref="F99">INDEX(Dropdowns_v2!$D$2:$D$248, MATCH(REDiTool!F$98, IF(Dropdowns_v2!$C$2:$C$248=REDiTool!$C$99,Dropdowns_v2!$B$2:$B$248,""),0))</f>
        <v>#N/A</v>
      </c>
      <c r="G99" s="228" t="e">
        <f t="array" ref="G99">INDEX(Dropdowns_v2!$D$2:$D$248, MATCH(REDiTool!G$98, IF(Dropdowns_v2!$C$2:$C$248=REDiTool!$C$99,Dropdowns_v2!$B$2:$B$248,""),0))</f>
        <v>#N/A</v>
      </c>
      <c r="H99" s="228" t="e">
        <f t="array" ref="H99">INDEX(Dropdowns_v2!$D$2:$D$248, MATCH(REDiTool!H$98, IF(Dropdowns_v2!$C$2:$C$248=REDiTool!$C$99,Dropdowns_v2!$B$2:$B$248,""),0))</f>
        <v>#N/A</v>
      </c>
      <c r="I99" s="228" t="e">
        <f t="array" ref="I99">INDEX(Dropdowns_v2!$D$2:$D$248, MATCH(REDiTool!I$98, IF(Dropdowns_v2!$C$2:$C$248=REDiTool!$C$99,Dropdowns_v2!$B$2:$B$248,""),0))</f>
        <v>#N/A</v>
      </c>
      <c r="J99" s="228" t="e">
        <f t="array" ref="J99">INDEX(Dropdowns_v2!$D$2:$D$248, MATCH(REDiTool!J$98, IF(Dropdowns_v2!$C$2:$C$248=REDiTool!$C$99,Dropdowns_v2!$B$2:$B$248,""),0))</f>
        <v>#N/A</v>
      </c>
      <c r="K99" s="228" t="e">
        <f t="array" ref="K99">INDEX(Dropdowns_v2!$D$2:$D$248, MATCH(REDiTool!K$98, IF(Dropdowns_v2!$C$2:$C$248=REDiTool!$C$99,Dropdowns_v2!$B$2:$B$248,""),0))</f>
        <v>#N/A</v>
      </c>
      <c r="L99" s="228" t="e">
        <f t="array" ref="L99">INDEX(Dropdowns_v2!$D$2:$D$248, MATCH(REDiTool!L$98, IF(Dropdowns_v2!$C$2:$C$248=REDiTool!$C$99,Dropdowns_v2!$B$2:$B$248,""),0))</f>
        <v>#N/A</v>
      </c>
      <c r="M99" s="228" t="e">
        <f t="array" ref="M99">INDEX(Dropdowns_v2!$D$2:$D$248, MATCH(REDiTool!M$98, IF(Dropdowns_v2!$C$2:$C$248=REDiTool!$C$99,Dropdowns_v2!$B$2:$B$248,""),0))</f>
        <v>#N/A</v>
      </c>
      <c r="N99" s="227" t="e">
        <f t="array" ref="N99">INDEX(Dropdowns_v2!$D$2:$D$248, MATCH(REDiTool!N$98, IF(Dropdowns_v2!$C$2:$C$248=REDiTool!$C$99,Dropdowns_v2!$B$2:$B$248,""),0))</f>
        <v>#N/A</v>
      </c>
      <c r="O99" s="227" t="e">
        <f t="array" ref="O99">INDEX(Dropdowns_v2!$D$2:$D$248, MATCH(REDiTool!O$98, IF(Dropdowns_v2!$C$2:$C$248=REDiTool!$C$99,Dropdowns_v2!$B$2:$B$248,""),0))</f>
        <v>#N/A</v>
      </c>
      <c r="P99" s="30"/>
      <c r="Q99" s="244"/>
      <c r="R99" s="30"/>
      <c r="S99" s="227">
        <f t="array" ref="S99">INDEX(Dropdowns_v2!$D$2:$D$248, MATCH(REDiTool!S$98, IF(Dropdowns_v2!$C$2:$C$248=REDiTool!$C$99,Dropdowns_v2!$B$2:$B$248,""),0))</f>
        <v>0.5</v>
      </c>
      <c r="T99" s="228">
        <f t="array" ref="T99">INDEX(Dropdowns_v2!$D$2:$D$248, MATCH(REDiTool!T$98, IF(Dropdowns_v2!$C$2:$C$248=REDiTool!$C$99,Dropdowns_v2!$B$2:$B$248,""),0))</f>
        <v>0.5</v>
      </c>
      <c r="U99" s="228">
        <f t="array" ref="U99">INDEX(Dropdowns_v2!$D$2:$D$248, MATCH(REDiTool!U$98, IF(Dropdowns_v2!$C$2:$C$248=REDiTool!$C$99,Dropdowns_v2!$B$2:$B$248,""),0))</f>
        <v>0.5</v>
      </c>
    </row>
    <row r="100" spans="1:21">
      <c r="A100" s="137"/>
      <c r="B100" s="310" t="s">
        <v>148</v>
      </c>
      <c r="C100" s="171" t="s">
        <v>332</v>
      </c>
      <c r="D100" s="923" t="s">
        <v>333</v>
      </c>
      <c r="E100" s="30"/>
      <c r="F100" s="227">
        <f>IF(F85=0,1-F95,IF(G95=100%,0,"Overwrite"))</f>
        <v>1</v>
      </c>
      <c r="G100" s="227">
        <f>IF(G85=0,1-G95,IF(G95=100%,0,"Overwrite"))</f>
        <v>1</v>
      </c>
      <c r="H100" s="227">
        <f t="shared" ref="H100:O100" si="29">IF(H85=0,1-H95,IF(H95=100%,0,"Overwrite"))</f>
        <v>1</v>
      </c>
      <c r="I100" s="227">
        <f t="shared" si="29"/>
        <v>1</v>
      </c>
      <c r="J100" s="227">
        <f t="shared" si="29"/>
        <v>1</v>
      </c>
      <c r="K100" s="227">
        <f t="shared" si="29"/>
        <v>1</v>
      </c>
      <c r="L100" s="227">
        <f t="shared" si="29"/>
        <v>1</v>
      </c>
      <c r="M100" s="227">
        <f t="shared" si="29"/>
        <v>1</v>
      </c>
      <c r="N100" s="227">
        <f t="shared" si="29"/>
        <v>1</v>
      </c>
      <c r="O100" s="227">
        <f t="shared" si="29"/>
        <v>1</v>
      </c>
      <c r="P100" s="30"/>
      <c r="Q100" s="244"/>
      <c r="R100" s="30"/>
      <c r="S100" s="227">
        <f>IF(S85=0,1-S95,IF(T95=100%,0,"Overwrite"))</f>
        <v>0.35</v>
      </c>
      <c r="T100" s="227">
        <f>IF(T85=0,1-T95,IF(T95=100%,0,"Overwrite"))</f>
        <v>0.35</v>
      </c>
      <c r="U100" s="227">
        <f t="shared" ref="U100" si="30">IF(U85=0,1-U95,IF(U95=100%,0,"Overwrite"))</f>
        <v>0.35</v>
      </c>
    </row>
    <row r="101" spans="1:21">
      <c r="A101" s="137"/>
      <c r="B101" s="310" t="s">
        <v>148</v>
      </c>
      <c r="C101" s="171" t="s">
        <v>334</v>
      </c>
      <c r="D101" s="923" t="s">
        <v>335</v>
      </c>
      <c r="E101" s="30"/>
      <c r="F101" s="226">
        <f>IF(F85=0,0,1-F96)</f>
        <v>0</v>
      </c>
      <c r="G101" s="226">
        <f t="shared" ref="G101:O101" si="31">IF(G85=0,0,1-G96)</f>
        <v>0</v>
      </c>
      <c r="H101" s="226">
        <f t="shared" si="31"/>
        <v>0</v>
      </c>
      <c r="I101" s="226">
        <f t="shared" si="31"/>
        <v>0</v>
      </c>
      <c r="J101" s="226">
        <f t="shared" si="31"/>
        <v>0</v>
      </c>
      <c r="K101" s="226">
        <f t="shared" si="31"/>
        <v>0</v>
      </c>
      <c r="L101" s="226">
        <f t="shared" si="31"/>
        <v>0</v>
      </c>
      <c r="M101" s="226">
        <f t="shared" si="31"/>
        <v>0</v>
      </c>
      <c r="N101" s="226">
        <f t="shared" si="31"/>
        <v>0</v>
      </c>
      <c r="O101" s="226">
        <f t="shared" si="31"/>
        <v>0</v>
      </c>
      <c r="P101" s="30"/>
      <c r="Q101" s="244"/>
      <c r="R101" s="30"/>
      <c r="S101" s="226">
        <f>IF(S85=0,0,1-S96)</f>
        <v>0</v>
      </c>
      <c r="T101" s="226">
        <f t="shared" ref="T101:U101" si="32">IF(T85=0,0,1-T96)</f>
        <v>0</v>
      </c>
      <c r="U101" s="226">
        <f t="shared" si="32"/>
        <v>0</v>
      </c>
    </row>
    <row r="102" spans="1:21" hidden="1">
      <c r="A102" s="137"/>
      <c r="B102" s="316" t="s">
        <v>151</v>
      </c>
      <c r="C102" s="195" t="s">
        <v>336</v>
      </c>
      <c r="D102" s="39"/>
      <c r="E102" s="30"/>
      <c r="F102" s="40"/>
      <c r="G102" s="90"/>
      <c r="H102" s="40"/>
      <c r="I102" s="41"/>
      <c r="J102" s="41"/>
      <c r="K102" s="41"/>
      <c r="L102" s="41"/>
      <c r="M102" s="41"/>
      <c r="N102" s="41"/>
      <c r="O102" s="41"/>
      <c r="P102" s="30"/>
      <c r="Q102" s="90"/>
      <c r="R102" s="30"/>
      <c r="S102" s="40"/>
      <c r="T102" s="90"/>
      <c r="U102" s="40"/>
    </row>
    <row r="103" spans="1:21" ht="22.15" hidden="1" customHeight="1">
      <c r="A103" s="137"/>
      <c r="B103" s="310" t="s">
        <v>151</v>
      </c>
      <c r="C103" s="172" t="s">
        <v>337</v>
      </c>
      <c r="D103" s="440" t="s">
        <v>338</v>
      </c>
      <c r="E103" s="30"/>
      <c r="F103" s="114" t="e">
        <f>((F84*F86*F95)+(F89*F91*F96))/F56</f>
        <v>#N/A</v>
      </c>
      <c r="G103" s="114" t="e">
        <f t="shared" ref="G103:I103" si="33">((G84*G86*G95)+(G89*G91*G96))/G56</f>
        <v>#N/A</v>
      </c>
      <c r="H103" s="114" t="e">
        <f t="shared" si="33"/>
        <v>#N/A</v>
      </c>
      <c r="I103" s="114" t="e">
        <f t="shared" si="33"/>
        <v>#N/A</v>
      </c>
      <c r="J103" s="114" t="e">
        <f>((J84*J86*J95)+(J89*J91*J96))/J56</f>
        <v>#N/A</v>
      </c>
      <c r="K103" s="114" t="e">
        <f t="shared" ref="K103:O103" si="34">((K84*K86*K95)+(K89*K90*K96))/K56</f>
        <v>#N/A</v>
      </c>
      <c r="L103" s="114" t="e">
        <f t="shared" si="34"/>
        <v>#N/A</v>
      </c>
      <c r="M103" s="114" t="e">
        <f t="shared" si="34"/>
        <v>#N/A</v>
      </c>
      <c r="N103" s="114" t="e">
        <f t="shared" si="34"/>
        <v>#N/A</v>
      </c>
      <c r="O103" s="114" t="e">
        <f t="shared" si="34"/>
        <v>#N/A</v>
      </c>
      <c r="P103" s="30"/>
      <c r="Q103" s="246"/>
      <c r="R103" s="30"/>
      <c r="S103" s="114">
        <f>((S84*S86*S95)+(S89*S91*S96))/S56</f>
        <v>39.327787307032587</v>
      </c>
      <c r="T103" s="114">
        <f t="shared" ref="T103:U103" si="35">((T84*T86*T95)+(T89*T91*T96))/T56</f>
        <v>39.327787307032587</v>
      </c>
      <c r="U103" s="114">
        <f t="shared" si="35"/>
        <v>39.327787307032587</v>
      </c>
    </row>
    <row r="104" spans="1:21" ht="27" hidden="1" customHeight="1">
      <c r="A104" s="137"/>
      <c r="B104" s="310" t="s">
        <v>151</v>
      </c>
      <c r="C104" s="173" t="s">
        <v>339</v>
      </c>
      <c r="D104" s="675" t="s">
        <v>340</v>
      </c>
      <c r="E104" s="30"/>
      <c r="F104" s="408" t="e">
        <f>((F84*F86)+(F89*F91))/F56</f>
        <v>#N/A</v>
      </c>
      <c r="G104" s="408" t="e">
        <f t="shared" ref="G104:I104" si="36">((G84*G86)+(G89*G91))/G56</f>
        <v>#N/A</v>
      </c>
      <c r="H104" s="408" t="e">
        <f t="shared" si="36"/>
        <v>#N/A</v>
      </c>
      <c r="I104" s="408" t="e">
        <f t="shared" si="36"/>
        <v>#N/A</v>
      </c>
      <c r="J104" s="408" t="e">
        <f>((J84*J86)+(J89*J91))/J56</f>
        <v>#N/A</v>
      </c>
      <c r="K104" s="408" t="e">
        <f t="shared" ref="K104:O104" si="37">((K84*K86)+(K89*K90))/K56</f>
        <v>#N/A</v>
      </c>
      <c r="L104" s="408" t="e">
        <f t="shared" si="37"/>
        <v>#N/A</v>
      </c>
      <c r="M104" s="408" t="e">
        <f t="shared" si="37"/>
        <v>#N/A</v>
      </c>
      <c r="N104" s="408" t="e">
        <f t="shared" si="37"/>
        <v>#N/A</v>
      </c>
      <c r="O104" s="408" t="e">
        <f t="shared" si="37"/>
        <v>#N/A</v>
      </c>
      <c r="P104" s="30"/>
      <c r="Q104" s="247"/>
      <c r="R104" s="30"/>
      <c r="S104" s="408">
        <f>((S84*S86)+(S89*S91))/S56</f>
        <v>60.504288164665525</v>
      </c>
      <c r="T104" s="408">
        <f t="shared" ref="T104:U104" si="38">((T84*T86)+(T89*T91))/T56</f>
        <v>60.504288164665525</v>
      </c>
      <c r="U104" s="408">
        <f t="shared" si="38"/>
        <v>60.504288164665525</v>
      </c>
    </row>
    <row r="105" spans="1:21" ht="15.75" customHeight="1">
      <c r="A105" s="137"/>
      <c r="B105" s="899" t="s">
        <v>148</v>
      </c>
      <c r="C105" s="168"/>
      <c r="D105" s="70"/>
      <c r="E105" s="71"/>
      <c r="F105" s="72"/>
      <c r="G105" s="72"/>
      <c r="H105" s="72"/>
      <c r="I105" s="72"/>
      <c r="J105" s="70"/>
      <c r="K105" s="70"/>
      <c r="L105" s="70"/>
      <c r="M105" s="70"/>
      <c r="N105" s="30"/>
      <c r="O105" s="30"/>
      <c r="P105" s="69"/>
      <c r="Q105" s="253"/>
      <c r="R105" s="69"/>
      <c r="S105" s="72"/>
      <c r="T105" s="72"/>
      <c r="U105" s="72"/>
    </row>
    <row r="106" spans="1:21" ht="15.75" hidden="1" customHeight="1" thickBot="1">
      <c r="A106" s="137"/>
      <c r="B106" s="309" t="s">
        <v>151</v>
      </c>
      <c r="C106" s="753" t="s">
        <v>341</v>
      </c>
      <c r="D106" s="123"/>
      <c r="E106" s="71"/>
      <c r="F106" s="72"/>
      <c r="G106" s="72"/>
      <c r="H106" s="72"/>
      <c r="I106" s="72"/>
      <c r="J106" s="70"/>
      <c r="K106" s="70"/>
      <c r="L106" s="70"/>
      <c r="M106" s="70"/>
      <c r="N106" s="30"/>
      <c r="O106" s="30"/>
      <c r="P106" s="69"/>
      <c r="Q106" s="253"/>
      <c r="R106" s="69"/>
      <c r="S106" s="72"/>
      <c r="T106" s="72"/>
      <c r="U106" s="72"/>
    </row>
    <row r="107" spans="1:21" s="709" customFormat="1" ht="17.649999999999999" customHeight="1">
      <c r="A107" s="509"/>
      <c r="B107" s="900" t="s">
        <v>148</v>
      </c>
      <c r="C107" s="1151" t="s">
        <v>342</v>
      </c>
      <c r="D107" s="75"/>
      <c r="E107" s="708"/>
      <c r="F107" s="479" t="s">
        <v>343</v>
      </c>
      <c r="G107" s="95"/>
      <c r="H107" s="81"/>
      <c r="I107" s="81"/>
      <c r="J107" s="81"/>
      <c r="K107" s="82"/>
      <c r="L107" s="42"/>
      <c r="M107" s="42"/>
      <c r="N107" s="42"/>
      <c r="O107" s="42"/>
      <c r="P107" s="708"/>
      <c r="Q107" s="254" t="s">
        <v>166</v>
      </c>
      <c r="R107" s="708"/>
      <c r="S107" s="479" t="s">
        <v>344</v>
      </c>
      <c r="T107" s="95"/>
      <c r="U107" s="81"/>
    </row>
    <row r="108" spans="1:21" ht="15" hidden="1" customHeight="1">
      <c r="A108" s="137"/>
      <c r="B108" s="317" t="s">
        <v>153</v>
      </c>
      <c r="C108" s="196" t="s">
        <v>345</v>
      </c>
      <c r="D108" s="50"/>
      <c r="E108" s="30"/>
      <c r="F108" s="45" t="s">
        <v>346</v>
      </c>
      <c r="G108" s="45" t="s">
        <v>346</v>
      </c>
      <c r="H108" s="45" t="s">
        <v>346</v>
      </c>
      <c r="I108" s="45" t="s">
        <v>346</v>
      </c>
      <c r="J108" s="45" t="s">
        <v>346</v>
      </c>
      <c r="K108" s="45" t="s">
        <v>346</v>
      </c>
      <c r="L108" s="45" t="s">
        <v>346</v>
      </c>
      <c r="M108" s="45" t="s">
        <v>346</v>
      </c>
      <c r="N108" s="45" t="s">
        <v>346</v>
      </c>
      <c r="O108" s="45" t="s">
        <v>346</v>
      </c>
      <c r="P108" s="30"/>
      <c r="Q108" s="255"/>
      <c r="R108" s="30"/>
      <c r="S108" s="45" t="s">
        <v>346</v>
      </c>
      <c r="T108" s="45" t="s">
        <v>346</v>
      </c>
      <c r="U108" s="45" t="s">
        <v>346</v>
      </c>
    </row>
    <row r="109" spans="1:21" ht="27">
      <c r="A109" s="209"/>
      <c r="B109" s="313" t="s">
        <v>148</v>
      </c>
      <c r="C109" s="174" t="s">
        <v>347</v>
      </c>
      <c r="D109" s="1133" t="s">
        <v>348</v>
      </c>
      <c r="E109" s="89"/>
      <c r="F109" s="116" t="e">
        <f t="shared" ref="F109:O109" si="39">F115+F131</f>
        <v>#N/A</v>
      </c>
      <c r="G109" s="116" t="e">
        <f t="shared" si="39"/>
        <v>#N/A</v>
      </c>
      <c r="H109" s="116" t="e">
        <f t="shared" si="39"/>
        <v>#N/A</v>
      </c>
      <c r="I109" s="116" t="e">
        <f t="shared" si="39"/>
        <v>#N/A</v>
      </c>
      <c r="J109" s="116" t="e">
        <f t="shared" si="39"/>
        <v>#N/A</v>
      </c>
      <c r="K109" s="116" t="e">
        <f t="shared" si="39"/>
        <v>#N/A</v>
      </c>
      <c r="L109" s="116" t="e">
        <f t="shared" si="39"/>
        <v>#N/A</v>
      </c>
      <c r="M109" s="116" t="e">
        <f t="shared" si="39"/>
        <v>#N/A</v>
      </c>
      <c r="N109" s="116" t="e">
        <f t="shared" si="39"/>
        <v>#N/A</v>
      </c>
      <c r="O109" s="116" t="e">
        <f t="shared" si="39"/>
        <v>#N/A</v>
      </c>
      <c r="P109" s="89"/>
      <c r="Q109" s="244"/>
      <c r="R109" s="89"/>
      <c r="S109" s="116">
        <f t="shared" ref="S109:U109" si="40">S115+S131</f>
        <v>101412.74999999999</v>
      </c>
      <c r="T109" s="116">
        <f t="shared" si="40"/>
        <v>207270.024</v>
      </c>
      <c r="U109" s="116">
        <f t="shared" si="40"/>
        <v>207270.024</v>
      </c>
    </row>
    <row r="110" spans="1:21" hidden="1">
      <c r="A110" s="209"/>
      <c r="B110" s="45" t="s">
        <v>290</v>
      </c>
      <c r="C110" s="916" t="s">
        <v>349</v>
      </c>
      <c r="D110" s="43"/>
      <c r="E110" s="30"/>
      <c r="F110" s="160"/>
      <c r="G110" s="160"/>
      <c r="H110" s="160"/>
      <c r="I110" s="160"/>
      <c r="J110" s="160"/>
      <c r="K110" s="160"/>
      <c r="L110" s="160"/>
      <c r="M110" s="160"/>
      <c r="N110" s="160"/>
      <c r="O110" s="160"/>
      <c r="P110" s="30"/>
      <c r="Q110" s="256"/>
      <c r="R110" s="30"/>
      <c r="S110" s="160"/>
      <c r="T110" s="160"/>
      <c r="U110" s="160"/>
    </row>
    <row r="111" spans="1:21" ht="15" hidden="1" customHeight="1">
      <c r="A111" s="137"/>
      <c r="B111" s="310" t="s">
        <v>153</v>
      </c>
      <c r="C111" s="175" t="s">
        <v>350</v>
      </c>
      <c r="D111" s="597" t="s">
        <v>351</v>
      </c>
      <c r="E111" s="30"/>
      <c r="F111" s="46">
        <f t="shared" ref="F111:O111" si="41">F$84</f>
        <v>0</v>
      </c>
      <c r="G111" s="46">
        <f t="shared" si="41"/>
        <v>0</v>
      </c>
      <c r="H111" s="46">
        <f t="shared" si="41"/>
        <v>0</v>
      </c>
      <c r="I111" s="46">
        <f t="shared" si="41"/>
        <v>0</v>
      </c>
      <c r="J111" s="46">
        <f>J$84</f>
        <v>0</v>
      </c>
      <c r="K111" s="46">
        <f t="shared" si="41"/>
        <v>0</v>
      </c>
      <c r="L111" s="46">
        <f t="shared" si="41"/>
        <v>0</v>
      </c>
      <c r="M111" s="46">
        <f t="shared" si="41"/>
        <v>0</v>
      </c>
      <c r="N111" s="46">
        <f t="shared" si="41"/>
        <v>0</v>
      </c>
      <c r="O111" s="46">
        <f t="shared" si="41"/>
        <v>0</v>
      </c>
      <c r="P111" s="30"/>
      <c r="Q111" s="246"/>
      <c r="R111" s="30"/>
      <c r="S111" s="46">
        <f t="shared" ref="S111:U111" si="42">S$84</f>
        <v>88185</v>
      </c>
      <c r="T111" s="46">
        <f t="shared" si="42"/>
        <v>88185</v>
      </c>
      <c r="U111" s="46">
        <f t="shared" si="42"/>
        <v>88185</v>
      </c>
    </row>
    <row r="112" spans="1:21" ht="15" hidden="1" customHeight="1">
      <c r="A112" s="424"/>
      <c r="B112" s="310" t="s">
        <v>153</v>
      </c>
      <c r="C112" s="175" t="s">
        <v>352</v>
      </c>
      <c r="D112" s="65" t="s">
        <v>17</v>
      </c>
      <c r="E112" s="30"/>
      <c r="F112" s="96" t="e" cm="1">
        <f t="array" ref="F112">IF(F$25="Natural Gas",INDEX(Dropdowns_v2!$D$169:$D$170,MATCH(F$31,Dropdowns_v2!$C$169:$C$170,0)),INDEX(Dropdowns_v2!$D$2:$D$248, MATCH(REDiTool!F$25, IF(Dropdowns_v2!$C$2:$C$248=REDiTool!$C$112,Dropdowns_v2!$B$2:$B$248,""),0)))</f>
        <v>#N/A</v>
      </c>
      <c r="G112" s="96" t="e" cm="1">
        <f t="array" ref="G112">IF(G$25="Natural Gas",INDEX(Dropdowns_v2!$D$169:$D$170,MATCH(G$31,Dropdowns_v2!$C$169:$C$170,0)),INDEX(Dropdowns_v2!$D$2:$D$248, MATCH(REDiTool!G$25, IF(Dropdowns_v2!$C$2:$C$248=REDiTool!$C$112,Dropdowns_v2!$B$2:$B$248,""),0)))</f>
        <v>#N/A</v>
      </c>
      <c r="H112" s="96" t="e" cm="1">
        <f t="array" ref="H112">IF(H$25="Natural Gas",INDEX(Dropdowns_v2!$D$169:$D$170,MATCH(H$31,Dropdowns_v2!$C$169:$C$170,0)),INDEX(Dropdowns_v2!$D$2:$D$248, MATCH(REDiTool!H$25, IF(Dropdowns_v2!$C$2:$C$248=REDiTool!$C$112,Dropdowns_v2!$B$2:$B$248,""),0)))</f>
        <v>#N/A</v>
      </c>
      <c r="I112" s="96" t="e" cm="1">
        <f t="array" ref="I112">IF(I$25="Natural Gas",INDEX(Dropdowns_v2!$D$169:$D$170,MATCH(I$31,Dropdowns_v2!$C$169:$C$170,0)),INDEX(Dropdowns_v2!$D$2:$D$248, MATCH(REDiTool!I$25, IF(Dropdowns_v2!$C$2:$C$248=REDiTool!$C$112,Dropdowns_v2!$B$2:$B$248,""),0)))</f>
        <v>#N/A</v>
      </c>
      <c r="J112" s="96" t="e" cm="1">
        <f t="array" ref="J112">IF(J$25="Natural Gas",INDEX(Dropdowns_v2!$D$169:$D$170,MATCH(J$31,Dropdowns_v2!$C$169:$C$170,0)),INDEX(Dropdowns_v2!$D$2:$D$248, MATCH(REDiTool!J$25, IF(Dropdowns_v2!$C$2:$C$248=REDiTool!$C$112,Dropdowns_v2!$B$2:$B$248,""),0)))</f>
        <v>#N/A</v>
      </c>
      <c r="K112" s="96" t="e" cm="1">
        <f t="array" ref="K112">IF(K$25="Natural Gas",INDEX(Dropdowns_v2!$D$169:$D$170,MATCH(K$31,Dropdowns_v2!$C$169:$C$170,0)),INDEX(Dropdowns_v2!$D$2:$D$248, MATCH(REDiTool!K$25, IF(Dropdowns_v2!$C$2:$C$248=REDiTool!$C$112,Dropdowns_v2!$B$2:$B$248,""),0)))</f>
        <v>#N/A</v>
      </c>
      <c r="L112" s="96" t="e" cm="1">
        <f t="array" ref="L112">IF(L$25="Natural Gas",INDEX(Dropdowns_v2!$D$169:$D$170,MATCH(L$31,Dropdowns_v2!$C$169:$C$170,0)),INDEX(Dropdowns_v2!$D$2:$D$248, MATCH(REDiTool!L$25, IF(Dropdowns_v2!$C$2:$C$248=REDiTool!$C$112,Dropdowns_v2!$B$2:$B$248,""),0)))</f>
        <v>#N/A</v>
      </c>
      <c r="M112" s="96" t="e" cm="1">
        <f t="array" ref="M112">IF(M$25="Natural Gas",INDEX(Dropdowns_v2!$D$169:$D$170,MATCH(M$31,Dropdowns_v2!$C$169:$C$170,0)),INDEX(Dropdowns_v2!$D$2:$D$248, MATCH(REDiTool!M$25, IF(Dropdowns_v2!$C$2:$C$248=REDiTool!$C$112,Dropdowns_v2!$B$2:$B$248,""),0)))</f>
        <v>#N/A</v>
      </c>
      <c r="N112" s="96" t="e" cm="1">
        <f t="array" ref="N112">IF(N$25="Natural Gas",INDEX(Dropdowns_v2!$D$169:$D$170,MATCH(N$31,Dropdowns_v2!$C$169:$C$170,0)),INDEX(Dropdowns_v2!$D$2:$D$248, MATCH(REDiTool!N$25, IF(Dropdowns_v2!$C$2:$C$248=REDiTool!$C$112,Dropdowns_v2!$B$2:$B$248,""),0)))</f>
        <v>#N/A</v>
      </c>
      <c r="O112" s="96" t="e" cm="1">
        <f t="array" ref="O112">IF(O$25="Natural Gas",INDEX(Dropdowns_v2!$D$169:$D$170,MATCH(O$31,Dropdowns_v2!$C$169:$C$170,0)),INDEX(Dropdowns_v2!$D$2:$D$248, MATCH(REDiTool!O$25, IF(Dropdowns_v2!$C$2:$C$248=REDiTool!$C$112,Dropdowns_v2!$B$2:$B$248,""),0)))</f>
        <v>#N/A</v>
      </c>
      <c r="P112" s="30"/>
      <c r="Q112" s="246"/>
      <c r="R112" s="30"/>
      <c r="S112" s="96" cm="1">
        <f t="array" ref="S112">IF(S$25="Natural Gas",INDEX(Dropdowns_v2!$D$169:$D$170,MATCH(S$31,Dropdowns_v2!$C$169:$C$170,0)),INDEX(Dropdowns_v2!$D$2:$D$248, MATCH(REDiTool!S$25, IF(Dropdowns_v2!$C$2:$C$248=REDiTool!$C$112,Dropdowns_v2!$B$2:$B$248,""),0)))</f>
        <v>1.1499999999999999</v>
      </c>
      <c r="T112" s="96" cm="1">
        <f t="array" ref="T112">IF(T$25="Natural Gas",INDEX(Dropdowns_v2!$D$169:$D$170,MATCH(T$31,Dropdowns_v2!$C$169:$C$170,0)),INDEX(Dropdowns_v2!$D$2:$D$248, MATCH(REDiTool!T$25, IF(Dropdowns_v2!$C$2:$C$248=REDiTool!$C$112,Dropdowns_v2!$B$2:$B$248,""),0)))</f>
        <v>2.3504</v>
      </c>
      <c r="U112" s="96" cm="1">
        <f t="array" ref="U112">IF(U$25="Natural Gas",INDEX(Dropdowns_v2!$D$169:$D$170,MATCH(U$31,Dropdowns_v2!$C$169:$C$170,0)),INDEX(Dropdowns_v2!$D$2:$D$248, MATCH(REDiTool!U$25, IF(Dropdowns_v2!$C$2:$C$248=REDiTool!$C$112,Dropdowns_v2!$B$2:$B$248,""),0)))</f>
        <v>2.3504</v>
      </c>
    </row>
    <row r="113" spans="1:22" ht="15" hidden="1" customHeight="1">
      <c r="A113" s="67"/>
      <c r="B113" s="310" t="s">
        <v>153</v>
      </c>
      <c r="C113" s="175" t="s">
        <v>353</v>
      </c>
      <c r="D113" s="597" t="s">
        <v>351</v>
      </c>
      <c r="E113" s="30"/>
      <c r="F113" s="46">
        <f t="shared" ref="F113:O113" si="43">F$89</f>
        <v>0</v>
      </c>
      <c r="G113" s="46">
        <f t="shared" si="43"/>
        <v>0</v>
      </c>
      <c r="H113" s="46">
        <f t="shared" si="43"/>
        <v>0</v>
      </c>
      <c r="I113" s="46">
        <f t="shared" si="43"/>
        <v>0</v>
      </c>
      <c r="J113" s="46">
        <f t="shared" si="43"/>
        <v>0</v>
      </c>
      <c r="K113" s="46">
        <f t="shared" si="43"/>
        <v>0</v>
      </c>
      <c r="L113" s="46">
        <f t="shared" si="43"/>
        <v>0</v>
      </c>
      <c r="M113" s="46">
        <f t="shared" si="43"/>
        <v>0</v>
      </c>
      <c r="N113" s="46">
        <f t="shared" si="43"/>
        <v>0</v>
      </c>
      <c r="O113" s="46">
        <f t="shared" si="43"/>
        <v>0</v>
      </c>
      <c r="P113" s="30"/>
      <c r="Q113" s="246"/>
      <c r="R113" s="30"/>
      <c r="S113" s="46">
        <f t="shared" ref="S113:U113" si="44">S$89</f>
        <v>0</v>
      </c>
      <c r="T113" s="46">
        <f t="shared" si="44"/>
        <v>0</v>
      </c>
      <c r="U113" s="46">
        <f t="shared" si="44"/>
        <v>0</v>
      </c>
    </row>
    <row r="114" spans="1:22" ht="15.75" hidden="1" customHeight="1" thickBot="1">
      <c r="A114" s="137"/>
      <c r="B114" s="318" t="s">
        <v>153</v>
      </c>
      <c r="C114" s="176" t="s">
        <v>352</v>
      </c>
      <c r="D114" s="66" t="s">
        <v>354</v>
      </c>
      <c r="E114" s="30"/>
      <c r="F114" s="88" t="e" cm="1">
        <f t="array" ref="F114">IF(F$26="Natural Gas",INDEX(Dropdowns_v2!$D$169:$D$170,MATCH(F$31,Dropdowns_v2!$C$169:$C$170,0)),INDEX(Dropdowns_v2!$D$2:$D$248, MATCH(REDiTool!F$26, IF(Dropdowns_v2!$C$2:$C$248=REDiTool!$C$114,Dropdowns_v2!$B$2:$B$248,""),0)))</f>
        <v>#N/A</v>
      </c>
      <c r="G114" s="88" t="e" cm="1">
        <f t="array" ref="G114">IF(G$26="Natural Gas",INDEX(Dropdowns_v2!$D$169:$D$170,MATCH(G$31,Dropdowns_v2!$C$169:$C$170,0)),INDEX(Dropdowns_v2!$D$2:$D$248, MATCH(REDiTool!G$26, IF(Dropdowns_v2!$C$2:$C$248=REDiTool!$C$114,Dropdowns_v2!$B$2:$B$248,""),0)))</f>
        <v>#N/A</v>
      </c>
      <c r="H114" s="88" t="e" cm="1">
        <f t="array" ref="H114">IF(H$26="Natural Gas",INDEX(Dropdowns_v2!$D$169:$D$170,MATCH(H$31,Dropdowns_v2!$C$169:$C$170,0)),INDEX(Dropdowns_v2!$D$2:$D$248, MATCH(REDiTool!H$26, IF(Dropdowns_v2!$C$2:$C$248=REDiTool!$C$114,Dropdowns_v2!$B$2:$B$248,""),0)))</f>
        <v>#N/A</v>
      </c>
      <c r="I114" s="88" t="e" cm="1">
        <f t="array" ref="I114">IF(I$26="Natural Gas",INDEX(Dropdowns_v2!$D$169:$D$170,MATCH(I$31,Dropdowns_v2!$C$169:$C$170,0)),INDEX(Dropdowns_v2!$D$2:$D$248, MATCH(REDiTool!I$26, IF(Dropdowns_v2!$C$2:$C$248=REDiTool!$C$114,Dropdowns_v2!$B$2:$B$248,""),0)))</f>
        <v>#N/A</v>
      </c>
      <c r="J114" s="88" t="e" cm="1">
        <f t="array" ref="J114">IF(J$26="Natural Gas",INDEX(Dropdowns_v2!$D$169:$D$170,MATCH(J$31,Dropdowns_v2!$C$169:$C$170,0)),INDEX(Dropdowns_v2!$D$2:$D$248, MATCH(REDiTool!J$26, IF(Dropdowns_v2!$C$2:$C$248=REDiTool!$C$114,Dropdowns_v2!$B$2:$B$248,""),0)))</f>
        <v>#N/A</v>
      </c>
      <c r="K114" s="88" t="e" cm="1">
        <f t="array" ref="K114">IF(K$26="Natural Gas",INDEX(Dropdowns_v2!$D$169:$D$170,MATCH(K$31,Dropdowns_v2!$C$169:$C$170,0)),INDEX(Dropdowns_v2!$D$2:$D$248, MATCH(REDiTool!K$26, IF(Dropdowns_v2!$C$2:$C$248=REDiTool!$C$114,Dropdowns_v2!$B$2:$B$248,""),0)))</f>
        <v>#N/A</v>
      </c>
      <c r="L114" s="88" t="e" cm="1">
        <f t="array" ref="L114">IF(L$26="Natural Gas",INDEX(Dropdowns_v2!$D$169:$D$170,MATCH(L$31,Dropdowns_v2!$C$169:$C$170,0)),INDEX(Dropdowns_v2!$D$2:$D$248, MATCH(REDiTool!L$26, IF(Dropdowns_v2!$C$2:$C$248=REDiTool!$C$114,Dropdowns_v2!$B$2:$B$248,""),0)))</f>
        <v>#N/A</v>
      </c>
      <c r="M114" s="88" t="e" cm="1">
        <f t="array" ref="M114">IF(M$26="Natural Gas",INDEX(Dropdowns_v2!$D$169:$D$170,MATCH(M$31,Dropdowns_v2!$C$169:$C$170,0)),INDEX(Dropdowns_v2!$D$2:$D$248, MATCH(REDiTool!M$26, IF(Dropdowns_v2!$C$2:$C$248=REDiTool!$C$114,Dropdowns_v2!$B$2:$B$248,""),0)))</f>
        <v>#N/A</v>
      </c>
      <c r="N114" s="88" t="e" cm="1">
        <f t="array" ref="N114">IF(N$26="Natural Gas",INDEX(Dropdowns_v2!$D$169:$D$170,MATCH(N$31,Dropdowns_v2!$C$169:$C$170,0)),INDEX(Dropdowns_v2!$D$2:$D$248, MATCH(REDiTool!N$26, IF(Dropdowns_v2!$C$2:$C$248=REDiTool!$C$114,Dropdowns_v2!$B$2:$B$248,""),0)))</f>
        <v>#N/A</v>
      </c>
      <c r="O114" s="88" t="e" cm="1">
        <f t="array" ref="O114">IF(O$26="Natural Gas",INDEX(Dropdowns_v2!$D$169:$D$170,MATCH(O$31,Dropdowns_v2!$C$169:$C$170,0)),INDEX(Dropdowns_v2!$D$2:$D$248, MATCH(REDiTool!O$26, IF(Dropdowns_v2!$C$2:$C$248=REDiTool!$C$114,Dropdowns_v2!$B$2:$B$248,""),0)))</f>
        <v>#N/A</v>
      </c>
      <c r="P114" s="30"/>
      <c r="Q114" s="246"/>
      <c r="R114" s="30"/>
      <c r="S114" s="88" cm="1">
        <f t="array" ref="S114">IF(S$26="Natural Gas",INDEX(Dropdowns_v2!$D$169:$D$170,MATCH(S$31,Dropdowns_v2!$C$169:$C$170,0)),INDEX(Dropdowns_v2!$D$2:$D$248, MATCH(REDiTool!S$26, IF(Dropdowns_v2!$C$2:$C$248=REDiTool!$C$114,Dropdowns_v2!$B$2:$B$248,""),0)))</f>
        <v>4</v>
      </c>
      <c r="T114" s="88" cm="1">
        <f t="array" ref="T114">IF(T$26="Natural Gas",INDEX(Dropdowns_v2!$D$169:$D$170,MATCH(T$31,Dropdowns_v2!$C$169:$C$170,0)),INDEX(Dropdowns_v2!$D$2:$D$248, MATCH(REDiTool!T$26, IF(Dropdowns_v2!$C$2:$C$248=REDiTool!$C$114,Dropdowns_v2!$B$2:$B$248,""),0)))</f>
        <v>4</v>
      </c>
      <c r="U114" s="88" cm="1">
        <f t="array" ref="U114">IF(U$26="Natural Gas",INDEX(Dropdowns_v2!$D$169:$D$170,MATCH(U$31,Dropdowns_v2!$C$169:$C$170,0)),INDEX(Dropdowns_v2!$D$2:$D$248, MATCH(REDiTool!U$26, IF(Dropdowns_v2!$C$2:$C$248=REDiTool!$C$114,Dropdowns_v2!$B$2:$B$248,""),0)))</f>
        <v>4</v>
      </c>
    </row>
    <row r="115" spans="1:22" s="49" customFormat="1" hidden="1">
      <c r="A115" s="149" t="s">
        <v>355</v>
      </c>
      <c r="B115" s="319" t="s">
        <v>151</v>
      </c>
      <c r="C115" s="362" t="s">
        <v>356</v>
      </c>
      <c r="D115" s="363" t="s">
        <v>357</v>
      </c>
      <c r="E115" s="55"/>
      <c r="F115" s="234" t="e">
        <f t="shared" ref="F115:O115" si="45">(F111*F112*F95)+(F113*F114*F96)</f>
        <v>#N/A</v>
      </c>
      <c r="G115" s="234" t="e">
        <f t="shared" si="45"/>
        <v>#N/A</v>
      </c>
      <c r="H115" s="234" t="e">
        <f t="shared" si="45"/>
        <v>#N/A</v>
      </c>
      <c r="I115" s="234" t="e">
        <f t="shared" si="45"/>
        <v>#N/A</v>
      </c>
      <c r="J115" s="234" t="e">
        <f t="shared" si="45"/>
        <v>#N/A</v>
      </c>
      <c r="K115" s="234" t="e">
        <f t="shared" si="45"/>
        <v>#N/A</v>
      </c>
      <c r="L115" s="234" t="e">
        <f t="shared" si="45"/>
        <v>#N/A</v>
      </c>
      <c r="M115" s="234" t="e">
        <f t="shared" si="45"/>
        <v>#N/A</v>
      </c>
      <c r="N115" s="234" t="e">
        <f t="shared" si="45"/>
        <v>#N/A</v>
      </c>
      <c r="O115" s="234" t="e">
        <f t="shared" si="45"/>
        <v>#N/A</v>
      </c>
      <c r="P115" s="55"/>
      <c r="Q115" s="257"/>
      <c r="R115" s="55"/>
      <c r="S115" s="234">
        <f t="shared" ref="S115:U115" si="46">(S111*S112*S95)+(S113*S114*S96)</f>
        <v>65918.287499999991</v>
      </c>
      <c r="T115" s="234">
        <f t="shared" si="46"/>
        <v>134725.51560000001</v>
      </c>
      <c r="U115" s="234">
        <f t="shared" si="46"/>
        <v>134725.51560000001</v>
      </c>
    </row>
    <row r="116" spans="1:22" ht="15" hidden="1" customHeight="1">
      <c r="A116" s="137"/>
      <c r="B116" s="317" t="s">
        <v>153</v>
      </c>
      <c r="C116" s="198" t="s">
        <v>358</v>
      </c>
      <c r="D116" s="50"/>
      <c r="E116" s="30"/>
      <c r="F116" s="45" t="s">
        <v>359</v>
      </c>
      <c r="G116" s="45" t="s">
        <v>359</v>
      </c>
      <c r="H116" s="45" t="s">
        <v>359</v>
      </c>
      <c r="I116" s="45" t="s">
        <v>359</v>
      </c>
      <c r="J116" s="45" t="s">
        <v>359</v>
      </c>
      <c r="K116" s="45" t="s">
        <v>359</v>
      </c>
      <c r="L116" s="45" t="s">
        <v>359</v>
      </c>
      <c r="M116" s="45" t="s">
        <v>359</v>
      </c>
      <c r="N116" s="45" t="s">
        <v>359</v>
      </c>
      <c r="O116" s="45" t="s">
        <v>359</v>
      </c>
      <c r="P116" s="30"/>
      <c r="Q116" s="258"/>
      <c r="R116" s="30"/>
      <c r="S116" s="45" t="s">
        <v>359</v>
      </c>
      <c r="T116" s="45" t="s">
        <v>359</v>
      </c>
      <c r="U116" s="45" t="s">
        <v>359</v>
      </c>
    </row>
    <row r="117" spans="1:22" ht="15" hidden="1" customHeight="1">
      <c r="A117" s="137" t="s">
        <v>360</v>
      </c>
      <c r="B117" s="310" t="s">
        <v>153</v>
      </c>
      <c r="C117" s="175" t="s">
        <v>361</v>
      </c>
      <c r="D117" s="65" t="s">
        <v>316</v>
      </c>
      <c r="E117" s="30"/>
      <c r="F117" s="46" t="e">
        <f t="shared" ref="F117:O117" si="47">(F87*F93*F94*F95)+(F91*F93*F94*F96)</f>
        <v>#N/A</v>
      </c>
      <c r="G117" s="46" t="e">
        <f t="shared" si="47"/>
        <v>#N/A</v>
      </c>
      <c r="H117" s="46" t="e">
        <f t="shared" si="47"/>
        <v>#N/A</v>
      </c>
      <c r="I117" s="46" t="e">
        <f t="shared" si="47"/>
        <v>#N/A</v>
      </c>
      <c r="J117" s="46" t="e">
        <f t="shared" si="47"/>
        <v>#N/A</v>
      </c>
      <c r="K117" s="46" t="e">
        <f t="shared" si="47"/>
        <v>#N/A</v>
      </c>
      <c r="L117" s="46" t="e">
        <f t="shared" si="47"/>
        <v>#N/A</v>
      </c>
      <c r="M117" s="46" t="e">
        <f t="shared" si="47"/>
        <v>#N/A</v>
      </c>
      <c r="N117" s="46" t="e">
        <f t="shared" si="47"/>
        <v>#N/A</v>
      </c>
      <c r="O117" s="46" t="e">
        <f t="shared" si="47"/>
        <v>#N/A</v>
      </c>
      <c r="P117" s="30"/>
      <c r="Q117" s="246"/>
      <c r="R117" s="30"/>
      <c r="S117" s="46">
        <f t="shared" ref="S117:U117" si="48">(S87*S93*S94*S95)+(S91*S93*S94*S96)</f>
        <v>2579411.25</v>
      </c>
      <c r="T117" s="46">
        <f t="shared" si="48"/>
        <v>2579411.25</v>
      </c>
      <c r="U117" s="46">
        <f t="shared" si="48"/>
        <v>2579411.25</v>
      </c>
      <c r="V117" s="1065"/>
    </row>
    <row r="118" spans="1:22" ht="15" hidden="1" customHeight="1">
      <c r="A118" s="209" t="s">
        <v>362</v>
      </c>
      <c r="B118" s="310" t="s">
        <v>153</v>
      </c>
      <c r="C118" s="175" t="s">
        <v>363</v>
      </c>
      <c r="D118" s="65" t="s">
        <v>364</v>
      </c>
      <c r="E118" s="30"/>
      <c r="F118" s="229" t="e" cm="1">
        <f t="array" ref="F118">INDEX(Dropdowns_v2!$D$2:$D$248, MATCH(REDiTool!F$71, IF(Dropdowns_v2!$C$2:$C$248=REDiTool!$C$118,Dropdowns_v2!$B$2:$B$248,""),0))</f>
        <v>#N/A</v>
      </c>
      <c r="G118" s="229" t="e">
        <f t="array" ref="G118">INDEX(Dropdowns_v2!$D$2:$D$248, MATCH(REDiTool!G$71, IF(Dropdowns_v2!$C$2:$C$248=REDiTool!$C$118,Dropdowns_v2!$B$2:$B$248,""),0))</f>
        <v>#N/A</v>
      </c>
      <c r="H118" s="229" t="e">
        <f t="array" ref="H118">INDEX(Dropdowns_v2!$D$2:$D$248, MATCH(REDiTool!H$71, IF(Dropdowns_v2!$C$2:$C$248=REDiTool!$C$118,Dropdowns_v2!$B$2:$B$248,""),0))</f>
        <v>#N/A</v>
      </c>
      <c r="I118" s="229" t="e">
        <f t="array" ref="I118">INDEX(Dropdowns_v2!$D$2:$D$248, MATCH(REDiTool!I$71, IF(Dropdowns_v2!$C$2:$C$248=REDiTool!$C$118,Dropdowns_v2!$B$2:$B$248,""),0))</f>
        <v>#N/A</v>
      </c>
      <c r="J118" s="229" t="e">
        <f t="array" ref="J118">INDEX(Dropdowns_v2!$D$2:$D$248, MATCH(REDiTool!J$71, IF(Dropdowns_v2!$C$2:$C$248=REDiTool!$C$118,Dropdowns_v2!$B$2:$B$248,""),0))</f>
        <v>#N/A</v>
      </c>
      <c r="K118" s="229" t="e">
        <f t="array" ref="K118">INDEX(Dropdowns_v2!$D$2:$D$248, MATCH(REDiTool!K$71, IF(Dropdowns_v2!$C$2:$C$248=REDiTool!$C$118,Dropdowns_v2!$B$2:$B$248,""),0))</f>
        <v>#N/A</v>
      </c>
      <c r="L118" s="229" t="e">
        <f t="array" ref="L118">INDEX(Dropdowns_v2!$D$2:$D$248, MATCH(REDiTool!L$71, IF(Dropdowns_v2!$C$2:$C$248=REDiTool!$C$118,Dropdowns_v2!$B$2:$B$248,""),0))</f>
        <v>#N/A</v>
      </c>
      <c r="M118" s="229" t="e">
        <f t="array" ref="M118">INDEX(Dropdowns_v2!$D$2:$D$248, MATCH(REDiTool!M$71, IF(Dropdowns_v2!$C$2:$C$248=REDiTool!$C$118,Dropdowns_v2!$B$2:$B$248,""),0))</f>
        <v>#N/A</v>
      </c>
      <c r="N118" s="229" t="e">
        <f t="array" ref="N118">INDEX(Dropdowns_v2!$D$2:$D$248, MATCH(REDiTool!N$71, IF(Dropdowns_v2!$C$2:$C$248=REDiTool!$C$118,Dropdowns_v2!$B$2:$B$248,""),0))</f>
        <v>#N/A</v>
      </c>
      <c r="O118" s="229" t="e">
        <f t="array" ref="O118">INDEX(Dropdowns_v2!$D$2:$D$248, MATCH(REDiTool!O$71, IF(Dropdowns_v2!$C$2:$C$248=REDiTool!$C$118,Dropdowns_v2!$B$2:$B$248,""),0))</f>
        <v>#N/A</v>
      </c>
      <c r="P118" s="30"/>
      <c r="Q118" s="246"/>
      <c r="R118" s="30"/>
      <c r="S118" s="229" cm="1">
        <f t="array" ref="S118">INDEX(Dropdowns_v2!$D$2:$D$248, MATCH(REDiTool!S$71, IF(Dropdowns_v2!$C$2:$C$248=REDiTool!$C$118,Dropdowns_v2!$B$2:$B$248,""),0))</f>
        <v>0.5</v>
      </c>
      <c r="T118" s="229">
        <f t="array" ref="T118">INDEX(Dropdowns_v2!$D$2:$D$248, MATCH(REDiTool!T$71, IF(Dropdowns_v2!$C$2:$C$248=REDiTool!$C$118,Dropdowns_v2!$B$2:$B$248,""),0))</f>
        <v>0.5</v>
      </c>
      <c r="U118" s="229">
        <f t="array" ref="U118">INDEX(Dropdowns_v2!$D$2:$D$248, MATCH(REDiTool!U$71, IF(Dropdowns_v2!$C$2:$C$248=REDiTool!$C$118,Dropdowns_v2!$B$2:$B$248,""),0))</f>
        <v>0.5</v>
      </c>
    </row>
    <row r="119" spans="1:22" ht="15" hidden="1" customHeight="1">
      <c r="A119" s="137"/>
      <c r="B119" s="310" t="s">
        <v>153</v>
      </c>
      <c r="C119" s="175" t="s">
        <v>365</v>
      </c>
      <c r="D119" s="65" t="s">
        <v>366</v>
      </c>
      <c r="E119" s="30"/>
      <c r="F119" s="230" t="e">
        <f t="array" ref="F119">INDEX(Dropdowns_v2!$D$2:$D$248, MATCH(REDiTool!F$59, IF(Dropdowns_v2!$C$2:$C$248=REDiTool!$C$119,Dropdowns_v2!$B$2:$B$248,""),0))</f>
        <v>#N/A</v>
      </c>
      <c r="G119" s="230" t="e">
        <f t="array" ref="G119">INDEX(Dropdowns_v2!$D$2:$D$248, MATCH(REDiTool!G$59, IF(Dropdowns_v2!$C$2:$C$248=REDiTool!$C$119,Dropdowns_v2!$B$2:$B$248,""),0))</f>
        <v>#N/A</v>
      </c>
      <c r="H119" s="230" t="e">
        <f t="array" ref="H119">INDEX(Dropdowns_v2!$D$2:$D$248, MATCH(REDiTool!H$59, IF(Dropdowns_v2!$C$2:$C$248=REDiTool!$C$119,Dropdowns_v2!$B$2:$B$248,""),0))</f>
        <v>#N/A</v>
      </c>
      <c r="I119" s="230" t="e">
        <f t="array" ref="I119">INDEX(Dropdowns_v2!$D$2:$D$248, MATCH(REDiTool!I$59, IF(Dropdowns_v2!$C$2:$C$248=REDiTool!$C$119,Dropdowns_v2!$B$2:$B$248,""),0))</f>
        <v>#N/A</v>
      </c>
      <c r="J119" s="230" t="e">
        <f t="array" ref="J119">INDEX(Dropdowns_v2!$D$2:$D$248, MATCH(REDiTool!J$59, IF(Dropdowns_v2!$C$2:$C$248=REDiTool!$C$119,Dropdowns_v2!$B$2:$B$248,""),0))</f>
        <v>#N/A</v>
      </c>
      <c r="K119" s="230" t="e">
        <f t="array" ref="K119">INDEX(Dropdowns_v2!$D$2:$D$248, MATCH(REDiTool!K$59, IF(Dropdowns_v2!$C$2:$C$248=REDiTool!$C$119,Dropdowns_v2!$B$2:$B$248,""),0))</f>
        <v>#N/A</v>
      </c>
      <c r="L119" s="230" t="e">
        <f t="array" ref="L119">INDEX(Dropdowns_v2!$D$2:$D$248, MATCH(REDiTool!L$59, IF(Dropdowns_v2!$C$2:$C$248=REDiTool!$C$119,Dropdowns_v2!$B$2:$B$248,""),0))</f>
        <v>#N/A</v>
      </c>
      <c r="M119" s="230" t="e">
        <f t="array" ref="M119">INDEX(Dropdowns_v2!$D$2:$D$248, MATCH(REDiTool!M$59, IF(Dropdowns_v2!$C$2:$C$248=REDiTool!$C$119,Dropdowns_v2!$B$2:$B$248,""),0))</f>
        <v>#N/A</v>
      </c>
      <c r="N119" s="230" t="e">
        <f t="array" ref="N119">INDEX(Dropdowns_v2!$D$2:$D$248, MATCH(REDiTool!N$59, IF(Dropdowns_v2!$C$2:$C$248=REDiTool!$C$119,Dropdowns_v2!$B$2:$B$248,""),0))</f>
        <v>#N/A</v>
      </c>
      <c r="O119" s="230" t="e">
        <f t="array" ref="O119">INDEX(Dropdowns_v2!$D$2:$D$248, MATCH(REDiTool!O$59, IF(Dropdowns_v2!$C$2:$C$248=REDiTool!$C$119,Dropdowns_v2!$B$2:$B$248,""),0))</f>
        <v>#N/A</v>
      </c>
      <c r="P119" s="30"/>
      <c r="Q119" s="246"/>
      <c r="R119" s="30"/>
      <c r="S119" s="230">
        <f t="array" ref="S119">INDEX(Dropdowns_v2!$D$2:$D$248, MATCH(REDiTool!S$59, IF(Dropdowns_v2!$C$2:$C$248=REDiTool!$C$119,Dropdowns_v2!$B$2:$B$248,""),0))</f>
        <v>2.5</v>
      </c>
      <c r="T119" s="230">
        <f t="array" ref="T119">INDEX(Dropdowns_v2!$D$2:$D$248, MATCH(REDiTool!T$59, IF(Dropdowns_v2!$C$2:$C$248=REDiTool!$C$119,Dropdowns_v2!$B$2:$B$248,""),0))</f>
        <v>2.5</v>
      </c>
      <c r="U119" s="230">
        <f t="array" ref="U119">INDEX(Dropdowns_v2!$D$2:$D$248, MATCH(REDiTool!U$59, IF(Dropdowns_v2!$C$2:$C$248=REDiTool!$C$119,Dropdowns_v2!$B$2:$B$248,""),0))</f>
        <v>2</v>
      </c>
    </row>
    <row r="120" spans="1:22" ht="15" hidden="1" customHeight="1">
      <c r="A120" s="137" t="s">
        <v>367</v>
      </c>
      <c r="B120" s="310" t="s">
        <v>153</v>
      </c>
      <c r="C120" s="175" t="s">
        <v>368</v>
      </c>
      <c r="D120" s="65" t="s">
        <v>366</v>
      </c>
      <c r="E120" s="30"/>
      <c r="F120" s="229">
        <f>IF(F67="Yes",Dropdowns_v2!$D115,0)</f>
        <v>0</v>
      </c>
      <c r="G120" s="229">
        <f>IF(G67="Yes",Dropdowns_v2!$D115,0)</f>
        <v>0</v>
      </c>
      <c r="H120" s="229">
        <f>IF(H67="Yes",Dropdowns_v2!$D115,0)</f>
        <v>0</v>
      </c>
      <c r="I120" s="229">
        <f>IF(I67="Yes",Dropdowns_v2!$D115,0)</f>
        <v>0</v>
      </c>
      <c r="J120" s="229">
        <f>IF(J67="Yes",Dropdowns_v2!$D115,0)</f>
        <v>0</v>
      </c>
      <c r="K120" s="229">
        <f>IF(K67="Yes",Dropdowns_v2!$D115,0)</f>
        <v>0</v>
      </c>
      <c r="L120" s="229">
        <f>IF(L67="Yes",Dropdowns_v2!$D115,0)</f>
        <v>0</v>
      </c>
      <c r="M120" s="229">
        <f>IF(M67="Yes",Dropdowns_v2!$D115,0)</f>
        <v>0</v>
      </c>
      <c r="N120" s="229">
        <f>IF(N67="Yes",Dropdowns_v2!$D115,0)</f>
        <v>0</v>
      </c>
      <c r="O120" s="229">
        <f>IF(O67="Yes",Dropdowns_v2!$D115,0)</f>
        <v>0</v>
      </c>
      <c r="P120" s="30"/>
      <c r="Q120" s="246"/>
      <c r="R120" s="30"/>
      <c r="S120" s="229">
        <f>IF(S67="Yes",Dropdowns_v2!$D115,0)</f>
        <v>0</v>
      </c>
      <c r="T120" s="229">
        <f>IF(T67="Yes",Dropdowns_v2!$D115,0)</f>
        <v>0</v>
      </c>
      <c r="U120" s="229">
        <f>IF(U67="Yes",Dropdowns_v2!$D115,0)</f>
        <v>0</v>
      </c>
    </row>
    <row r="121" spans="1:22" ht="15" customHeight="1">
      <c r="A121" s="137"/>
      <c r="B121" s="310" t="s">
        <v>148</v>
      </c>
      <c r="C121" s="175" t="s">
        <v>369</v>
      </c>
      <c r="D121" s="1146" t="s">
        <v>308</v>
      </c>
      <c r="E121" s="30"/>
      <c r="F121" s="46" t="e" cm="1">
        <f t="array" ref="F121">(F117*(1-F118)*(1-F120))/INDEX(Dropdowns_v2!$D$2:$D$248, MATCH(REDiTool!$D$122, IF(Dropdowns_v2!$C$2:$C$248=REDiTool!$D$121,Dropdowns_v2!$B$2:$B$248,""),0))/F119</f>
        <v>#N/A</v>
      </c>
      <c r="G121" s="46" t="e" cm="1">
        <f t="array" ref="G121">(G117*(1-G118)*(1-G120))/INDEX(Dropdowns_v2!$D$2:$D$248, MATCH(REDiTool!$D$122, IF(Dropdowns_v2!$C$2:$C$248=REDiTool!$D$121,Dropdowns_v2!$B$2:$B$248,""),0))/G119</f>
        <v>#N/A</v>
      </c>
      <c r="H121" s="46" t="e" cm="1">
        <f t="array" ref="H121">(H117*(1-H118)*(1-H120))/INDEX(Dropdowns_v2!$D$2:$D$248, MATCH(REDiTool!$D$122, IF(Dropdowns_v2!$C$2:$C$248=REDiTool!$D$121,Dropdowns_v2!$B$2:$B$248,""),0))/H119</f>
        <v>#N/A</v>
      </c>
      <c r="I121" s="46" t="e" cm="1">
        <f t="array" ref="I121">(I117*(1-I118)*(1-I120))/INDEX(Dropdowns_v2!$D$2:$D$248, MATCH(REDiTool!$D$122, IF(Dropdowns_v2!$C$2:$C$248=REDiTool!$D$121,Dropdowns_v2!$B$2:$B$248,""),0))/I119</f>
        <v>#N/A</v>
      </c>
      <c r="J121" s="46" t="e" cm="1">
        <f t="array" ref="J121">(J117*(1-J118)*(1-J120))/INDEX(Dropdowns_v2!$D$2:$D$248, MATCH(REDiTool!$D$122, IF(Dropdowns_v2!$C$2:$C$248=REDiTool!$D$121,Dropdowns_v2!$B$2:$B$248,""),0))/J119</f>
        <v>#N/A</v>
      </c>
      <c r="K121" s="46" t="e" cm="1">
        <f t="array" ref="K121">(K117*(1-K118)*(1-K120))/INDEX(Dropdowns_v2!$D$2:$D$248, MATCH(REDiTool!$D$122, IF(Dropdowns_v2!$C$2:$C$248=REDiTool!$D$121,Dropdowns_v2!$B$2:$B$248,""),0))/K119</f>
        <v>#N/A</v>
      </c>
      <c r="L121" s="46" t="e" cm="1">
        <f t="array" ref="L121">(L117*(1-L118)*(1-L120))/INDEX(Dropdowns_v2!$D$2:$D$248, MATCH(REDiTool!$D$122, IF(Dropdowns_v2!$C$2:$C$248=REDiTool!$D$121,Dropdowns_v2!$B$2:$B$248,""),0))/L119</f>
        <v>#N/A</v>
      </c>
      <c r="M121" s="46" t="e" cm="1">
        <f t="array" ref="M121">(M117*(1-M118)*(1-M120))/INDEX(Dropdowns_v2!$D$2:$D$248, MATCH(REDiTool!$D$122, IF(Dropdowns_v2!$C$2:$C$248=REDiTool!$D$121,Dropdowns_v2!$B$2:$B$248,""),0))/M119</f>
        <v>#N/A</v>
      </c>
      <c r="N121" s="46" t="e" cm="1">
        <f t="array" ref="N121">(N117*(1-N118)*(1-N120))/INDEX(Dropdowns_v2!$D$2:$D$248, MATCH(REDiTool!$D$122, IF(Dropdowns_v2!$C$2:$C$248=REDiTool!$D$121,Dropdowns_v2!$B$2:$B$248,""),0))/N119</f>
        <v>#N/A</v>
      </c>
      <c r="O121" s="46" t="e" cm="1">
        <f t="array" ref="O121">(O117*(1-O118)*(1-O120))/INDEX(Dropdowns_v2!$D$2:$D$248, MATCH(REDiTool!$D$122, IF(Dropdowns_v2!$C$2:$C$248=REDiTool!$D$121,Dropdowns_v2!$B$2:$B$248,""),0))/O119</f>
        <v>#N/A</v>
      </c>
      <c r="P121" s="30"/>
      <c r="Q121" s="246"/>
      <c r="R121" s="30"/>
      <c r="S121" s="46" cm="1">
        <f t="array" ref="S121">(S117*(1-S118)*(1-S120))/INDEX(Dropdowns_v2!$D$2:$D$248, MATCH(REDiTool!$D$122, IF(Dropdowns_v2!$C$2:$C$248=REDiTool!$D$121,Dropdowns_v2!$B$2:$B$248,""),0))/S119</f>
        <v>151196.43903868698</v>
      </c>
      <c r="T121" s="46" cm="1">
        <f t="array" ref="T121">(T117*(1-T118)*(1-T120))/INDEX(Dropdowns_v2!$D$2:$D$248, MATCH(REDiTool!$D$122, IF(Dropdowns_v2!$C$2:$C$248=REDiTool!$D$121,Dropdowns_v2!$B$2:$B$248,""),0))/T119</f>
        <v>151196.43903868698</v>
      </c>
      <c r="U121" s="46" cm="1">
        <f t="array" ref="U121">(U117*(1-U118)*(1-U120))/INDEX(Dropdowns_v2!$D$2:$D$248, MATCH(REDiTool!$D$122, IF(Dropdowns_v2!$C$2:$C$248=REDiTool!$D$121,Dropdowns_v2!$B$2:$B$248,""),0))/U119</f>
        <v>188995.54879835874</v>
      </c>
    </row>
    <row r="122" spans="1:22" ht="15.75" hidden="1" customHeight="1" thickBot="1">
      <c r="A122" s="137"/>
      <c r="B122" s="318" t="s">
        <v>153</v>
      </c>
      <c r="C122" s="176" t="s">
        <v>370</v>
      </c>
      <c r="D122" s="66" t="s">
        <v>371</v>
      </c>
      <c r="E122" s="30"/>
      <c r="F122" s="88">
        <f t="array" ref="F122">INDEX(Dropdowns_v2!$D$2:$D$248, MATCH(REDiTool!$D$122, IF(Dropdowns_v2!$C$2:$C$248=REDiTool!$C$122,Dropdowns_v2!$B$2:$B$248,""),0))</f>
        <v>0.3</v>
      </c>
      <c r="G122" s="88">
        <f t="array" ref="G122">INDEX(Dropdowns_v2!$D$2:$D$248, MATCH(REDiTool!$D$122, IF(Dropdowns_v2!$C$2:$C$248=REDiTool!$C$122,Dropdowns_v2!$B$2:$B$248,""),0))</f>
        <v>0.3</v>
      </c>
      <c r="H122" s="88">
        <f t="array" ref="H122">INDEX(Dropdowns_v2!$D$2:$D$248, MATCH(REDiTool!$D$122, IF(Dropdowns_v2!$C$2:$C$248=REDiTool!$C$122,Dropdowns_v2!$B$2:$B$248,""),0))</f>
        <v>0.3</v>
      </c>
      <c r="I122" s="88">
        <f t="array" ref="I122">INDEX(Dropdowns_v2!$D$2:$D$248, MATCH(REDiTool!$D$122, IF(Dropdowns_v2!$C$2:$C$248=REDiTool!$C$122,Dropdowns_v2!$B$2:$B$248,""),0))</f>
        <v>0.3</v>
      </c>
      <c r="J122" s="88">
        <f t="array" ref="J122">INDEX(Dropdowns_v2!$D$2:$D$248, MATCH(REDiTool!$D$122, IF(Dropdowns_v2!$C$2:$C$248=REDiTool!$C$122,Dropdowns_v2!$B$2:$B$248,""),0))</f>
        <v>0.3</v>
      </c>
      <c r="K122" s="88">
        <f t="array" ref="K122">INDEX(Dropdowns_v2!$D$2:$D$248, MATCH(REDiTool!$D$122, IF(Dropdowns_v2!$C$2:$C$248=REDiTool!$C$122,Dropdowns_v2!$B$2:$B$248,""),0))</f>
        <v>0.3</v>
      </c>
      <c r="L122" s="88">
        <f t="array" ref="L122">INDEX(Dropdowns_v2!$D$2:$D$248, MATCH(REDiTool!$D$122, IF(Dropdowns_v2!$C$2:$C$248=REDiTool!$C$122,Dropdowns_v2!$B$2:$B$248,""),0))</f>
        <v>0.3</v>
      </c>
      <c r="M122" s="88">
        <f t="array" ref="M122">INDEX(Dropdowns_v2!$D$2:$D$248, MATCH(REDiTool!$D$122, IF(Dropdowns_v2!$C$2:$C$248=REDiTool!$C$122,Dropdowns_v2!$B$2:$B$248,""),0))</f>
        <v>0.3</v>
      </c>
      <c r="N122" s="88">
        <f t="array" ref="N122">INDEX(Dropdowns_v2!$D$2:$D$248, MATCH(REDiTool!$D$122, IF(Dropdowns_v2!$C$2:$C$248=REDiTool!$C$122,Dropdowns_v2!$B$2:$B$248,""),0))</f>
        <v>0.3</v>
      </c>
      <c r="O122" s="88">
        <f t="array" ref="O122">INDEX(Dropdowns_v2!$D$2:$D$248, MATCH(REDiTool!$D$122, IF(Dropdowns_v2!$C$2:$C$248=REDiTool!$C$122,Dropdowns_v2!$B$2:$B$248,""),0))</f>
        <v>0.3</v>
      </c>
      <c r="P122" s="30"/>
      <c r="Q122" s="246"/>
      <c r="R122" s="30"/>
      <c r="S122" s="88">
        <f t="array" ref="S122">INDEX(Dropdowns_v2!$D$2:$D$248, MATCH(REDiTool!$D$122, IF(Dropdowns_v2!$C$2:$C$248=REDiTool!$C$122,Dropdowns_v2!$B$2:$B$248,""),0))</f>
        <v>0.3</v>
      </c>
      <c r="T122" s="88">
        <f t="array" ref="T122">INDEX(Dropdowns_v2!$D$2:$D$248, MATCH(REDiTool!$D$122, IF(Dropdowns_v2!$C$2:$C$248=REDiTool!$C$122,Dropdowns_v2!$B$2:$B$248,""),0))</f>
        <v>0.3</v>
      </c>
      <c r="U122" s="88">
        <f t="array" ref="U122">INDEX(Dropdowns_v2!$D$2:$D$248, MATCH(REDiTool!$D$122, IF(Dropdowns_v2!$C$2:$C$248=REDiTool!$C$122,Dropdowns_v2!$B$2:$B$248,""),0))</f>
        <v>0.3</v>
      </c>
    </row>
    <row r="123" spans="1:22" s="49" customFormat="1" hidden="1">
      <c r="A123" s="149"/>
      <c r="B123" s="320" t="s">
        <v>151</v>
      </c>
      <c r="C123" s="180" t="s">
        <v>372</v>
      </c>
      <c r="D123" s="465" t="s">
        <v>373</v>
      </c>
      <c r="E123" s="89"/>
      <c r="F123" s="125" t="e">
        <f t="shared" ref="F123:O123" si="49">IF(ISNUMBER(SEARCH("Heat Pump", F59)), F121*F122, F115)</f>
        <v>#N/A</v>
      </c>
      <c r="G123" s="125" t="e">
        <f t="shared" si="49"/>
        <v>#N/A</v>
      </c>
      <c r="H123" s="125" t="e">
        <f t="shared" si="49"/>
        <v>#N/A</v>
      </c>
      <c r="I123" s="125" t="e">
        <f t="shared" si="49"/>
        <v>#N/A</v>
      </c>
      <c r="J123" s="125" t="e">
        <f t="shared" si="49"/>
        <v>#N/A</v>
      </c>
      <c r="K123" s="125" t="e">
        <f t="shared" si="49"/>
        <v>#N/A</v>
      </c>
      <c r="L123" s="125" t="e">
        <f t="shared" si="49"/>
        <v>#N/A</v>
      </c>
      <c r="M123" s="125" t="e">
        <f t="shared" si="49"/>
        <v>#N/A</v>
      </c>
      <c r="N123" s="125" t="e">
        <f t="shared" si="49"/>
        <v>#N/A</v>
      </c>
      <c r="O123" s="125" t="e">
        <f t="shared" si="49"/>
        <v>#N/A</v>
      </c>
      <c r="P123" s="89"/>
      <c r="Q123" s="259"/>
      <c r="R123" s="89"/>
      <c r="S123" s="125">
        <f t="shared" ref="S123:U123" si="50">IF(ISNUMBER(SEARCH("Heat Pump", S59)), S121*S122, S115)</f>
        <v>45358.931711606092</v>
      </c>
      <c r="T123" s="125">
        <f t="shared" si="50"/>
        <v>45358.931711606092</v>
      </c>
      <c r="U123" s="125">
        <f t="shared" si="50"/>
        <v>56698.664639507617</v>
      </c>
    </row>
    <row r="124" spans="1:22" s="49" customFormat="1" ht="27">
      <c r="A124" s="149"/>
      <c r="B124" s="320" t="s">
        <v>148</v>
      </c>
      <c r="C124" s="385" t="s">
        <v>374</v>
      </c>
      <c r="D124" s="158" t="s">
        <v>348</v>
      </c>
      <c r="E124" s="89"/>
      <c r="F124" s="125" t="e">
        <f t="shared" ref="F124:O124" si="51">ROUND(F115-F123,-2)</f>
        <v>#N/A</v>
      </c>
      <c r="G124" s="125" t="e">
        <f t="shared" si="51"/>
        <v>#N/A</v>
      </c>
      <c r="H124" s="125" t="e">
        <f t="shared" si="51"/>
        <v>#N/A</v>
      </c>
      <c r="I124" s="125" t="e">
        <f t="shared" si="51"/>
        <v>#N/A</v>
      </c>
      <c r="J124" s="125" t="e">
        <f t="shared" si="51"/>
        <v>#N/A</v>
      </c>
      <c r="K124" s="125" t="e">
        <f t="shared" si="51"/>
        <v>#N/A</v>
      </c>
      <c r="L124" s="125" t="e">
        <f t="shared" si="51"/>
        <v>#N/A</v>
      </c>
      <c r="M124" s="125" t="e">
        <f t="shared" si="51"/>
        <v>#N/A</v>
      </c>
      <c r="N124" s="125" t="e">
        <f t="shared" si="51"/>
        <v>#N/A</v>
      </c>
      <c r="O124" s="125" t="e">
        <f t="shared" si="51"/>
        <v>#N/A</v>
      </c>
      <c r="P124" s="89"/>
      <c r="Q124" s="259"/>
      <c r="R124" s="89"/>
      <c r="S124" s="125">
        <f>ROUND(S115-S123,-2)</f>
        <v>20600</v>
      </c>
      <c r="T124" s="125">
        <f t="shared" ref="T124:U124" si="52">ROUND(T115-T123,-2)</f>
        <v>89400</v>
      </c>
      <c r="U124" s="125">
        <f t="shared" si="52"/>
        <v>78000</v>
      </c>
    </row>
    <row r="125" spans="1:22" s="223" customFormat="1" ht="26.65" hidden="1" customHeight="1">
      <c r="A125" s="712"/>
      <c r="B125" s="335" t="s">
        <v>151</v>
      </c>
      <c r="C125" s="385" t="s">
        <v>374</v>
      </c>
      <c r="D125" s="158" t="s">
        <v>375</v>
      </c>
      <c r="E125" s="387"/>
      <c r="F125" s="411" t="str">
        <f t="shared" ref="F125:O125" si="53">IF(ISNUMBER(SEARCH("heat pump", F59)), (F115-F123)/F115, "N/A, Not in Scope")</f>
        <v>N/A, Not in Scope</v>
      </c>
      <c r="G125" s="411" t="str">
        <f t="shared" si="53"/>
        <v>N/A, Not in Scope</v>
      </c>
      <c r="H125" s="411" t="str">
        <f t="shared" si="53"/>
        <v>N/A, Not in Scope</v>
      </c>
      <c r="I125" s="411" t="str">
        <f t="shared" si="53"/>
        <v>N/A, Not in Scope</v>
      </c>
      <c r="J125" s="411" t="str">
        <f t="shared" si="53"/>
        <v>N/A, Not in Scope</v>
      </c>
      <c r="K125" s="411" t="str">
        <f t="shared" si="53"/>
        <v>N/A, Not in Scope</v>
      </c>
      <c r="L125" s="411" t="str">
        <f t="shared" si="53"/>
        <v>N/A, Not in Scope</v>
      </c>
      <c r="M125" s="411" t="str">
        <f t="shared" si="53"/>
        <v>N/A, Not in Scope</v>
      </c>
      <c r="N125" s="411" t="str">
        <f t="shared" si="53"/>
        <v>N/A, Not in Scope</v>
      </c>
      <c r="O125" s="411" t="str">
        <f t="shared" si="53"/>
        <v>N/A, Not in Scope</v>
      </c>
      <c r="P125" s="387"/>
      <c r="Q125" s="260"/>
      <c r="R125" s="387"/>
      <c r="S125" s="411">
        <f t="shared" ref="S125:U125" si="54">IF(ISNUMBER(SEARCH("heat pump", S59)), (S115-S123)/S115, "N/A, Not in Scope")</f>
        <v>0.31189153371731482</v>
      </c>
      <c r="T125" s="411">
        <f t="shared" si="54"/>
        <v>0.66332337635079652</v>
      </c>
      <c r="U125" s="411">
        <f t="shared" si="54"/>
        <v>0.57915422043849563</v>
      </c>
    </row>
    <row r="126" spans="1:22" hidden="1">
      <c r="A126" s="137"/>
      <c r="B126" s="324" t="s">
        <v>290</v>
      </c>
      <c r="C126" s="917" t="s">
        <v>376</v>
      </c>
      <c r="D126" s="129"/>
      <c r="E126" s="30"/>
      <c r="F126" s="44"/>
      <c r="G126" s="44"/>
      <c r="H126" s="44"/>
      <c r="I126" s="44"/>
      <c r="J126" s="44"/>
      <c r="K126" s="44"/>
      <c r="L126" s="44"/>
      <c r="M126" s="44"/>
      <c r="N126" s="44"/>
      <c r="O126" s="44"/>
      <c r="P126" s="30"/>
      <c r="Q126" s="265"/>
      <c r="R126" s="30"/>
      <c r="S126" s="44"/>
      <c r="T126" s="44"/>
      <c r="U126" s="44"/>
    </row>
    <row r="127" spans="1:22" ht="15" hidden="1" customHeight="1">
      <c r="A127" s="137"/>
      <c r="B127" s="310" t="s">
        <v>153</v>
      </c>
      <c r="C127" s="175" t="s">
        <v>350</v>
      </c>
      <c r="D127" s="597" t="s">
        <v>351</v>
      </c>
      <c r="E127" s="30"/>
      <c r="F127" s="46">
        <f t="shared" ref="F127:O127" si="55">F$84</f>
        <v>0</v>
      </c>
      <c r="G127" s="46">
        <f t="shared" si="55"/>
        <v>0</v>
      </c>
      <c r="H127" s="46">
        <f t="shared" si="55"/>
        <v>0</v>
      </c>
      <c r="I127" s="46">
        <f t="shared" si="55"/>
        <v>0</v>
      </c>
      <c r="J127" s="46">
        <f t="shared" si="55"/>
        <v>0</v>
      </c>
      <c r="K127" s="46">
        <f t="shared" si="55"/>
        <v>0</v>
      </c>
      <c r="L127" s="46">
        <f t="shared" si="55"/>
        <v>0</v>
      </c>
      <c r="M127" s="46">
        <f t="shared" si="55"/>
        <v>0</v>
      </c>
      <c r="N127" s="46">
        <f t="shared" si="55"/>
        <v>0</v>
      </c>
      <c r="O127" s="46">
        <f t="shared" si="55"/>
        <v>0</v>
      </c>
      <c r="P127" s="30"/>
      <c r="Q127" s="246"/>
      <c r="R127" s="30"/>
      <c r="S127" s="46">
        <f t="shared" ref="S127:U127" si="56">S$84</f>
        <v>88185</v>
      </c>
      <c r="T127" s="46">
        <f t="shared" si="56"/>
        <v>88185</v>
      </c>
      <c r="U127" s="46">
        <f t="shared" si="56"/>
        <v>88185</v>
      </c>
    </row>
    <row r="128" spans="1:22" ht="33.75" hidden="1" customHeight="1">
      <c r="A128" s="80" t="s">
        <v>377</v>
      </c>
      <c r="B128" s="310" t="s">
        <v>153</v>
      </c>
      <c r="C128" s="175" t="s">
        <v>352</v>
      </c>
      <c r="D128" s="65" t="s">
        <v>378</v>
      </c>
      <c r="E128" s="30"/>
      <c r="F128" s="96" t="e" cm="1">
        <f t="array" ref="F128">IF(F$25="Natural Gas",INDEX(Dropdowns_v2!$D$169:$D$170,MATCH(F$31,Dropdowns_v2!$C$169:$C$170,0)),INDEX(Dropdowns_v2!$D$2:$D$248, MATCH(REDiTool!F$25, IF(Dropdowns_v2!$C$2:$C$248=REDiTool!$C$112,Dropdowns_v2!$B$2:$B$248,""),0)))</f>
        <v>#N/A</v>
      </c>
      <c r="G128" s="96" t="e" cm="1">
        <f t="array" ref="G128">IF(G$25="Natural Gas",INDEX(Dropdowns_v2!$D$169:$D$170,MATCH(G$31,Dropdowns_v2!$C$169:$C$170,0)),INDEX(Dropdowns_v2!$D$2:$D$248, MATCH(REDiTool!G$25, IF(Dropdowns_v2!$C$2:$C$248=REDiTool!$C$112,Dropdowns_v2!$B$2:$B$248,""),0)))</f>
        <v>#N/A</v>
      </c>
      <c r="H128" s="96" t="e" cm="1">
        <f t="array" ref="H128">IF(H$25="Natural Gas",INDEX(Dropdowns_v2!$D$169:$D$170,MATCH(H$31,Dropdowns_v2!$C$169:$C$170,0)),INDEX(Dropdowns_v2!$D$2:$D$248, MATCH(REDiTool!H$25, IF(Dropdowns_v2!$C$2:$C$248=REDiTool!$C$112,Dropdowns_v2!$B$2:$B$248,""),0)))</f>
        <v>#N/A</v>
      </c>
      <c r="I128" s="96" t="e" cm="1">
        <f t="array" ref="I128">IF(I$25="Natural Gas",INDEX(Dropdowns_v2!$D$169:$D$170,MATCH(I$31,Dropdowns_v2!$C$169:$C$170,0)),INDEX(Dropdowns_v2!$D$2:$D$248, MATCH(REDiTool!I$25, IF(Dropdowns_v2!$C$2:$C$248=REDiTool!$C$112,Dropdowns_v2!$B$2:$B$248,""),0)))</f>
        <v>#N/A</v>
      </c>
      <c r="J128" s="96" t="e" cm="1">
        <f t="array" ref="J128">IF(J$25="Natural Gas",INDEX(Dropdowns_v2!$D$169:$D$170,MATCH(J$31,Dropdowns_v2!$C$169:$C$170,0)),INDEX(Dropdowns_v2!$D$2:$D$248, MATCH(REDiTool!J$25, IF(Dropdowns_v2!$C$2:$C$248=REDiTool!$C$112,Dropdowns_v2!$B$2:$B$248,""),0)))</f>
        <v>#N/A</v>
      </c>
      <c r="K128" s="96" t="e" cm="1">
        <f t="array" ref="K128">IF(K$25="Natural Gas",INDEX(Dropdowns_v2!$D$169:$D$170,MATCH(K$31,Dropdowns_v2!$C$169:$C$170,0)),INDEX(Dropdowns_v2!$D$2:$D$248, MATCH(REDiTool!K$25, IF(Dropdowns_v2!$C$2:$C$248=REDiTool!$C$112,Dropdowns_v2!$B$2:$B$248,""),0)))</f>
        <v>#N/A</v>
      </c>
      <c r="L128" s="96" t="e" cm="1">
        <f t="array" ref="L128">IF(L$25="Natural Gas",INDEX(Dropdowns_v2!$D$169:$D$170,MATCH(L$31,Dropdowns_v2!$C$169:$C$170,0)),INDEX(Dropdowns_v2!$D$2:$D$248, MATCH(REDiTool!L$25, IF(Dropdowns_v2!$C$2:$C$248=REDiTool!$C$112,Dropdowns_v2!$B$2:$B$248,""),0)))</f>
        <v>#N/A</v>
      </c>
      <c r="M128" s="96" t="e" cm="1">
        <f t="array" ref="M128">IF(M$25="Natural Gas",INDEX(Dropdowns_v2!$D$169:$D$170,MATCH(M$31,Dropdowns_v2!$C$169:$C$170,0)),INDEX(Dropdowns_v2!$D$2:$D$248, MATCH(REDiTool!M$25, IF(Dropdowns_v2!$C$2:$C$248=REDiTool!$C$112,Dropdowns_v2!$B$2:$B$248,""),0)))</f>
        <v>#N/A</v>
      </c>
      <c r="N128" s="96" t="e" cm="1">
        <f t="array" ref="N128">IF(N$25="Natural Gas",INDEX(Dropdowns_v2!$D$169:$D$170,MATCH(N$31,Dropdowns_v2!$C$169:$C$170,0)),INDEX(Dropdowns_v2!$D$2:$D$248, MATCH(REDiTool!N$25, IF(Dropdowns_v2!$C$2:$C$248=REDiTool!$C$112,Dropdowns_v2!$B$2:$B$248,""),0)))</f>
        <v>#N/A</v>
      </c>
      <c r="O128" s="96" t="e" cm="1">
        <f t="array" ref="O128">IF(O$25="Natural Gas",INDEX(Dropdowns_v2!$D$169:$D$170,MATCH(O$31,Dropdowns_v2!$C$169:$C$170,0)),INDEX(Dropdowns_v2!$D$2:$D$248, MATCH(REDiTool!O$25, IF(Dropdowns_v2!$C$2:$C$248=REDiTool!$C$112,Dropdowns_v2!$B$2:$B$248,""),0)))</f>
        <v>#N/A</v>
      </c>
      <c r="P128" s="30"/>
      <c r="Q128" s="246"/>
      <c r="R128" s="30"/>
      <c r="S128" s="96" cm="1">
        <f t="array" ref="S128">IF(S$25="Natural Gas",INDEX(Dropdowns_v2!$D$169:$D$170,MATCH(S$31,Dropdowns_v2!$C$169:$C$170,0)),INDEX(Dropdowns_v2!$D$2:$D$248, MATCH(REDiTool!S$25, IF(Dropdowns_v2!$C$2:$C$248=REDiTool!$C$112,Dropdowns_v2!$B$2:$B$248,""),0)))</f>
        <v>1.1499999999999999</v>
      </c>
      <c r="T128" s="96" cm="1">
        <f t="array" ref="T128">IF(T$25="Natural Gas",INDEX(Dropdowns_v2!$D$169:$D$170,MATCH(T$31,Dropdowns_v2!$C$169:$C$170,0)),INDEX(Dropdowns_v2!$D$2:$D$248, MATCH(REDiTool!T$25, IF(Dropdowns_v2!$C$2:$C$248=REDiTool!$C$112,Dropdowns_v2!$B$2:$B$248,""),0)))</f>
        <v>2.3504</v>
      </c>
      <c r="U128" s="96" cm="1">
        <f t="array" ref="U128">IF(U$25="Natural Gas",INDEX(Dropdowns_v2!$D$169:$D$170,MATCH(U$31,Dropdowns_v2!$C$169:$C$170,0)),INDEX(Dropdowns_v2!$D$2:$D$248, MATCH(REDiTool!U$25, IF(Dropdowns_v2!$C$2:$C$248=REDiTool!$C$112,Dropdowns_v2!$B$2:$B$248,""),0)))</f>
        <v>2.3504</v>
      </c>
    </row>
    <row r="129" spans="1:22" ht="15" hidden="1" customHeight="1">
      <c r="A129" s="67"/>
      <c r="B129" s="310" t="s">
        <v>153</v>
      </c>
      <c r="C129" s="175" t="s">
        <v>353</v>
      </c>
      <c r="D129" s="597" t="s">
        <v>351</v>
      </c>
      <c r="E129" s="30"/>
      <c r="F129" s="46">
        <f t="shared" ref="F129:O129" si="57">F$89</f>
        <v>0</v>
      </c>
      <c r="G129" s="46">
        <f t="shared" si="57"/>
        <v>0</v>
      </c>
      <c r="H129" s="46">
        <f t="shared" si="57"/>
        <v>0</v>
      </c>
      <c r="I129" s="46">
        <f t="shared" si="57"/>
        <v>0</v>
      </c>
      <c r="J129" s="46">
        <f t="shared" si="57"/>
        <v>0</v>
      </c>
      <c r="K129" s="46">
        <f t="shared" si="57"/>
        <v>0</v>
      </c>
      <c r="L129" s="46">
        <f t="shared" si="57"/>
        <v>0</v>
      </c>
      <c r="M129" s="46">
        <f t="shared" si="57"/>
        <v>0</v>
      </c>
      <c r="N129" s="46">
        <f t="shared" si="57"/>
        <v>0</v>
      </c>
      <c r="O129" s="46">
        <f t="shared" si="57"/>
        <v>0</v>
      </c>
      <c r="P129" s="30"/>
      <c r="Q129" s="246"/>
      <c r="R129" s="30"/>
      <c r="S129" s="46">
        <f t="shared" ref="S129:U129" si="58">S$89</f>
        <v>0</v>
      </c>
      <c r="T129" s="46">
        <f t="shared" si="58"/>
        <v>0</v>
      </c>
      <c r="U129" s="46">
        <f t="shared" si="58"/>
        <v>0</v>
      </c>
    </row>
    <row r="130" spans="1:22" ht="15.75" hidden="1" customHeight="1" thickBot="1">
      <c r="A130" s="137"/>
      <c r="B130" s="318" t="s">
        <v>153</v>
      </c>
      <c r="C130" s="176" t="s">
        <v>352</v>
      </c>
      <c r="D130" s="66" t="s">
        <v>379</v>
      </c>
      <c r="E130" s="30"/>
      <c r="F130" s="88" t="e" cm="1">
        <f t="array" ref="F130">IF(F$26="Natural Gas",INDEX(Dropdowns_v2!$D$169:$D$170,MATCH(F$31,Dropdowns_v2!$C$169:$C$170,0)),INDEX(Dropdowns_v2!$D$2:$D$248, MATCH(REDiTool!F$26, IF(Dropdowns_v2!$C$2:$C$248=REDiTool!$C$114,Dropdowns_v2!$B$2:$B$248,""),0)))</f>
        <v>#N/A</v>
      </c>
      <c r="G130" s="88" t="e" cm="1">
        <f t="array" ref="G130">IF(G$26="Natural Gas",INDEX(Dropdowns_v2!$D$169:$D$170,MATCH(G$31,Dropdowns_v2!$C$169:$C$170,0)),INDEX(Dropdowns_v2!$D$2:$D$248, MATCH(REDiTool!G$26, IF(Dropdowns_v2!$C$2:$C$248=REDiTool!$C$114,Dropdowns_v2!$B$2:$B$248,""),0)))</f>
        <v>#N/A</v>
      </c>
      <c r="H130" s="88" t="e" cm="1">
        <f t="array" ref="H130">IF(H$26="Natural Gas",INDEX(Dropdowns_v2!$D$169:$D$170,MATCH(H$31,Dropdowns_v2!$C$169:$C$170,0)),INDEX(Dropdowns_v2!$D$2:$D$248, MATCH(REDiTool!H$26, IF(Dropdowns_v2!$C$2:$C$248=REDiTool!$C$114,Dropdowns_v2!$B$2:$B$248,""),0)))</f>
        <v>#N/A</v>
      </c>
      <c r="I130" s="88" t="e" cm="1">
        <f t="array" ref="I130">IF(I$26="Natural Gas",INDEX(Dropdowns_v2!$D$169:$D$170,MATCH(I$31,Dropdowns_v2!$C$169:$C$170,0)),INDEX(Dropdowns_v2!$D$2:$D$248, MATCH(REDiTool!I$26, IF(Dropdowns_v2!$C$2:$C$248=REDiTool!$C$114,Dropdowns_v2!$B$2:$B$248,""),0)))</f>
        <v>#N/A</v>
      </c>
      <c r="J130" s="88" t="e" cm="1">
        <f t="array" ref="J130">IF(J$26="Natural Gas",INDEX(Dropdowns_v2!$D$169:$D$170,MATCH(J$31,Dropdowns_v2!$C$169:$C$170,0)),INDEX(Dropdowns_v2!$D$2:$D$248, MATCH(REDiTool!J$26, IF(Dropdowns_v2!$C$2:$C$248=REDiTool!$C$114,Dropdowns_v2!$B$2:$B$248,""),0)))</f>
        <v>#N/A</v>
      </c>
      <c r="K130" s="88" t="e" cm="1">
        <f t="array" ref="K130">IF(K$26="Natural Gas",INDEX(Dropdowns_v2!$D$169:$D$170,MATCH(K$31,Dropdowns_v2!$C$169:$C$170,0)),INDEX(Dropdowns_v2!$D$2:$D$248, MATCH(REDiTool!K$26, IF(Dropdowns_v2!$C$2:$C$248=REDiTool!$C$114,Dropdowns_v2!$B$2:$B$248,""),0)))</f>
        <v>#N/A</v>
      </c>
      <c r="L130" s="88" t="e" cm="1">
        <f t="array" ref="L130">IF(L$26="Natural Gas",INDEX(Dropdowns_v2!$D$169:$D$170,MATCH(L$31,Dropdowns_v2!$C$169:$C$170,0)),INDEX(Dropdowns_v2!$D$2:$D$248, MATCH(REDiTool!L$26, IF(Dropdowns_v2!$C$2:$C$248=REDiTool!$C$114,Dropdowns_v2!$B$2:$B$248,""),0)))</f>
        <v>#N/A</v>
      </c>
      <c r="M130" s="88" t="e" cm="1">
        <f t="array" ref="M130">IF(M$26="Natural Gas",INDEX(Dropdowns_v2!$D$169:$D$170,MATCH(M$31,Dropdowns_v2!$C$169:$C$170,0)),INDEX(Dropdowns_v2!$D$2:$D$248, MATCH(REDiTool!M$26, IF(Dropdowns_v2!$C$2:$C$248=REDiTool!$C$114,Dropdowns_v2!$B$2:$B$248,""),0)))</f>
        <v>#N/A</v>
      </c>
      <c r="N130" s="88" t="e" cm="1">
        <f t="array" ref="N130">IF(N$26="Natural Gas",INDEX(Dropdowns_v2!$D$169:$D$170,MATCH(N$31,Dropdowns_v2!$C$169:$C$170,0)),INDEX(Dropdowns_v2!$D$2:$D$248, MATCH(REDiTool!N$26, IF(Dropdowns_v2!$C$2:$C$248=REDiTool!$C$114,Dropdowns_v2!$B$2:$B$248,""),0)))</f>
        <v>#N/A</v>
      </c>
      <c r="O130" s="88" t="e" cm="1">
        <f t="array" ref="O130">IF(O$26="Natural Gas",INDEX(Dropdowns_v2!$D$169:$D$170,MATCH(O$31,Dropdowns_v2!$C$169:$C$170,0)),INDEX(Dropdowns_v2!$D$2:$D$248, MATCH(REDiTool!O$26, IF(Dropdowns_v2!$C$2:$C$248=REDiTool!$C$114,Dropdowns_v2!$B$2:$B$248,""),0)))</f>
        <v>#N/A</v>
      </c>
      <c r="P130" s="30"/>
      <c r="Q130" s="246"/>
      <c r="R130" s="30"/>
      <c r="S130" s="88" cm="1">
        <f t="array" ref="S130">IF(S$26="Natural Gas",INDEX(Dropdowns_v2!$D$169:$D$170,MATCH(S$31,Dropdowns_v2!$C$169:$C$170,0)),INDEX(Dropdowns_v2!$D$2:$D$248, MATCH(REDiTool!S$26, IF(Dropdowns_v2!$C$2:$C$248=REDiTool!$C$114,Dropdowns_v2!$B$2:$B$248,""),0)))</f>
        <v>4</v>
      </c>
      <c r="T130" s="88" cm="1">
        <f t="array" ref="T130">IF(T$26="Natural Gas",INDEX(Dropdowns_v2!$D$169:$D$170,MATCH(T$31,Dropdowns_v2!$C$169:$C$170,0)),INDEX(Dropdowns_v2!$D$2:$D$248, MATCH(REDiTool!T$26, IF(Dropdowns_v2!$C$2:$C$248=REDiTool!$C$114,Dropdowns_v2!$B$2:$B$248,""),0)))</f>
        <v>4</v>
      </c>
      <c r="U130" s="88" cm="1">
        <f t="array" ref="U130">IF(U$26="Natural Gas",INDEX(Dropdowns_v2!$D$169:$D$170,MATCH(U$31,Dropdowns_v2!$C$169:$C$170,0)),INDEX(Dropdowns_v2!$D$2:$D$248, MATCH(REDiTool!U$26, IF(Dropdowns_v2!$C$2:$C$248=REDiTool!$C$114,Dropdowns_v2!$B$2:$B$248,""),0)))</f>
        <v>4</v>
      </c>
    </row>
    <row r="131" spans="1:22" hidden="1">
      <c r="A131" s="137"/>
      <c r="B131" s="325" t="s">
        <v>151</v>
      </c>
      <c r="C131" s="177" t="s">
        <v>380</v>
      </c>
      <c r="D131" s="363" t="s">
        <v>357</v>
      </c>
      <c r="E131" s="126"/>
      <c r="F131" s="399" t="e">
        <f t="shared" ref="F131:O131" si="59">(F127*F128*F100)+(F129*F130*F101)</f>
        <v>#N/A</v>
      </c>
      <c r="G131" s="399" t="e">
        <f t="shared" si="59"/>
        <v>#N/A</v>
      </c>
      <c r="H131" s="399" t="e">
        <f t="shared" si="59"/>
        <v>#N/A</v>
      </c>
      <c r="I131" s="399" t="e">
        <f t="shared" si="59"/>
        <v>#N/A</v>
      </c>
      <c r="J131" s="399" t="e">
        <f t="shared" si="59"/>
        <v>#N/A</v>
      </c>
      <c r="K131" s="399" t="e">
        <f t="shared" si="59"/>
        <v>#N/A</v>
      </c>
      <c r="L131" s="399" t="e">
        <f t="shared" si="59"/>
        <v>#N/A</v>
      </c>
      <c r="M131" s="399" t="e">
        <f t="shared" si="59"/>
        <v>#N/A</v>
      </c>
      <c r="N131" s="399" t="e">
        <f t="shared" si="59"/>
        <v>#N/A</v>
      </c>
      <c r="O131" s="399" t="e">
        <f t="shared" si="59"/>
        <v>#N/A</v>
      </c>
      <c r="P131" s="30"/>
      <c r="Q131" s="245"/>
      <c r="R131" s="30"/>
      <c r="S131" s="399">
        <f t="shared" ref="S131:U131" si="60">(S127*S128*S100)+(S129*S130*S101)</f>
        <v>35494.462499999994</v>
      </c>
      <c r="T131" s="399">
        <f t="shared" si="60"/>
        <v>72544.508399999992</v>
      </c>
      <c r="U131" s="399">
        <f t="shared" si="60"/>
        <v>72544.508399999992</v>
      </c>
    </row>
    <row r="132" spans="1:22" ht="15" hidden="1" customHeight="1">
      <c r="A132" s="80"/>
      <c r="B132" s="317" t="s">
        <v>153</v>
      </c>
      <c r="C132" s="196" t="s">
        <v>381</v>
      </c>
      <c r="D132" s="98"/>
      <c r="E132" s="30"/>
      <c r="F132" s="45" t="s">
        <v>359</v>
      </c>
      <c r="G132" s="45" t="s">
        <v>359</v>
      </c>
      <c r="H132" s="45" t="s">
        <v>359</v>
      </c>
      <c r="I132" s="45" t="s">
        <v>359</v>
      </c>
      <c r="J132" s="45" t="s">
        <v>359</v>
      </c>
      <c r="K132" s="45" t="s">
        <v>359</v>
      </c>
      <c r="L132" s="45" t="s">
        <v>359</v>
      </c>
      <c r="M132" s="45" t="s">
        <v>359</v>
      </c>
      <c r="N132" s="45" t="s">
        <v>359</v>
      </c>
      <c r="O132" s="45" t="s">
        <v>359</v>
      </c>
      <c r="P132" s="30"/>
      <c r="Q132" s="258"/>
      <c r="R132" s="30"/>
      <c r="S132" s="45" t="s">
        <v>359</v>
      </c>
      <c r="T132" s="45" t="s">
        <v>359</v>
      </c>
      <c r="U132" s="45" t="s">
        <v>359</v>
      </c>
    </row>
    <row r="133" spans="1:22" ht="15" hidden="1" customHeight="1">
      <c r="A133" s="137"/>
      <c r="B133" s="322" t="s">
        <v>153</v>
      </c>
      <c r="C133" s="148" t="s">
        <v>382</v>
      </c>
      <c r="D133" s="99"/>
      <c r="E133" s="30"/>
      <c r="F133" s="47" t="e">
        <f t="shared" ref="F133:O133" si="61">(F87*F100*F99)+(F91*F99*F101)</f>
        <v>#N/A</v>
      </c>
      <c r="G133" s="47" t="e">
        <f t="shared" si="61"/>
        <v>#N/A</v>
      </c>
      <c r="H133" s="47" t="e">
        <f t="shared" si="61"/>
        <v>#N/A</v>
      </c>
      <c r="I133" s="47" t="e">
        <f t="shared" si="61"/>
        <v>#N/A</v>
      </c>
      <c r="J133" s="47" t="e">
        <f t="shared" si="61"/>
        <v>#N/A</v>
      </c>
      <c r="K133" s="47" t="e">
        <f t="shared" si="61"/>
        <v>#N/A</v>
      </c>
      <c r="L133" s="47" t="e">
        <f t="shared" si="61"/>
        <v>#N/A</v>
      </c>
      <c r="M133" s="47" t="e">
        <f t="shared" si="61"/>
        <v>#N/A</v>
      </c>
      <c r="N133" s="47" t="e">
        <f t="shared" si="61"/>
        <v>#N/A</v>
      </c>
      <c r="O133" s="47" t="e">
        <f t="shared" si="61"/>
        <v>#N/A</v>
      </c>
      <c r="P133" s="30"/>
      <c r="Q133" s="246"/>
      <c r="R133" s="30"/>
      <c r="S133" s="47">
        <f t="shared" ref="S133:U133" si="62">(S87*S100*S99)+(S91*S99*S101)</f>
        <v>1543237.5</v>
      </c>
      <c r="T133" s="47">
        <f t="shared" si="62"/>
        <v>1543237.5</v>
      </c>
      <c r="U133" s="47">
        <f t="shared" si="62"/>
        <v>1543237.5</v>
      </c>
      <c r="V133" s="1065"/>
    </row>
    <row r="134" spans="1:22" ht="15" hidden="1" customHeight="1">
      <c r="A134" s="137"/>
      <c r="B134" s="322" t="s">
        <v>153</v>
      </c>
      <c r="C134" s="148" t="s">
        <v>383</v>
      </c>
      <c r="D134" s="99" t="s">
        <v>384</v>
      </c>
      <c r="E134" s="30"/>
      <c r="F134" s="361">
        <f t="array" ref="F134">INDEX(Dropdowns_v2!$D$2:$D$248, MATCH(REDiTool!$C$134, IF(Dropdowns_v2!$C$2:$C$248=REDiTool!$C$134,Dropdowns_v2!$B$2:$B$248,""),0))</f>
        <v>1.76</v>
      </c>
      <c r="G134" s="361">
        <f t="array" ref="G134">INDEX(Dropdowns_v2!$D$2:$D$248, MATCH(REDiTool!$C$134, IF(Dropdowns_v2!$C$2:$C$248=REDiTool!$C$134,Dropdowns_v2!$B$2:$B$248,""),0))</f>
        <v>1.76</v>
      </c>
      <c r="H134" s="361">
        <f t="array" ref="H134">INDEX(Dropdowns_v2!$D$2:$D$248, MATCH(REDiTool!$C$134, IF(Dropdowns_v2!$C$2:$C$248=REDiTool!$C$134,Dropdowns_v2!$B$2:$B$248,""),0))</f>
        <v>1.76</v>
      </c>
      <c r="I134" s="361">
        <f t="array" ref="I134">INDEX(Dropdowns_v2!$D$2:$D$248, MATCH(REDiTool!$C$134, IF(Dropdowns_v2!$C$2:$C$248=REDiTool!$C$134,Dropdowns_v2!$B$2:$B$248,""),0))</f>
        <v>1.76</v>
      </c>
      <c r="J134" s="361">
        <f t="array" ref="J134">INDEX(Dropdowns_v2!$D$2:$D$248, MATCH(REDiTool!$C$134, IF(Dropdowns_v2!$C$2:$C$248=REDiTool!$C$134,Dropdowns_v2!$B$2:$B$248,""),0))</f>
        <v>1.76</v>
      </c>
      <c r="K134" s="361">
        <f t="array" ref="K134">INDEX(Dropdowns_v2!$D$2:$D$248, MATCH(REDiTool!$C$134, IF(Dropdowns_v2!$C$2:$C$248=REDiTool!$C$134,Dropdowns_v2!$B$2:$B$248,""),0))</f>
        <v>1.76</v>
      </c>
      <c r="L134" s="361">
        <f t="array" ref="L134">INDEX(Dropdowns_v2!$D$2:$D$248, MATCH(REDiTool!$C$134, IF(Dropdowns_v2!$C$2:$C$248=REDiTool!$C$134,Dropdowns_v2!$B$2:$B$248,""),0))</f>
        <v>1.76</v>
      </c>
      <c r="M134" s="361">
        <f t="array" ref="M134">INDEX(Dropdowns_v2!$D$2:$D$248, MATCH(REDiTool!$C$134, IF(Dropdowns_v2!$C$2:$C$248=REDiTool!$C$134,Dropdowns_v2!$B$2:$B$248,""),0))</f>
        <v>1.76</v>
      </c>
      <c r="N134" s="361">
        <f t="array" ref="N134">INDEX(Dropdowns_v2!$D$2:$D$248, MATCH(REDiTool!$C$134, IF(Dropdowns_v2!$C$2:$C$248=REDiTool!$C$134,Dropdowns_v2!$B$2:$B$248,""),0))</f>
        <v>1.76</v>
      </c>
      <c r="O134" s="361">
        <f t="array" ref="O134">INDEX(Dropdowns_v2!$D$2:$D$248, MATCH(REDiTool!$C$134, IF(Dropdowns_v2!$C$2:$C$248=REDiTool!$C$134,Dropdowns_v2!$B$2:$B$248,""),0))</f>
        <v>1.76</v>
      </c>
      <c r="P134" s="30"/>
      <c r="Q134" s="246"/>
      <c r="R134" s="30"/>
      <c r="S134" s="361">
        <f t="array" ref="S134">INDEX(Dropdowns_v2!$D$2:$D$248, MATCH(REDiTool!$C$134, IF(Dropdowns_v2!$C$2:$C$248=REDiTool!$C$134,Dropdowns_v2!$B$2:$B$248,""),0))</f>
        <v>1.76</v>
      </c>
      <c r="T134" s="361">
        <f t="array" ref="T134">INDEX(Dropdowns_v2!$D$2:$D$248, MATCH(REDiTool!$C$134, IF(Dropdowns_v2!$C$2:$C$248=REDiTool!$C$134,Dropdowns_v2!$B$2:$B$248,""),0))</f>
        <v>1.76</v>
      </c>
      <c r="U134" s="361">
        <f t="array" ref="U134">INDEX(Dropdowns_v2!$D$2:$D$248, MATCH(REDiTool!$C$134, IF(Dropdowns_v2!$C$2:$C$248=REDiTool!$C$134,Dropdowns_v2!$B$2:$B$248,""),0))</f>
        <v>1.76</v>
      </c>
    </row>
    <row r="135" spans="1:22" ht="15" hidden="1" customHeight="1">
      <c r="A135" s="80"/>
      <c r="B135" s="322" t="s">
        <v>153</v>
      </c>
      <c r="C135" s="148" t="s">
        <v>385</v>
      </c>
      <c r="D135" s="439"/>
      <c r="E135" s="30"/>
      <c r="F135" s="161" t="e">
        <f t="array" ref="F135">INDEX(Dropdowns_v2!$D$2:$D$248, MATCH(REDiTool!F$66, IF(Dropdowns_v2!$C$2:$C$248=REDiTool!$C$135,Dropdowns_v2!$B$2:$B$248,""),0))</f>
        <v>#N/A</v>
      </c>
      <c r="G135" s="161" t="e">
        <f t="array" ref="G135">INDEX(Dropdowns_v2!$D$2:$D$248, MATCH(REDiTool!G$66, IF(Dropdowns_v2!$C$2:$C$248=REDiTool!$C$135,Dropdowns_v2!$B$2:$B$248,""),0))</f>
        <v>#N/A</v>
      </c>
      <c r="H135" s="161" t="e">
        <f t="array" ref="H135">INDEX(Dropdowns_v2!$D$2:$D$248, MATCH(REDiTool!H$66, IF(Dropdowns_v2!$C$2:$C$248=REDiTool!$C$135,Dropdowns_v2!$B$2:$B$248,""),0))</f>
        <v>#N/A</v>
      </c>
      <c r="I135" s="161" t="e">
        <f t="array" ref="I135">INDEX(Dropdowns_v2!$D$2:$D$248, MATCH(REDiTool!I$66, IF(Dropdowns_v2!$C$2:$C$248=REDiTool!$C$135,Dropdowns_v2!$B$2:$B$248,""),0))</f>
        <v>#N/A</v>
      </c>
      <c r="J135" s="161" t="e">
        <f t="array" ref="J135">INDEX(Dropdowns_v2!$D$2:$D$248, MATCH(REDiTool!J$66, IF(Dropdowns_v2!$C$2:$C$248=REDiTool!$C$135,Dropdowns_v2!$B$2:$B$248,""),0))</f>
        <v>#N/A</v>
      </c>
      <c r="K135" s="161" t="e">
        <f t="array" ref="K135">INDEX(Dropdowns_v2!$D$2:$D$248, MATCH(REDiTool!K$66, IF(Dropdowns_v2!$C$2:$C$248=REDiTool!$C$135,Dropdowns_v2!$B$2:$B$248,""),0))</f>
        <v>#N/A</v>
      </c>
      <c r="L135" s="161" t="e">
        <f t="array" ref="L135">INDEX(Dropdowns_v2!$D$2:$D$248, MATCH(REDiTool!L$66, IF(Dropdowns_v2!$C$2:$C$248=REDiTool!$C$135,Dropdowns_v2!$B$2:$B$248,""),0))</f>
        <v>#N/A</v>
      </c>
      <c r="M135" s="161" t="e">
        <f t="array" ref="M135">INDEX(Dropdowns_v2!$D$2:$D$248, MATCH(REDiTool!M$66, IF(Dropdowns_v2!$C$2:$C$248=REDiTool!$C$135,Dropdowns_v2!$B$2:$B$248,""),0))</f>
        <v>#N/A</v>
      </c>
      <c r="N135" s="161" t="e">
        <f t="array" ref="N135">INDEX(Dropdowns_v2!$D$2:$D$248, MATCH(REDiTool!N$66, IF(Dropdowns_v2!$C$2:$C$248=REDiTool!$C$135,Dropdowns_v2!$B$2:$B$248,""),0))</f>
        <v>#N/A</v>
      </c>
      <c r="O135" s="161" t="e">
        <f t="array" ref="O135">INDEX(Dropdowns_v2!$D$2:$D$248, MATCH(REDiTool!O$66, IF(Dropdowns_v2!$C$2:$C$248=REDiTool!$C$135,Dropdowns_v2!$B$2:$B$248,""),0))</f>
        <v>#N/A</v>
      </c>
      <c r="P135" s="30"/>
      <c r="Q135" s="246"/>
      <c r="R135" s="30"/>
      <c r="S135" s="161">
        <f t="array" ref="S135">INDEX(Dropdowns_v2!$D$2:$D$248, MATCH(REDiTool!S$66, IF(Dropdowns_v2!$C$2:$C$248=REDiTool!$C$135,Dropdowns_v2!$B$2:$B$248,""),0))</f>
        <v>0</v>
      </c>
      <c r="T135" s="161">
        <f t="array" ref="T135">INDEX(Dropdowns_v2!$D$2:$D$248, MATCH(REDiTool!T$66, IF(Dropdowns_v2!$C$2:$C$248=REDiTool!$C$135,Dropdowns_v2!$B$2:$B$248,""),0))</f>
        <v>0</v>
      </c>
      <c r="U135" s="161">
        <f t="array" ref="U135">INDEX(Dropdowns_v2!$D$2:$D$248, MATCH(REDiTool!U$66, IF(Dropdowns_v2!$C$2:$C$248=REDiTool!$C$135,Dropdowns_v2!$B$2:$B$248,""),0))</f>
        <v>0</v>
      </c>
    </row>
    <row r="136" spans="1:22">
      <c r="A136" s="80"/>
      <c r="B136" s="322" t="s">
        <v>148</v>
      </c>
      <c r="C136" s="172" t="s">
        <v>386</v>
      </c>
      <c r="D136" s="440" t="s">
        <v>387</v>
      </c>
      <c r="E136" s="30"/>
      <c r="F136" s="719">
        <f t="shared" ref="F136:O136" si="63">F64</f>
        <v>0</v>
      </c>
      <c r="G136" s="719">
        <f t="shared" si="63"/>
        <v>0</v>
      </c>
      <c r="H136" s="719">
        <f t="shared" si="63"/>
        <v>0</v>
      </c>
      <c r="I136" s="719">
        <f t="shared" si="63"/>
        <v>0</v>
      </c>
      <c r="J136" s="719">
        <f t="shared" si="63"/>
        <v>0</v>
      </c>
      <c r="K136" s="719">
        <f t="shared" si="63"/>
        <v>0</v>
      </c>
      <c r="L136" s="719">
        <f t="shared" si="63"/>
        <v>0</v>
      </c>
      <c r="M136" s="719">
        <f t="shared" si="63"/>
        <v>0</v>
      </c>
      <c r="N136" s="719">
        <f t="shared" si="63"/>
        <v>0</v>
      </c>
      <c r="O136" s="719">
        <f t="shared" si="63"/>
        <v>0</v>
      </c>
      <c r="P136" s="30"/>
      <c r="Q136" s="246"/>
      <c r="R136" s="30"/>
      <c r="S136" s="719">
        <f t="shared" ref="S136:U136" si="64">S64</f>
        <v>1</v>
      </c>
      <c r="T136" s="719">
        <f t="shared" si="64"/>
        <v>0.5</v>
      </c>
      <c r="U136" s="719">
        <f t="shared" si="64"/>
        <v>1</v>
      </c>
    </row>
    <row r="137" spans="1:22" ht="15" hidden="1" customHeight="1">
      <c r="A137" s="137" t="s">
        <v>367</v>
      </c>
      <c r="B137" s="310" t="s">
        <v>153</v>
      </c>
      <c r="C137" s="175" t="s">
        <v>368</v>
      </c>
      <c r="D137" s="65" t="s">
        <v>366</v>
      </c>
      <c r="E137" s="30"/>
      <c r="F137" s="229">
        <f>IF(F67="Yes",Dropdowns_v2!$D115,0)</f>
        <v>0</v>
      </c>
      <c r="G137" s="229">
        <f>IF(G67="Yes",Dropdowns_v2!$D115,0)</f>
        <v>0</v>
      </c>
      <c r="H137" s="229">
        <f>IF(H67="Yes",Dropdowns_v2!$D115,0)</f>
        <v>0</v>
      </c>
      <c r="I137" s="229">
        <f>IF(I67="Yes",Dropdowns_v2!$D115,0)</f>
        <v>0</v>
      </c>
      <c r="J137" s="229">
        <f>IF(J67="Yes",Dropdowns_v2!$D115,0)</f>
        <v>0</v>
      </c>
      <c r="K137" s="229">
        <f>IF(K67="Yes",Dropdowns_v2!$D115,0)</f>
        <v>0</v>
      </c>
      <c r="L137" s="229">
        <f>IF(L67="Yes",Dropdowns_v2!$D115,0)</f>
        <v>0</v>
      </c>
      <c r="M137" s="229">
        <f>IF(M67="Yes",Dropdowns_v2!$D115,0)</f>
        <v>0</v>
      </c>
      <c r="N137" s="229">
        <f>IF(N67="Yes",Dropdowns_v2!$D115,0)</f>
        <v>0</v>
      </c>
      <c r="O137" s="229">
        <f>IF(O67="Yes",Dropdowns_v2!$D115,0)</f>
        <v>0</v>
      </c>
      <c r="P137" s="30"/>
      <c r="Q137" s="246"/>
      <c r="R137" s="30"/>
      <c r="S137" s="229">
        <f>IF(S67="Yes",Dropdowns_v2!$D115,0)</f>
        <v>0</v>
      </c>
      <c r="T137" s="229">
        <f>IF(T67="Yes",Dropdowns_v2!$D115,0)</f>
        <v>0</v>
      </c>
      <c r="U137" s="229">
        <f>IF(U67="Yes",Dropdowns_v2!$D115,0)</f>
        <v>0</v>
      </c>
    </row>
    <row r="138" spans="1:22" ht="15" customHeight="1">
      <c r="A138" s="137"/>
      <c r="B138" s="322" t="s">
        <v>148</v>
      </c>
      <c r="C138" s="148" t="s">
        <v>388</v>
      </c>
      <c r="D138" s="1147" t="s">
        <v>316</v>
      </c>
      <c r="E138" s="30"/>
      <c r="F138" s="46" t="e">
        <f>(F133*(1-F135)*(1-F137)/Dropdowns_v2!$D$189/F134*F136)</f>
        <v>#N/A</v>
      </c>
      <c r="G138" s="46" t="e">
        <f>(G133*(1-G135)*(1-G137)/Dropdowns_v2!$D$189/G134*G136)</f>
        <v>#N/A</v>
      </c>
      <c r="H138" s="46" t="e">
        <f>(H133*(1-H135)*(1-H137)/Dropdowns_v2!$D$189/H134*H136)</f>
        <v>#N/A</v>
      </c>
      <c r="I138" s="46" t="e">
        <f>(I133*(1-I135)*(1-I137)/Dropdowns_v2!$D$189/I134*I136)</f>
        <v>#N/A</v>
      </c>
      <c r="J138" s="46" t="e">
        <f>(J133*(1-J135)*(1-J137)/Dropdowns_v2!$D$189/J134*J136)</f>
        <v>#N/A</v>
      </c>
      <c r="K138" s="46" t="e">
        <f>(K133*(1-K135)*(1-K137)/Dropdowns_v2!$D$189/K134*K136)</f>
        <v>#N/A</v>
      </c>
      <c r="L138" s="46" t="e">
        <f>(L133*(1-L135)*(1-L137)/Dropdowns_v2!$D$189/L134*L136)</f>
        <v>#N/A</v>
      </c>
      <c r="M138" s="46" t="e">
        <f>(M133*(1-M135)*(1-M137)/Dropdowns_v2!$D$189/M134*M136)</f>
        <v>#N/A</v>
      </c>
      <c r="N138" s="46" t="e">
        <f>(N133*(1-N135)*(1-N137)/Dropdowns_v2!$D$189/N134*N136)</f>
        <v>#N/A</v>
      </c>
      <c r="O138" s="46" t="e">
        <f>(O133*(1-O135)*(1-O137)/Dropdowns_v2!$D$189/O134*O136)</f>
        <v>#N/A</v>
      </c>
      <c r="P138" s="30"/>
      <c r="Q138" s="246"/>
      <c r="R138" s="30"/>
      <c r="S138" s="46">
        <f>(S133*(1-S135)*(1-S137)/Dropdowns_v2!$D$189/S134*S136)</f>
        <v>256986.95446552275</v>
      </c>
      <c r="T138" s="46">
        <f>(T133*(1-T135)*(1-T137)/Dropdowns_v2!$D$189/T134*T136)</f>
        <v>128493.47723276138</v>
      </c>
      <c r="U138" s="46">
        <f>(U133*(1-U135)*(1-U137)/Dropdowns_v2!$D$189/U134*U136)</f>
        <v>256986.95446552275</v>
      </c>
    </row>
    <row r="139" spans="1:22" ht="15.75" hidden="1" customHeight="1" thickBot="1">
      <c r="A139" s="137"/>
      <c r="B139" s="318" t="s">
        <v>153</v>
      </c>
      <c r="C139" s="176" t="s">
        <v>370</v>
      </c>
      <c r="D139" s="66" t="s">
        <v>371</v>
      </c>
      <c r="E139" s="30"/>
      <c r="F139" s="88">
        <f t="array" ref="F139">INDEX(Dropdowns_v2!$D$2:$D$248, MATCH(REDiTool!$D$139, IF(Dropdowns_v2!$C$2:$C$248=REDiTool!$C$139,Dropdowns_v2!$B$2:$B$248,""),0))</f>
        <v>0.3</v>
      </c>
      <c r="G139" s="88">
        <f t="array" ref="G139">INDEX(Dropdowns_v2!$D$2:$D$248, MATCH(REDiTool!$D$139, IF(Dropdowns_v2!$C$2:$C$248=REDiTool!$C$139,Dropdowns_v2!$B$2:$B$248,""),0))</f>
        <v>0.3</v>
      </c>
      <c r="H139" s="88">
        <f t="array" ref="H139">INDEX(Dropdowns_v2!$D$2:$D$248, MATCH(REDiTool!$D$139, IF(Dropdowns_v2!$C$2:$C$248=REDiTool!$C$139,Dropdowns_v2!$B$2:$B$248,""),0))</f>
        <v>0.3</v>
      </c>
      <c r="I139" s="88">
        <f t="array" ref="I139">INDEX(Dropdowns_v2!$D$2:$D$248, MATCH(REDiTool!$D$139, IF(Dropdowns_v2!$C$2:$C$248=REDiTool!$C$139,Dropdowns_v2!$B$2:$B$248,""),0))</f>
        <v>0.3</v>
      </c>
      <c r="J139" s="88">
        <f t="array" ref="J139">INDEX(Dropdowns_v2!$D$2:$D$248, MATCH(REDiTool!$D$139, IF(Dropdowns_v2!$C$2:$C$248=REDiTool!$C$139,Dropdowns_v2!$B$2:$B$248,""),0))</f>
        <v>0.3</v>
      </c>
      <c r="K139" s="88">
        <f t="array" ref="K139">INDEX(Dropdowns_v2!$D$2:$D$248, MATCH(REDiTool!$D$139, IF(Dropdowns_v2!$C$2:$C$248=REDiTool!$C$139,Dropdowns_v2!$B$2:$B$248,""),0))</f>
        <v>0.3</v>
      </c>
      <c r="L139" s="88">
        <f t="array" ref="L139">INDEX(Dropdowns_v2!$D$2:$D$248, MATCH(REDiTool!$D$139, IF(Dropdowns_v2!$C$2:$C$248=REDiTool!$C$139,Dropdowns_v2!$B$2:$B$248,""),0))</f>
        <v>0.3</v>
      </c>
      <c r="M139" s="88">
        <f t="array" ref="M139">INDEX(Dropdowns_v2!$D$2:$D$248, MATCH(REDiTool!$D$139, IF(Dropdowns_v2!$C$2:$C$248=REDiTool!$C$139,Dropdowns_v2!$B$2:$B$248,""),0))</f>
        <v>0.3</v>
      </c>
      <c r="N139" s="88">
        <f t="array" ref="N139">INDEX(Dropdowns_v2!$D$2:$D$248, MATCH(REDiTool!$D$139, IF(Dropdowns_v2!$C$2:$C$248=REDiTool!$C$139,Dropdowns_v2!$B$2:$B$248,""),0))</f>
        <v>0.3</v>
      </c>
      <c r="O139" s="88">
        <f t="array" ref="O139">INDEX(Dropdowns_v2!$D$2:$D$248, MATCH(REDiTool!$D$139, IF(Dropdowns_v2!$C$2:$C$248=REDiTool!$C$139,Dropdowns_v2!$B$2:$B$248,""),0))</f>
        <v>0.3</v>
      </c>
      <c r="P139" s="30"/>
      <c r="Q139" s="246"/>
      <c r="R139" s="30"/>
      <c r="S139" s="88">
        <f t="array" ref="S139">INDEX(Dropdowns_v2!$D$2:$D$248, MATCH(REDiTool!$D$139, IF(Dropdowns_v2!$C$2:$C$248=REDiTool!$C$139,Dropdowns_v2!$B$2:$B$248,""),0))</f>
        <v>0.3</v>
      </c>
      <c r="T139" s="88">
        <f t="array" ref="T139">INDEX(Dropdowns_v2!$D$2:$D$248, MATCH(REDiTool!$D$139, IF(Dropdowns_v2!$C$2:$C$248=REDiTool!$C$139,Dropdowns_v2!$B$2:$B$248,""),0))</f>
        <v>0.3</v>
      </c>
      <c r="U139" s="88">
        <f t="array" ref="U139">INDEX(Dropdowns_v2!$D$2:$D$248, MATCH(REDiTool!$D$139, IF(Dropdowns_v2!$C$2:$C$248=REDiTool!$C$139,Dropdowns_v2!$B$2:$B$248,""),0))</f>
        <v>0.3</v>
      </c>
    </row>
    <row r="140" spans="1:22" s="49" customFormat="1" ht="15" hidden="1" customHeight="1">
      <c r="A140" s="137"/>
      <c r="B140" s="326" t="s">
        <v>153</v>
      </c>
      <c r="C140" s="181" t="s">
        <v>389</v>
      </c>
      <c r="D140" s="105" t="s">
        <v>316</v>
      </c>
      <c r="E140" s="30"/>
      <c r="F140" s="63">
        <f t="shared" ref="F140:O140" si="65">IF(ISNUMBER(SEARCH("Heat Pump", F63)), F138 * F139,0)</f>
        <v>0</v>
      </c>
      <c r="G140" s="63">
        <f t="shared" si="65"/>
        <v>0</v>
      </c>
      <c r="H140" s="63">
        <f t="shared" si="65"/>
        <v>0</v>
      </c>
      <c r="I140" s="63">
        <f t="shared" si="65"/>
        <v>0</v>
      </c>
      <c r="J140" s="63">
        <f t="shared" si="65"/>
        <v>0</v>
      </c>
      <c r="K140" s="63">
        <f t="shared" si="65"/>
        <v>0</v>
      </c>
      <c r="L140" s="63">
        <f t="shared" si="65"/>
        <v>0</v>
      </c>
      <c r="M140" s="63">
        <f t="shared" si="65"/>
        <v>0</v>
      </c>
      <c r="N140" s="63">
        <f t="shared" si="65"/>
        <v>0</v>
      </c>
      <c r="O140" s="63">
        <f t="shared" si="65"/>
        <v>0</v>
      </c>
      <c r="P140" s="89"/>
      <c r="Q140" s="246"/>
      <c r="R140" s="89"/>
      <c r="S140" s="63">
        <f t="shared" ref="S140:U140" si="66">IF(ISNUMBER(SEARCH("Heat Pump", S63)), S138 * S139,0)</f>
        <v>77096.086339656817</v>
      </c>
      <c r="T140" s="63">
        <f t="shared" si="66"/>
        <v>38548.043169828408</v>
      </c>
      <c r="U140" s="63">
        <f t="shared" si="66"/>
        <v>77096.086339656817</v>
      </c>
    </row>
    <row r="141" spans="1:22" s="49" customFormat="1" ht="15.75" hidden="1" customHeight="1" thickBot="1">
      <c r="A141" s="149" t="s">
        <v>390</v>
      </c>
      <c r="B141" s="327" t="s">
        <v>153</v>
      </c>
      <c r="C141" s="231" t="s">
        <v>391</v>
      </c>
      <c r="D141" s="441" t="s">
        <v>392</v>
      </c>
      <c r="E141" s="89"/>
      <c r="F141" s="128" t="e">
        <f t="shared" ref="F141:O141" si="67">F131*(1-F136)</f>
        <v>#N/A</v>
      </c>
      <c r="G141" s="128" t="e">
        <f t="shared" si="67"/>
        <v>#N/A</v>
      </c>
      <c r="H141" s="128" t="e">
        <f t="shared" si="67"/>
        <v>#N/A</v>
      </c>
      <c r="I141" s="128" t="e">
        <f t="shared" si="67"/>
        <v>#N/A</v>
      </c>
      <c r="J141" s="128" t="e">
        <f t="shared" si="67"/>
        <v>#N/A</v>
      </c>
      <c r="K141" s="128" t="e">
        <f t="shared" si="67"/>
        <v>#N/A</v>
      </c>
      <c r="L141" s="128" t="e">
        <f t="shared" si="67"/>
        <v>#N/A</v>
      </c>
      <c r="M141" s="128" t="e">
        <f t="shared" si="67"/>
        <v>#N/A</v>
      </c>
      <c r="N141" s="128" t="e">
        <f t="shared" si="67"/>
        <v>#N/A</v>
      </c>
      <c r="O141" s="128" t="e">
        <f t="shared" si="67"/>
        <v>#N/A</v>
      </c>
      <c r="P141" s="89"/>
      <c r="Q141" s="246"/>
      <c r="R141" s="89"/>
      <c r="S141" s="128">
        <f>S131*(1-S136)</f>
        <v>0</v>
      </c>
      <c r="T141" s="128">
        <f>T131*(1-T136)</f>
        <v>36272.254199999996</v>
      </c>
      <c r="U141" s="128">
        <f>U131*(1-U136)</f>
        <v>0</v>
      </c>
    </row>
    <row r="142" spans="1:22" s="49" customFormat="1" hidden="1">
      <c r="A142" s="149"/>
      <c r="B142" s="323" t="s">
        <v>151</v>
      </c>
      <c r="C142" s="180" t="s">
        <v>393</v>
      </c>
      <c r="D142" s="158" t="s">
        <v>375</v>
      </c>
      <c r="E142" s="89"/>
      <c r="F142" s="130" t="e">
        <f t="shared" ref="F142:O142" si="68">IF(ISNUMBER(SEARCH("Heat Pump", F63)), (SUM(F140:F141)),F131)</f>
        <v>#N/A</v>
      </c>
      <c r="G142" s="130" t="e">
        <f t="shared" si="68"/>
        <v>#N/A</v>
      </c>
      <c r="H142" s="130" t="e">
        <f t="shared" si="68"/>
        <v>#N/A</v>
      </c>
      <c r="I142" s="130" t="e">
        <f t="shared" si="68"/>
        <v>#N/A</v>
      </c>
      <c r="J142" s="130" t="e">
        <f t="shared" si="68"/>
        <v>#N/A</v>
      </c>
      <c r="K142" s="130" t="e">
        <f t="shared" si="68"/>
        <v>#N/A</v>
      </c>
      <c r="L142" s="130" t="e">
        <f t="shared" si="68"/>
        <v>#N/A</v>
      </c>
      <c r="M142" s="130" t="e">
        <f t="shared" si="68"/>
        <v>#N/A</v>
      </c>
      <c r="N142" s="130" t="e">
        <f t="shared" si="68"/>
        <v>#N/A</v>
      </c>
      <c r="O142" s="130" t="e">
        <f t="shared" si="68"/>
        <v>#N/A</v>
      </c>
      <c r="P142" s="89"/>
      <c r="Q142" s="246"/>
      <c r="R142" s="89"/>
      <c r="S142" s="130">
        <f t="shared" ref="S142:U142" si="69">IF(ISNUMBER(SEARCH("Heat Pump", S63)), (SUM(S140:S141)),S131)</f>
        <v>77096.086339656817</v>
      </c>
      <c r="T142" s="130">
        <f t="shared" si="69"/>
        <v>74820.297369828404</v>
      </c>
      <c r="U142" s="130">
        <f t="shared" si="69"/>
        <v>77096.086339656817</v>
      </c>
    </row>
    <row r="143" spans="1:22" s="49" customFormat="1">
      <c r="A143" s="149"/>
      <c r="B143" s="907" t="s">
        <v>148</v>
      </c>
      <c r="C143" s="386" t="s">
        <v>394</v>
      </c>
      <c r="D143" s="158" t="s">
        <v>348</v>
      </c>
      <c r="E143" s="89"/>
      <c r="F143" s="130" t="e">
        <f t="shared" ref="F143:O143" si="70">ROUND(F131-F142,-2)</f>
        <v>#N/A</v>
      </c>
      <c r="G143" s="130" t="e">
        <f t="shared" si="70"/>
        <v>#N/A</v>
      </c>
      <c r="H143" s="130" t="e">
        <f t="shared" si="70"/>
        <v>#N/A</v>
      </c>
      <c r="I143" s="130" t="e">
        <f t="shared" si="70"/>
        <v>#N/A</v>
      </c>
      <c r="J143" s="130" t="e">
        <f t="shared" si="70"/>
        <v>#N/A</v>
      </c>
      <c r="K143" s="130" t="e">
        <f t="shared" si="70"/>
        <v>#N/A</v>
      </c>
      <c r="L143" s="130" t="e">
        <f t="shared" si="70"/>
        <v>#N/A</v>
      </c>
      <c r="M143" s="130" t="e">
        <f t="shared" si="70"/>
        <v>#N/A</v>
      </c>
      <c r="N143" s="130" t="e">
        <f t="shared" si="70"/>
        <v>#N/A</v>
      </c>
      <c r="O143" s="130" t="e">
        <f t="shared" si="70"/>
        <v>#N/A</v>
      </c>
      <c r="P143" s="89"/>
      <c r="Q143" s="246"/>
      <c r="R143" s="89"/>
      <c r="S143" s="130">
        <f>ROUND(S131-S142,-2)</f>
        <v>-41600</v>
      </c>
      <c r="T143" s="130">
        <f t="shared" ref="T143:U143" si="71">ROUND(T131-T142,-2)</f>
        <v>-2300</v>
      </c>
      <c r="U143" s="130">
        <f t="shared" si="71"/>
        <v>-4600</v>
      </c>
    </row>
    <row r="144" spans="1:22" s="223" customFormat="1" ht="27" hidden="1" customHeight="1">
      <c r="A144" s="703"/>
      <c r="B144" s="907" t="s">
        <v>151</v>
      </c>
      <c r="C144" s="386" t="s">
        <v>394</v>
      </c>
      <c r="D144" s="158" t="s">
        <v>375</v>
      </c>
      <c r="E144" s="387"/>
      <c r="F144" s="411" t="str">
        <f t="shared" ref="F144:O144" si="72">IF(ISNUMBER(SEARCH("heat pump", F63)), (F131-F142)/F131, "N/A, Not in Scope")</f>
        <v>N/A, Not in Scope</v>
      </c>
      <c r="G144" s="411" t="str">
        <f t="shared" si="72"/>
        <v>N/A, Not in Scope</v>
      </c>
      <c r="H144" s="411" t="str">
        <f t="shared" si="72"/>
        <v>N/A, Not in Scope</v>
      </c>
      <c r="I144" s="411" t="str">
        <f t="shared" si="72"/>
        <v>N/A, Not in Scope</v>
      </c>
      <c r="J144" s="411" t="str">
        <f t="shared" si="72"/>
        <v>N/A, Not in Scope</v>
      </c>
      <c r="K144" s="412" t="str">
        <f t="shared" si="72"/>
        <v>N/A, Not in Scope</v>
      </c>
      <c r="L144" s="412" t="str">
        <f t="shared" si="72"/>
        <v>N/A, Not in Scope</v>
      </c>
      <c r="M144" s="412" t="str">
        <f t="shared" si="72"/>
        <v>N/A, Not in Scope</v>
      </c>
      <c r="N144" s="412" t="str">
        <f t="shared" si="72"/>
        <v>N/A, Not in Scope</v>
      </c>
      <c r="O144" s="412" t="str">
        <f t="shared" si="72"/>
        <v>N/A, Not in Scope</v>
      </c>
      <c r="P144" s="165"/>
      <c r="Q144" s="246"/>
      <c r="R144" s="165"/>
      <c r="S144" s="411">
        <f t="shared" ref="S144:U144" si="73">IF(ISNUMBER(SEARCH("heat pump", S63)), (S131-S142)/S131, "N/A, Not in Scope")</f>
        <v>-1.1720595526599911</v>
      </c>
      <c r="T144" s="411">
        <f t="shared" si="73"/>
        <v>-3.137093378977826E-2</v>
      </c>
      <c r="U144" s="411">
        <f t="shared" si="73"/>
        <v>-6.2741867579556521E-2</v>
      </c>
    </row>
    <row r="145" spans="1:21" hidden="1">
      <c r="A145" s="151"/>
      <c r="B145" s="331" t="s">
        <v>290</v>
      </c>
      <c r="C145" s="918" t="s">
        <v>395</v>
      </c>
      <c r="D145" s="129"/>
      <c r="E145" s="30"/>
      <c r="F145" s="235"/>
      <c r="G145" s="235"/>
      <c r="H145" s="235"/>
      <c r="I145" s="235"/>
      <c r="J145" s="235"/>
      <c r="K145" s="235"/>
      <c r="L145" s="235"/>
      <c r="M145" s="235"/>
      <c r="N145" s="235"/>
      <c r="O145" s="235"/>
      <c r="P145" s="30"/>
      <c r="Q145" s="267"/>
      <c r="R145" s="30"/>
      <c r="S145" s="235"/>
      <c r="T145" s="235"/>
      <c r="U145" s="235"/>
    </row>
    <row r="146" spans="1:21" s="223" customFormat="1" ht="27" hidden="1" customHeight="1">
      <c r="A146" s="432"/>
      <c r="B146" s="344" t="s">
        <v>153</v>
      </c>
      <c r="C146" s="345" t="s">
        <v>396</v>
      </c>
      <c r="D146" s="241" t="s">
        <v>397</v>
      </c>
      <c r="E146" s="165"/>
      <c r="F146" s="127" t="str">
        <f t="shared" ref="F146:O146" si="74">IFERROR(F123+F142, "-")</f>
        <v>-</v>
      </c>
      <c r="G146" s="127" t="str">
        <f t="shared" si="74"/>
        <v>-</v>
      </c>
      <c r="H146" s="127" t="str">
        <f t="shared" si="74"/>
        <v>-</v>
      </c>
      <c r="I146" s="127" t="str">
        <f t="shared" si="74"/>
        <v>-</v>
      </c>
      <c r="J146" s="127" t="str">
        <f t="shared" si="74"/>
        <v>-</v>
      </c>
      <c r="K146" s="127" t="str">
        <f t="shared" si="74"/>
        <v>-</v>
      </c>
      <c r="L146" s="127" t="str">
        <f t="shared" si="74"/>
        <v>-</v>
      </c>
      <c r="M146" s="127" t="str">
        <f t="shared" si="74"/>
        <v>-</v>
      </c>
      <c r="N146" s="127" t="str">
        <f t="shared" si="74"/>
        <v>-</v>
      </c>
      <c r="O146" s="127" t="str">
        <f t="shared" si="74"/>
        <v>-</v>
      </c>
      <c r="P146" s="165"/>
      <c r="Q146" s="346"/>
      <c r="R146" s="165"/>
      <c r="S146" s="127">
        <f t="shared" ref="S146:U146" si="75">IFERROR(S123+S142, "-")</f>
        <v>122455.01805126292</v>
      </c>
      <c r="T146" s="127">
        <f t="shared" si="75"/>
        <v>120179.22908143449</v>
      </c>
      <c r="U146" s="127">
        <f t="shared" si="75"/>
        <v>133794.75097916444</v>
      </c>
    </row>
    <row r="147" spans="1:21" s="205" customFormat="1">
      <c r="A147" s="703"/>
      <c r="B147" s="407" t="s">
        <v>148</v>
      </c>
      <c r="C147" s="388" t="s">
        <v>398</v>
      </c>
      <c r="D147" s="158" t="s">
        <v>348</v>
      </c>
      <c r="E147" s="387"/>
      <c r="F147" s="1086" t="e">
        <f t="shared" ref="F147:O147" si="76">(F109-F146)/F109</f>
        <v>#N/A</v>
      </c>
      <c r="G147" s="1086" t="e">
        <f t="shared" si="76"/>
        <v>#N/A</v>
      </c>
      <c r="H147" s="1086" t="e">
        <f t="shared" si="76"/>
        <v>#N/A</v>
      </c>
      <c r="I147" s="1086" t="e">
        <f t="shared" si="76"/>
        <v>#N/A</v>
      </c>
      <c r="J147" s="1086" t="e">
        <f t="shared" si="76"/>
        <v>#N/A</v>
      </c>
      <c r="K147" s="1086" t="e">
        <f t="shared" si="76"/>
        <v>#N/A</v>
      </c>
      <c r="L147" s="1086" t="e">
        <f t="shared" si="76"/>
        <v>#N/A</v>
      </c>
      <c r="M147" s="1086" t="e">
        <f t="shared" si="76"/>
        <v>#N/A</v>
      </c>
      <c r="N147" s="1086" t="e">
        <f t="shared" si="76"/>
        <v>#N/A</v>
      </c>
      <c r="O147" s="1086" t="e">
        <f t="shared" si="76"/>
        <v>#N/A</v>
      </c>
      <c r="P147" s="165"/>
      <c r="Q147" s="347"/>
      <c r="R147" s="165"/>
      <c r="S147" s="1086">
        <f t="shared" ref="S147:U147" si="77">(S109-S146)/S109</f>
        <v>-0.20749134651474233</v>
      </c>
      <c r="T147" s="1086">
        <f t="shared" si="77"/>
        <v>0.42018036780159546</v>
      </c>
      <c r="U147" s="1086">
        <f t="shared" si="77"/>
        <v>0.35449058963217739</v>
      </c>
    </row>
    <row r="148" spans="1:21" ht="15.75" customHeight="1">
      <c r="A148" s="137"/>
      <c r="B148" s="899" t="s">
        <v>148</v>
      </c>
      <c r="C148" s="168"/>
      <c r="D148" s="71"/>
      <c r="E148" s="72"/>
      <c r="F148" s="72"/>
      <c r="G148" s="72"/>
      <c r="H148" s="70"/>
      <c r="I148" s="69"/>
      <c r="J148" s="68"/>
      <c r="K148" s="68"/>
      <c r="L148" s="68"/>
      <c r="M148" s="68"/>
      <c r="N148" s="68"/>
      <c r="O148" s="68"/>
      <c r="P148" s="69"/>
      <c r="Q148" s="253"/>
      <c r="R148" s="69"/>
      <c r="S148" s="72"/>
      <c r="T148" s="72"/>
      <c r="U148" s="70"/>
    </row>
    <row r="149" spans="1:21" ht="15.75" hidden="1" customHeight="1" thickBot="1">
      <c r="A149" s="376"/>
      <c r="B149" s="752" t="s">
        <v>151</v>
      </c>
      <c r="C149" s="753" t="s">
        <v>341</v>
      </c>
      <c r="D149" s="679"/>
      <c r="E149" s="754"/>
      <c r="F149" s="755"/>
      <c r="G149" s="755"/>
      <c r="H149" s="755"/>
      <c r="I149" s="755"/>
      <c r="J149" s="1105"/>
      <c r="K149" s="1105"/>
      <c r="L149" s="1105"/>
      <c r="M149" s="1105"/>
      <c r="N149" s="756"/>
      <c r="O149" s="756"/>
      <c r="P149" s="1264"/>
      <c r="Q149" s="1264"/>
      <c r="R149" s="1105"/>
      <c r="S149" s="755"/>
      <c r="T149" s="755"/>
      <c r="U149" s="755"/>
    </row>
    <row r="150" spans="1:21" s="204" customFormat="1" ht="15.75">
      <c r="A150" s="152"/>
      <c r="B150" s="337" t="s">
        <v>148</v>
      </c>
      <c r="C150" s="419" t="s">
        <v>399</v>
      </c>
      <c r="D150" s="1150"/>
      <c r="E150" s="77"/>
      <c r="F150" s="1269" t="s">
        <v>400</v>
      </c>
      <c r="G150" s="1270"/>
      <c r="H150" s="1271"/>
      <c r="I150" s="76"/>
      <c r="J150" s="76"/>
      <c r="K150" s="42"/>
      <c r="L150" s="42"/>
      <c r="M150" s="42"/>
      <c r="N150" s="42"/>
      <c r="O150" s="42"/>
      <c r="P150" s="77"/>
      <c r="Q150" s="242"/>
      <c r="R150" s="77"/>
      <c r="S150" s="1005"/>
      <c r="T150" s="1110"/>
      <c r="U150" s="1111"/>
    </row>
    <row r="151" spans="1:21" s="204" customFormat="1" ht="15.75" hidden="1" customHeight="1" thickBot="1">
      <c r="A151" s="153"/>
      <c r="B151" s="379" t="s">
        <v>151</v>
      </c>
      <c r="C151" s="420" t="s">
        <v>401</v>
      </c>
      <c r="D151" s="443" t="s">
        <v>402</v>
      </c>
      <c r="E151" s="147"/>
      <c r="F151" s="340" t="e">
        <f>IF(F10="Fund!",(((F46+F47)*0.6)+(F48*0.8)+((F49+F50+F51)*1))/F45,0)</f>
        <v>#DIV/0!</v>
      </c>
      <c r="G151" s="340" t="e">
        <f t="shared" ref="G151:O151" si="78">IF(G10="Fund!",(((G46+G47)*0.6)+(G48*0.8)+((G49+G50+G51)*1))/G45,0)</f>
        <v>#DIV/0!</v>
      </c>
      <c r="H151" s="340" t="e">
        <f t="shared" si="78"/>
        <v>#DIV/0!</v>
      </c>
      <c r="I151" s="340" t="e">
        <f t="shared" si="78"/>
        <v>#DIV/0!</v>
      </c>
      <c r="J151" s="340" t="e">
        <f t="shared" si="78"/>
        <v>#DIV/0!</v>
      </c>
      <c r="K151" s="340" t="e">
        <f t="shared" si="78"/>
        <v>#DIV/0!</v>
      </c>
      <c r="L151" s="340" t="e">
        <f t="shared" si="78"/>
        <v>#DIV/0!</v>
      </c>
      <c r="M151" s="340" t="e">
        <f t="shared" si="78"/>
        <v>#DIV/0!</v>
      </c>
      <c r="N151" s="340" t="e">
        <f t="shared" si="78"/>
        <v>#DIV/0!</v>
      </c>
      <c r="O151" s="340" t="e">
        <f t="shared" si="78"/>
        <v>#DIV/0!</v>
      </c>
      <c r="P151" s="147"/>
      <c r="Q151" s="276"/>
      <c r="R151" s="147"/>
      <c r="S151" s="340">
        <f t="shared" ref="S151:U151" si="79">IF(S10="Fund!",(((S46+S47)*0.6)+(S48*0.8)+((S49+S50+S51)*1))/S45,0)</f>
        <v>0.88444444444444448</v>
      </c>
      <c r="T151" s="340">
        <f t="shared" si="79"/>
        <v>0.88444444444444448</v>
      </c>
      <c r="U151" s="340">
        <f t="shared" si="79"/>
        <v>0.88444444444444448</v>
      </c>
    </row>
    <row r="152" spans="1:21" s="204" customFormat="1" hidden="1">
      <c r="A152" s="433"/>
      <c r="B152" s="313" t="s">
        <v>151</v>
      </c>
      <c r="C152" s="442" t="s">
        <v>403</v>
      </c>
      <c r="D152" s="444" t="s">
        <v>404</v>
      </c>
      <c r="E152" s="147"/>
      <c r="F152" s="481" t="e" cm="1">
        <f t="array" ref="F152">INDEX(Dropdowns_v2!$D$2:$D$248, MATCH(REDiTool!F$63, IF(Dropdowns_v2!$C$2:$C$248=REDiTool!$C$152,Dropdowns_v2!$B$2:$B$248,""),0))</f>
        <v>#N/A</v>
      </c>
      <c r="G152" s="481" t="e" cm="1">
        <f t="array" ref="G152">INDEX(Dropdowns_v2!$D$2:$D$248, MATCH(REDiTool!G$63, IF(Dropdowns_v2!$C$2:$C$248=REDiTool!$C$152,Dropdowns_v2!$B$2:$B$248,""),0))</f>
        <v>#N/A</v>
      </c>
      <c r="H152" s="481" t="e" cm="1">
        <f t="array" ref="H152">INDEX(Dropdowns_v2!$D$2:$D$248, MATCH(REDiTool!H$63, IF(Dropdowns_v2!$C$2:$C$248=REDiTool!$C$152,Dropdowns_v2!$B$2:$B$248,""),0))</f>
        <v>#N/A</v>
      </c>
      <c r="I152" s="481" t="e" cm="1">
        <f t="array" ref="I152">INDEX(Dropdowns_v2!$D$2:$D$248, MATCH(REDiTool!I$63, IF(Dropdowns_v2!$C$2:$C$248=REDiTool!$C$152,Dropdowns_v2!$B$2:$B$248,""),0))</f>
        <v>#N/A</v>
      </c>
      <c r="J152" s="481" t="e" cm="1">
        <f t="array" ref="J152">INDEX(Dropdowns_v2!$D$2:$D$248, MATCH(REDiTool!J$63, IF(Dropdowns_v2!$C$2:$C$248=REDiTool!$C$152,Dropdowns_v2!$B$2:$B$248,""),0))</f>
        <v>#N/A</v>
      </c>
      <c r="K152" s="481" t="e" cm="1">
        <f t="array" ref="K152">INDEX(Dropdowns_v2!$D$2:$D$248, MATCH(REDiTool!K$63, IF(Dropdowns_v2!$C$2:$C$248=REDiTool!$C$152,Dropdowns_v2!$B$2:$B$248,""),0))</f>
        <v>#N/A</v>
      </c>
      <c r="L152" s="481" t="e" cm="1">
        <f t="array" ref="L152">INDEX(Dropdowns_v2!$D$2:$D$248, MATCH(REDiTool!L$63, IF(Dropdowns_v2!$C$2:$C$248=REDiTool!$C$152,Dropdowns_v2!$B$2:$B$248,""),0))</f>
        <v>#N/A</v>
      </c>
      <c r="M152" s="481" t="e" cm="1">
        <f t="array" ref="M152">INDEX(Dropdowns_v2!$D$2:$D$248, MATCH(REDiTool!M$63, IF(Dropdowns_v2!$C$2:$C$248=REDiTool!$C$152,Dropdowns_v2!$B$2:$B$248,""),0))</f>
        <v>#N/A</v>
      </c>
      <c r="N152" s="481" t="e" cm="1">
        <f t="array" ref="N152">INDEX(Dropdowns_v2!$D$2:$D$248, MATCH(REDiTool!N$63, IF(Dropdowns_v2!$C$2:$C$248=REDiTool!$C$152,Dropdowns_v2!$B$2:$B$248,""),0))</f>
        <v>#N/A</v>
      </c>
      <c r="O152" s="481" t="e" cm="1">
        <f t="array" ref="O152">INDEX(Dropdowns_v2!$D$2:$D$248, MATCH(REDiTool!O$63, IF(Dropdowns_v2!$C$2:$C$248=REDiTool!$C$152,Dropdowns_v2!$B$2:$B$248,""),0))</f>
        <v>#N/A</v>
      </c>
      <c r="P152" s="147"/>
      <c r="Q152" s="734"/>
      <c r="R152" s="147"/>
      <c r="S152" s="481" cm="1">
        <f t="array" ref="S152">INDEX(Dropdowns_v2!$D$2:$D$248, MATCH(REDiTool!S$63, IF(Dropdowns_v2!$C$2:$C$248=REDiTool!$C$152,Dropdowns_v2!$B$2:$B$248,""),0))</f>
        <v>3000</v>
      </c>
      <c r="T152" s="481" cm="1">
        <f t="array" ref="T152">INDEX(Dropdowns_v2!$D$2:$D$248, MATCH(REDiTool!T$63, IF(Dropdowns_v2!$C$2:$C$248=REDiTool!$C$152,Dropdowns_v2!$B$2:$B$248,""),0))</f>
        <v>3000</v>
      </c>
      <c r="U152" s="481" cm="1">
        <f t="array" ref="U152">INDEX(Dropdowns_v2!$D$2:$D$248, MATCH(REDiTool!U$63, IF(Dropdowns_v2!$C$2:$C$248=REDiTool!$C$152,Dropdowns_v2!$B$2:$B$248,""),0))</f>
        <v>3000</v>
      </c>
    </row>
    <row r="153" spans="1:21" s="204" customFormat="1" hidden="1">
      <c r="A153" s="433"/>
      <c r="B153" s="313" t="s">
        <v>151</v>
      </c>
      <c r="C153" s="442" t="s">
        <v>405</v>
      </c>
      <c r="D153" s="444" t="s">
        <v>406</v>
      </c>
      <c r="E153" s="147"/>
      <c r="F153" s="481" t="e" cm="1">
        <f t="array" ref="F153">INDEX(Dropdowns_v2!$D$2:$D$248, MATCH(REDiTool!F$59, IF(Dropdowns_v2!$C$2:$C$248=REDiTool!$C$153,Dropdowns_v2!$B$2:$B$248,""),0))</f>
        <v>#N/A</v>
      </c>
      <c r="G153" s="481" t="e" cm="1">
        <f t="array" ref="G153">INDEX(Dropdowns_v2!$D$2:$D$248, MATCH(REDiTool!G$59, IF(Dropdowns_v2!$C$2:$C$248=REDiTool!$C$153,Dropdowns_v2!$B$2:$B$248,""),0))</f>
        <v>#N/A</v>
      </c>
      <c r="H153" s="481" t="e" cm="1">
        <f t="array" ref="H153">INDEX(Dropdowns_v2!$D$2:$D$248, MATCH(REDiTool!H$59, IF(Dropdowns_v2!$C$2:$C$248=REDiTool!$C$153,Dropdowns_v2!$B$2:$B$248,""),0))</f>
        <v>#N/A</v>
      </c>
      <c r="I153" s="481" t="e" cm="1">
        <f t="array" ref="I153">INDEX(Dropdowns_v2!$D$2:$D$248, MATCH(REDiTool!I$59, IF(Dropdowns_v2!$C$2:$C$248=REDiTool!$C$153,Dropdowns_v2!$B$2:$B$248,""),0))</f>
        <v>#N/A</v>
      </c>
      <c r="J153" s="481" t="e" cm="1">
        <f t="array" ref="J153">INDEX(Dropdowns_v2!$D$2:$D$248, MATCH(REDiTool!J$59, IF(Dropdowns_v2!$C$2:$C$248=REDiTool!$C$153,Dropdowns_v2!$B$2:$B$248,""),0))</f>
        <v>#N/A</v>
      </c>
      <c r="K153" s="481" t="e" cm="1">
        <f t="array" ref="K153">INDEX(Dropdowns_v2!$D$2:$D$248, MATCH(REDiTool!K$59, IF(Dropdowns_v2!$C$2:$C$248=REDiTool!$C$153,Dropdowns_v2!$B$2:$B$248,""),0))</f>
        <v>#N/A</v>
      </c>
      <c r="L153" s="481" t="e" cm="1">
        <f t="array" ref="L153">INDEX(Dropdowns_v2!$D$2:$D$248, MATCH(REDiTool!L$59, IF(Dropdowns_v2!$C$2:$C$248=REDiTool!$C$153,Dropdowns_v2!$B$2:$B$248,""),0))</f>
        <v>#N/A</v>
      </c>
      <c r="M153" s="481" t="e" cm="1">
        <f t="array" ref="M153">INDEX(Dropdowns_v2!$D$2:$D$248, MATCH(REDiTool!M$59, IF(Dropdowns_v2!$C$2:$C$248=REDiTool!$C$153,Dropdowns_v2!$B$2:$B$248,""),0))</f>
        <v>#N/A</v>
      </c>
      <c r="N153" s="481" t="e" cm="1">
        <f t="array" ref="N153">INDEX(Dropdowns_v2!$D$2:$D$248, MATCH(REDiTool!N$59, IF(Dropdowns_v2!$C$2:$C$248=REDiTool!$C$153,Dropdowns_v2!$B$2:$B$248,""),0))</f>
        <v>#N/A</v>
      </c>
      <c r="O153" s="481" t="e" cm="1">
        <f t="array" ref="O153">INDEX(Dropdowns_v2!$D$2:$D$248, MATCH(REDiTool!O$59, IF(Dropdowns_v2!$C$2:$C$248=REDiTool!$C$153,Dropdowns_v2!$B$2:$B$248,""),0))</f>
        <v>#N/A</v>
      </c>
      <c r="P153" s="147"/>
      <c r="Q153" s="742"/>
      <c r="R153" s="147"/>
      <c r="S153" s="481" cm="1">
        <f t="array" ref="S153">INDEX(Dropdowns_v2!$D$2:$D$248, MATCH(REDiTool!S$59, IF(Dropdowns_v2!$C$2:$C$248=REDiTool!$C$153,Dropdowns_v2!$B$2:$B$248,""),0))</f>
        <v>12000</v>
      </c>
      <c r="T153" s="481" cm="1">
        <f t="array" ref="T153">INDEX(Dropdowns_v2!$D$2:$D$248, MATCH(REDiTool!T$59, IF(Dropdowns_v2!$C$2:$C$248=REDiTool!$C$153,Dropdowns_v2!$B$2:$B$248,""),0))</f>
        <v>14000</v>
      </c>
      <c r="U153" s="481" cm="1">
        <f t="array" ref="U153">INDEX(Dropdowns_v2!$D$2:$D$248, MATCH(REDiTool!U$59, IF(Dropdowns_v2!$C$2:$C$248=REDiTool!$C$153,Dropdowns_v2!$B$2:$B$248,""),0))</f>
        <v>24000</v>
      </c>
    </row>
    <row r="154" spans="1:21" s="204" customFormat="1" ht="22.5" hidden="1">
      <c r="A154" s="604" t="s">
        <v>407</v>
      </c>
      <c r="B154" s="313" t="s">
        <v>151</v>
      </c>
      <c r="C154" s="442" t="s">
        <v>408</v>
      </c>
      <c r="D154" s="1017" t="s">
        <v>409</v>
      </c>
      <c r="E154" s="147"/>
      <c r="F154" s="481">
        <f>IF(ISNUMBER(SEARCH("partial",F73)),Dropdowns_v2!$D234,IF(ISNUMBER(SEARCH("full",F73)),Dropdowns_v2!$D235,0))</f>
        <v>0</v>
      </c>
      <c r="G154" s="481">
        <f>IF(ISNUMBER(SEARCH("partial",G73)),Dropdowns_v2!$D234,IF(ISNUMBER(SEARCH("full",G73)),Dropdowns_v2!$D235,0))</f>
        <v>0</v>
      </c>
      <c r="H154" s="481">
        <f>IF(ISNUMBER(SEARCH("partial",H73)),Dropdowns_v2!$D234,IF(ISNUMBER(SEARCH("full",H73)),Dropdowns_v2!$D235,0))</f>
        <v>0</v>
      </c>
      <c r="I154" s="481">
        <f>IF(ISNUMBER(SEARCH("partial",I73)),Dropdowns_v2!$D234,IF(ISNUMBER(SEARCH("full",I73)),Dropdowns_v2!$D235,0))</f>
        <v>0</v>
      </c>
      <c r="J154" s="481">
        <f>IF(ISNUMBER(SEARCH("partial",J73)),Dropdowns_v2!$D234,IF(ISNUMBER(SEARCH("full",J73)),Dropdowns_v2!$D235,0))</f>
        <v>0</v>
      </c>
      <c r="K154" s="481">
        <f>IF(ISNUMBER(SEARCH("partial",K73)),Dropdowns_v2!$D234,IF(ISNUMBER(SEARCH("full",K73)),Dropdowns_v2!$D235,0))</f>
        <v>0</v>
      </c>
      <c r="L154" s="481">
        <f>IF(ISNUMBER(SEARCH("partial",L73)),Dropdowns_v2!$D234,IF(ISNUMBER(SEARCH("full",L73)),Dropdowns_v2!$D235,0))</f>
        <v>0</v>
      </c>
      <c r="M154" s="481">
        <f>IF(ISNUMBER(SEARCH("partial",M73)),Dropdowns_v2!$D234,IF(ISNUMBER(SEARCH("full",M73)),Dropdowns_v2!$D235,0))</f>
        <v>0</v>
      </c>
      <c r="N154" s="481" t="s">
        <v>19</v>
      </c>
      <c r="O154" s="481">
        <f>IF(ISNUMBER(SEARCH("partial",O73)),Dropdowns_v2!$D234,IF(ISNUMBER(SEARCH("full",O73)),Dropdowns_v2!$D235,0))</f>
        <v>0</v>
      </c>
      <c r="P154" s="147"/>
      <c r="Q154" s="742"/>
      <c r="R154" s="147"/>
      <c r="S154" s="481">
        <f>IF(ISNUMBER(SEARCH("partial",S73)),Dropdowns_v2!$D234,IF(ISNUMBER(SEARCH("full",S73)),Dropdowns_v2!$D235,0))</f>
        <v>0</v>
      </c>
      <c r="T154" s="481">
        <f>IF(ISNUMBER(SEARCH("partial",T73)),Dropdowns_v2!$D234,IF(ISNUMBER(SEARCH("full",T73)),Dropdowns_v2!$D235,0))</f>
        <v>1000</v>
      </c>
      <c r="U154" s="481">
        <f>IF(ISNUMBER(SEARCH("partial",U73)),Dropdowns_v2!$D234,IF(ISNUMBER(SEARCH("full",U73)),Dropdowns_v2!$D235,0))</f>
        <v>2000</v>
      </c>
    </row>
    <row r="155" spans="1:21" s="204" customFormat="1" ht="22.5" hidden="1">
      <c r="A155" s="604" t="s">
        <v>407</v>
      </c>
      <c r="B155" s="313" t="s">
        <v>151</v>
      </c>
      <c r="C155" s="442" t="s">
        <v>410</v>
      </c>
      <c r="D155" s="1017" t="s">
        <v>409</v>
      </c>
      <c r="E155" s="147"/>
      <c r="F155" s="481">
        <f>IF(F74="",0,IF(OR(IFERROR(SEARCH("No",F74),0),IFERROR(SEARCH("TBD",F74),0)),0,IF(IFERROR(SEARCH("Apartments",F74),0),Dropdowns_v2!$D235,Dropdowns_v2!$D238)))</f>
        <v>0</v>
      </c>
      <c r="G155" s="481">
        <f>IF(G74="",0,IF(OR(IFERROR(SEARCH("No",G74),0),IFERROR(SEARCH("TBD",G74),0)),0,IF(IFERROR(SEARCH("Apartments",G74),0),Dropdowns_v2!$D235,Dropdowns_v2!$D238)))</f>
        <v>0</v>
      </c>
      <c r="H155" s="481">
        <f>IF(H74="",0,IF(OR(IFERROR(SEARCH("No",H74),0),IFERROR(SEARCH("TBD",H74),0)),0,IF(IFERROR(SEARCH("Apartments",H74),0),Dropdowns_v2!$D235,Dropdowns_v2!$D238)))</f>
        <v>0</v>
      </c>
      <c r="I155" s="481">
        <f>IF(I74="",0,IF(OR(IFERROR(SEARCH("No",I74),0),IFERROR(SEARCH("TBD",I74),0)),0,IF(IFERROR(SEARCH("Apartments",I74),0),Dropdowns_v2!$D235,Dropdowns_v2!$D238)))</f>
        <v>0</v>
      </c>
      <c r="J155" s="481">
        <f>IF(J74="",0,IF(OR(IFERROR(SEARCH("No",J74),0),IFERROR(SEARCH("TBD",J74),0)),0,IF(IFERROR(SEARCH("Apartments",J74),0),Dropdowns_v2!$D235,Dropdowns_v2!$D238)))</f>
        <v>0</v>
      </c>
      <c r="K155" s="481">
        <f>IF(K74="",0,IF(OR(IFERROR(SEARCH("No",K74),0),IFERROR(SEARCH("TBD",K74),0)),0,IF(IFERROR(SEARCH("Apartments",K74),0),Dropdowns_v2!$D235,Dropdowns_v2!$D238)))</f>
        <v>0</v>
      </c>
      <c r="L155" s="481">
        <f>IF(L74="",0,IF(OR(IFERROR(SEARCH("No",L74),0),IFERROR(SEARCH("TBD",L74),0)),0,IF(IFERROR(SEARCH("Apartments",L74),0),Dropdowns_v2!$D235,Dropdowns_v2!$D238)))</f>
        <v>0</v>
      </c>
      <c r="M155" s="481">
        <f>IF(M74="",0,IF(OR(IFERROR(SEARCH("No",M74),0),IFERROR(SEARCH("TBD",M74),0)),0,IF(IFERROR(SEARCH("Apartments",M74),0),Dropdowns_v2!$D235,Dropdowns_v2!$D238)))</f>
        <v>0</v>
      </c>
      <c r="N155" s="481">
        <f>IF(N74="",0,IF(OR(IFERROR(SEARCH("No",N74),0),IFERROR(SEARCH("TBD",N74),0)),0,IF(IFERROR(SEARCH("Apartments",N74),0),Dropdowns_v2!$D235,Dropdowns_v2!$D238)))</f>
        <v>0</v>
      </c>
      <c r="O155" s="481">
        <f>IF(O74="",0,IF(OR(IFERROR(SEARCH("No",O74),0),IFERROR(SEARCH("TBD",O74),0)),0,IF(IFERROR(SEARCH("Apartments",O74),0),Dropdowns_v2!$D235,Dropdowns_v2!$D238)))</f>
        <v>0</v>
      </c>
      <c r="P155" s="147"/>
      <c r="Q155" s="742"/>
      <c r="R155" s="147"/>
      <c r="S155" s="481">
        <f>IF(S74="",0,IF(OR(IFERROR(SEARCH("No",S74),0),IFERROR(SEARCH("TBD",S74),0)),0,IF(IFERROR(SEARCH("Apartments",S74),0),Dropdowns_v2!$D235,Dropdowns_v2!$D238)))</f>
        <v>0</v>
      </c>
      <c r="T155" s="481">
        <f>IF(T74="",0,IF(OR(IFERROR(SEARCH("No",T74),0),IFERROR(SEARCH("TBD",T74),0)),0,IF(IFERROR(SEARCH("Apartments",T74),0),Dropdowns_v2!$D235,Dropdowns_v2!$D238)))</f>
        <v>1000</v>
      </c>
      <c r="U155" s="481">
        <f>IF(U74="",0,IF(OR(IFERROR(SEARCH("No",U74),0),IFERROR(SEARCH("TBD",U74),0)),0,IF(IFERROR(SEARCH("Apartments",U74),0),Dropdowns_v2!$D235,Dropdowns_v2!$D238)))</f>
        <v>2000</v>
      </c>
    </row>
    <row r="156" spans="1:21" s="204" customFormat="1" hidden="1">
      <c r="A156" s="604"/>
      <c r="B156" s="310" t="s">
        <v>151</v>
      </c>
      <c r="C156" s="442" t="s">
        <v>411</v>
      </c>
      <c r="D156" s="444" t="s">
        <v>412</v>
      </c>
      <c r="E156" s="147"/>
      <c r="F156" s="540" t="e" cm="1">
        <f t="array" ref="F156">INDEX(Dropdowns_v2!$D$2:$D$248, MATCH(REDiTool!F$71, IF(Dropdowns_v2!$C$2:$C$248=REDiTool!$C$156,Dropdowns_v2!$B$2:$B$248,""),0))</f>
        <v>#N/A</v>
      </c>
      <c r="G156" s="540" t="e" cm="1">
        <f t="array" ref="G156">INDEX(Dropdowns_v2!$D$2:$D$248, MATCH(REDiTool!G$71, IF(Dropdowns_v2!$C$2:$C$248=REDiTool!$C$156,Dropdowns_v2!$B$2:$B$248,""),0))</f>
        <v>#N/A</v>
      </c>
      <c r="H156" s="540" t="e" cm="1">
        <f t="array" ref="H156">INDEX(Dropdowns_v2!$D$2:$D$248, MATCH(REDiTool!H$71, IF(Dropdowns_v2!$C$2:$C$248=REDiTool!$C$156,Dropdowns_v2!$B$2:$B$248,""),0))</f>
        <v>#N/A</v>
      </c>
      <c r="I156" s="540" t="e" cm="1">
        <f t="array" ref="I156">INDEX(Dropdowns_v2!$D$2:$D$248, MATCH(REDiTool!I$71, IF(Dropdowns_v2!$C$2:$C$248=REDiTool!$C$156,Dropdowns_v2!$B$2:$B$248,""),0))</f>
        <v>#N/A</v>
      </c>
      <c r="J156" s="540" t="e" cm="1">
        <f t="array" ref="J156">INDEX(Dropdowns_v2!$D$2:$D$248, MATCH(REDiTool!J$71, IF(Dropdowns_v2!$C$2:$C$248=REDiTool!$C$156,Dropdowns_v2!$B$2:$B$248,""),0))</f>
        <v>#N/A</v>
      </c>
      <c r="K156" s="540" t="e" cm="1">
        <f t="array" ref="K156">INDEX(Dropdowns_v2!$D$2:$D$248, MATCH(REDiTool!K$71, IF(Dropdowns_v2!$C$2:$C$248=REDiTool!$C$156,Dropdowns_v2!$B$2:$B$248,""),0))</f>
        <v>#N/A</v>
      </c>
      <c r="L156" s="540" t="e" cm="1">
        <f t="array" ref="L156">INDEX(Dropdowns_v2!$D$2:$D$248, MATCH(REDiTool!L$71, IF(Dropdowns_v2!$C$2:$C$248=REDiTool!$C$156,Dropdowns_v2!$B$2:$B$248,""),0))</f>
        <v>#N/A</v>
      </c>
      <c r="M156" s="540" t="e" cm="1">
        <f t="array" ref="M156">INDEX(Dropdowns_v2!$D$2:$D$248, MATCH(REDiTool!M$71, IF(Dropdowns_v2!$C$2:$C$248=REDiTool!$C$156,Dropdowns_v2!$B$2:$B$248,""),0))</f>
        <v>#N/A</v>
      </c>
      <c r="N156" s="540" t="e" cm="1">
        <f t="array" ref="N156">INDEX(Dropdowns_v2!$D$2:$D$248, MATCH(REDiTool!N$71, IF(Dropdowns_v2!$C$2:$C$248=REDiTool!$C$156,Dropdowns_v2!$B$2:$B$248,""),0))</f>
        <v>#N/A</v>
      </c>
      <c r="O156" s="540" t="e" cm="1">
        <f t="array" ref="O156">INDEX(Dropdowns_v2!$D$2:$D$248, MATCH(REDiTool!O$71, IF(Dropdowns_v2!$C$2:$C$248=REDiTool!$C$156,Dropdowns_v2!$B$2:$B$248,""),0))</f>
        <v>#N/A</v>
      </c>
      <c r="P156" s="147"/>
      <c r="Q156" s="742"/>
      <c r="R156" s="147"/>
      <c r="S156" s="540" cm="1">
        <f t="array" ref="S156">INDEX(Dropdowns_v2!$D$2:$D$248, MATCH(REDiTool!S$71, IF(Dropdowns_v2!$C$2:$C$248=REDiTool!$C$156,Dropdowns_v2!$B$2:$B$248,""),0))</f>
        <v>4000</v>
      </c>
      <c r="T156" s="540" cm="1">
        <f t="array" ref="T156">INDEX(Dropdowns_v2!$D$2:$D$248, MATCH(REDiTool!T$71, IF(Dropdowns_v2!$C$2:$C$248=REDiTool!$C$156,Dropdowns_v2!$B$2:$B$248,""),0))</f>
        <v>4000</v>
      </c>
      <c r="U156" s="540" cm="1">
        <f t="array" ref="U156">INDEX(Dropdowns_v2!$D$2:$D$248, MATCH(REDiTool!U$71, IF(Dropdowns_v2!$C$2:$C$248=REDiTool!$C$156,Dropdowns_v2!$B$2:$B$248,""),0))</f>
        <v>4000</v>
      </c>
    </row>
    <row r="157" spans="1:21" s="204" customFormat="1" hidden="1">
      <c r="A157" s="67" t="s">
        <v>413</v>
      </c>
      <c r="B157" s="983" t="s">
        <v>151</v>
      </c>
      <c r="C157" s="1018" t="s">
        <v>414</v>
      </c>
      <c r="D157" s="984" t="s">
        <v>415</v>
      </c>
      <c r="E157" s="147"/>
      <c r="F157" s="985" t="e">
        <f>MIN((Dropdowns_v2!$D215-REDiTool!F153),(F158+F159+F160))</f>
        <v>#N/A</v>
      </c>
      <c r="G157" s="985" t="e">
        <f>MIN((Dropdowns_v2!$D215-REDiTool!G153),(G158+G159+G160))</f>
        <v>#N/A</v>
      </c>
      <c r="H157" s="985" t="e">
        <f>MIN((Dropdowns_v2!$D215-REDiTool!H153),(H158+H159+H160))</f>
        <v>#N/A</v>
      </c>
      <c r="I157" s="985" t="e">
        <f>MIN((Dropdowns_v2!$D215-REDiTool!I153),(I158+I159+I160))</f>
        <v>#N/A</v>
      </c>
      <c r="J157" s="985" t="e">
        <f>MIN((Dropdowns_v2!$D215-REDiTool!J153),(J158+J159+J160))</f>
        <v>#N/A</v>
      </c>
      <c r="K157" s="985" t="e">
        <f>MIN((Dropdowns_v2!$D215-REDiTool!K153),(K158+K159+K160))</f>
        <v>#N/A</v>
      </c>
      <c r="L157" s="985" t="e">
        <f>MIN((Dropdowns_v2!$D215-REDiTool!L153),(L158+L159+L160))</f>
        <v>#N/A</v>
      </c>
      <c r="M157" s="985" t="e">
        <f>MIN((Dropdowns_v2!$D215-REDiTool!M153),(M158+M159+M160))</f>
        <v>#N/A</v>
      </c>
      <c r="N157" s="985" t="e">
        <f>MIN((Dropdowns_v2!$D215-REDiTool!N153),(N158+N159+N160))</f>
        <v>#N/A</v>
      </c>
      <c r="O157" s="985" t="e">
        <f>MIN((Dropdowns_v2!$D215-REDiTool!O153),(O158+O159+O160))</f>
        <v>#N/A</v>
      </c>
      <c r="P157" s="147"/>
      <c r="Q157" s="742"/>
      <c r="R157" s="147"/>
      <c r="S157" s="985">
        <f>MIN((Dropdowns_v2!$D215-REDiTool!S153),(S158+S159+S160))</f>
        <v>8000</v>
      </c>
      <c r="T157" s="985">
        <f>MIN((Dropdowns_v2!$D215-REDiTool!T153),(T158+T159+T160))</f>
        <v>4000</v>
      </c>
      <c r="U157" s="985">
        <f>MIN((Dropdowns_v2!$D215-REDiTool!U153),(U158+U159+U160))</f>
        <v>0</v>
      </c>
    </row>
    <row r="158" spans="1:21" s="204" customFormat="1" hidden="1">
      <c r="A158" s="67" t="s">
        <v>413</v>
      </c>
      <c r="B158" s="983" t="s">
        <v>153</v>
      </c>
      <c r="C158" s="998" t="s">
        <v>416</v>
      </c>
      <c r="D158" s="984" t="s">
        <v>417</v>
      </c>
      <c r="E158" s="147"/>
      <c r="F158" s="985">
        <f>IF(AND(ISNUMBER(SEARCH("3",F7)),ISNUMBER(SEARCH("PTHP",F59))),IF(ISNUMBER(SEARCH("mix",F71)),Dropdowns_v2!$D230,IF(ISNUMBER(SEARCH("exterior insulation meeting code",F71)),Dropdowns_v2!$D231,0)),0)</f>
        <v>0</v>
      </c>
      <c r="G158" s="985">
        <f>IF(AND(ISNUMBER(SEARCH("3",G7)),ISNUMBER(SEARCH("PTHP",G59))),IF(ISNUMBER(SEARCH("mix",G71)),Dropdowns_v2!$D230,IF(ISNUMBER(SEARCH("exterior insulation meeting code",G71)),Dropdowns_v2!$D231,0)),0)</f>
        <v>0</v>
      </c>
      <c r="H158" s="985">
        <f>IF(AND(ISNUMBER(SEARCH("3",H7)),ISNUMBER(SEARCH("PTHP",H59))),IF(ISNUMBER(SEARCH("mix",H71)),Dropdowns_v2!$D230,IF(ISNUMBER(SEARCH("exterior insulation meeting code",H71)),Dropdowns_v2!$D231,0)),0)</f>
        <v>0</v>
      </c>
      <c r="I158" s="985">
        <f>IF(AND(ISNUMBER(SEARCH("3",I7)),ISNUMBER(SEARCH("PTHP",I59))),IF(ISNUMBER(SEARCH("mix",I71)),Dropdowns_v2!$D230,IF(ISNUMBER(SEARCH("exterior insulation meeting code",I71)),Dropdowns_v2!$D231,0)),0)</f>
        <v>0</v>
      </c>
      <c r="J158" s="985">
        <f>IF(AND(ISNUMBER(SEARCH("3",J7)),ISNUMBER(SEARCH("PTHP",J59))),IF(ISNUMBER(SEARCH("mix",J71)),Dropdowns_v2!$D230,IF(ISNUMBER(SEARCH("exterior insulation meeting code",J71)),Dropdowns_v2!$D231,0)),0)</f>
        <v>0</v>
      </c>
      <c r="K158" s="985">
        <f>IF(AND(ISNUMBER(SEARCH("3",K7)),ISNUMBER(SEARCH("PTHP",K59))),IF(ISNUMBER(SEARCH("mix",K71)),Dropdowns_v2!$D230,IF(ISNUMBER(SEARCH("exterior insulation meeting code",K71)),Dropdowns_v2!$D231,0)),0)</f>
        <v>0</v>
      </c>
      <c r="L158" s="985">
        <f>IF(AND(ISNUMBER(SEARCH("3",L7)),ISNUMBER(SEARCH("PTHP",L59))),IF(ISNUMBER(SEARCH("mix",L71)),Dropdowns_v2!$D230,IF(ISNUMBER(SEARCH("exterior insulation meeting code",L71)),Dropdowns_v2!$D231,0)),0)</f>
        <v>0</v>
      </c>
      <c r="M158" s="985">
        <f>IF(AND(ISNUMBER(SEARCH("3",M7)),ISNUMBER(SEARCH("PTHP",M59))),IF(ISNUMBER(SEARCH("mix",M71)),Dropdowns_v2!$D230,IF(ISNUMBER(SEARCH("exterior insulation meeting code",M71)),Dropdowns_v2!$D231,0)),0)</f>
        <v>0</v>
      </c>
      <c r="N158" s="985">
        <f>IF(AND(ISNUMBER(SEARCH("3",N7)),ISNUMBER(SEARCH("PTHP",N59))),IF(ISNUMBER(SEARCH("mix",N71)),Dropdowns_v2!$D230,IF(ISNUMBER(SEARCH("exterior insulation meeting code",N71)),Dropdowns_v2!$D231,0)),0)</f>
        <v>0</v>
      </c>
      <c r="O158" s="985">
        <f>IF(AND(ISNUMBER(SEARCH("3",O7)),ISNUMBER(SEARCH("PTHP",O59))),IF(ISNUMBER(SEARCH("mix",O71)),Dropdowns_v2!$D230,IF(ISNUMBER(SEARCH("exterior insulation meeting code",O71)),Dropdowns_v2!$D231,0)),0)</f>
        <v>0</v>
      </c>
      <c r="P158" s="147"/>
      <c r="Q158" s="742"/>
      <c r="R158" s="147"/>
      <c r="S158" s="985">
        <f>IF(AND(ISNUMBER(SEARCH("3",S7)),ISNUMBER(SEARCH("PTHP",S59))),IF(ISNUMBER(SEARCH("mix",S71)),Dropdowns_v2!$D230,IF(ISNUMBER(SEARCH("exterior insulation meeting code",S71)),Dropdowns_v2!$D231,0)),0)</f>
        <v>8000</v>
      </c>
      <c r="T158" s="985">
        <f>IF(AND(ISNUMBER(SEARCH("3",T7)),ISNUMBER(SEARCH("PTHP",T59))),IF(ISNUMBER(SEARCH("mix",T71)),Dropdowns_v2!$D230,IF(ISNUMBER(SEARCH("exterior insulation meeting code",T71)),Dropdowns_v2!$D231,0)),0)</f>
        <v>4000</v>
      </c>
      <c r="U158" s="985">
        <f>IF(AND(ISNUMBER(SEARCH("3",U7)),ISNUMBER(SEARCH("PTHP",U59))),IF(ISNUMBER(SEARCH("mix",U71)),Dropdowns_v2!$D230,IF(ISNUMBER(SEARCH("exterior insulation meeting code",U71)),Dropdowns_v2!$D231,0)),0)</f>
        <v>0</v>
      </c>
    </row>
    <row r="159" spans="1:21" s="204" customFormat="1" hidden="1">
      <c r="A159" s="67" t="s">
        <v>413</v>
      </c>
      <c r="B159" s="983" t="s">
        <v>153</v>
      </c>
      <c r="C159" s="998" t="s">
        <v>418</v>
      </c>
      <c r="D159" s="984" t="s">
        <v>417</v>
      </c>
      <c r="E159" s="147"/>
      <c r="F159" s="985">
        <f>IF(AND(ISNUMBER(SEARCH("3",F7)),ISNUMBER(SEARCH("PTHP",F59))),IF(ISNUMBER(SEARCH("Passive",F70)),Dropdowns_v2!$D229,0),0)</f>
        <v>0</v>
      </c>
      <c r="G159" s="985">
        <f>IF(AND(ISNUMBER(SEARCH("3",G7)),ISNUMBER(SEARCH("PTHP",G59))),IF(ISNUMBER(SEARCH("Passive",G70)),Dropdowns_v2!$D229,0),0)</f>
        <v>0</v>
      </c>
      <c r="H159" s="985">
        <f>IF(AND(ISNUMBER(SEARCH("3",H7)),ISNUMBER(SEARCH("PTHP",H59))),IF(ISNUMBER(SEARCH("Passive",H70)),Dropdowns_v2!$D229,0),0)</f>
        <v>0</v>
      </c>
      <c r="I159" s="985">
        <f>IF(AND(ISNUMBER(SEARCH("3",I7)),ISNUMBER(SEARCH("PTHP",I59))),IF(ISNUMBER(SEARCH("Passive",I70)),Dropdowns_v2!$D229,0),0)</f>
        <v>0</v>
      </c>
      <c r="J159" s="985">
        <f>IF(AND(ISNUMBER(SEARCH("3",J7)),ISNUMBER(SEARCH("PTHP",J59))),IF(ISNUMBER(SEARCH("Passive",J70)),Dropdowns_v2!$D229,0),0)</f>
        <v>0</v>
      </c>
      <c r="K159" s="985">
        <f>IF(AND(ISNUMBER(SEARCH("3",K7)),ISNUMBER(SEARCH("PTHP",K59))),IF(ISNUMBER(SEARCH("Passive",K70)),Dropdowns_v2!$D229,0),0)</f>
        <v>0</v>
      </c>
      <c r="L159" s="985">
        <f>IF(AND(ISNUMBER(SEARCH("3",L7)),ISNUMBER(SEARCH("PTHP",L59))),IF(ISNUMBER(SEARCH("Passive",L70)),Dropdowns_v2!$D229,0),0)</f>
        <v>0</v>
      </c>
      <c r="M159" s="985">
        <f>IF(AND(ISNUMBER(SEARCH("3",M7)),ISNUMBER(SEARCH("PTHP",M59))),IF(ISNUMBER(SEARCH("Passive",M70)),Dropdowns_v2!$D229,0),0)</f>
        <v>0</v>
      </c>
      <c r="N159" s="985">
        <f>IF(AND(ISNUMBER(SEARCH("3",N7)),ISNUMBER(SEARCH("PTHP",N59))),IF(ISNUMBER(SEARCH("Passive",N70)),Dropdowns_v2!$D229,0),0)</f>
        <v>0</v>
      </c>
      <c r="O159" s="985">
        <f>IF(AND(ISNUMBER(SEARCH("3",O7)),ISNUMBER(SEARCH("PTHP",O59))),IF(ISNUMBER(SEARCH("Passive",O70)),Dropdowns_v2!$D229,0),0)</f>
        <v>0</v>
      </c>
      <c r="P159" s="147"/>
      <c r="Q159" s="742"/>
      <c r="R159" s="147"/>
      <c r="S159" s="985">
        <f>IF(AND(ISNUMBER(SEARCH("3",S7)),ISNUMBER(SEARCH("PTHP",S59))),IF(ISNUMBER(SEARCH("Passive",S70)),Dropdowns_v2!$D229,0),0)</f>
        <v>0</v>
      </c>
      <c r="T159" s="985">
        <f>IF(AND(ISNUMBER(SEARCH("3",T7)),ISNUMBER(SEARCH("PTHP",T59))),IF(ISNUMBER(SEARCH("Passive",T70)),Dropdowns_v2!$D229,0),0)</f>
        <v>0</v>
      </c>
      <c r="U159" s="985">
        <f>IF(AND(ISNUMBER(SEARCH("3",U7)),ISNUMBER(SEARCH("PTHP",U59))),IF(ISNUMBER(SEARCH("Passive",U70)),Dropdowns_v2!$D229,0),0)</f>
        <v>0</v>
      </c>
    </row>
    <row r="160" spans="1:21" s="204" customFormat="1" hidden="1">
      <c r="A160" s="67" t="s">
        <v>413</v>
      </c>
      <c r="B160" s="983" t="s">
        <v>153</v>
      </c>
      <c r="C160" s="998" t="s">
        <v>419</v>
      </c>
      <c r="D160" s="984" t="s">
        <v>417</v>
      </c>
      <c r="E160" s="147"/>
      <c r="F160" s="985">
        <f>IF(AND(ISNUMBER(SEARCH("3",F7)),ISNUMBER(SEARCH("PTHP",F59))),IF(ISNUMBER(SEARCH("ERV",F68)),Dropdowns_v2!$D228,0),0)</f>
        <v>0</v>
      </c>
      <c r="G160" s="985">
        <f>IF(AND(ISNUMBER(SEARCH("3",G7)),ISNUMBER(SEARCH("PTHP",G59))),IF(ISNUMBER(SEARCH("ERV",G68)),Dropdowns_v2!$D228,0),0)</f>
        <v>0</v>
      </c>
      <c r="H160" s="985">
        <f>IF(AND(ISNUMBER(SEARCH("3",H7)),ISNUMBER(SEARCH("PTHP",H59))),IF(ISNUMBER(SEARCH("ERV",H68)),Dropdowns_v2!$D228,0),0)</f>
        <v>0</v>
      </c>
      <c r="I160" s="985">
        <f>IF(AND(ISNUMBER(SEARCH("3",I7)),ISNUMBER(SEARCH("PTHP",I59))),IF(ISNUMBER(SEARCH("ERV",I68)),Dropdowns_v2!$D228,0),0)</f>
        <v>0</v>
      </c>
      <c r="J160" s="985">
        <f>IF(AND(ISNUMBER(SEARCH("3",J7)),ISNUMBER(SEARCH("PTHP",J59))),IF(ISNUMBER(SEARCH("ERV",J68)),Dropdowns_v2!$D228,0),0)</f>
        <v>0</v>
      </c>
      <c r="K160" s="985">
        <f>IF(AND(ISNUMBER(SEARCH("3",K7)),ISNUMBER(SEARCH("PTHP",K59))),IF(ISNUMBER(SEARCH("ERV",K68)),Dropdowns_v2!$D228,0),0)</f>
        <v>0</v>
      </c>
      <c r="L160" s="985">
        <f>IF(AND(ISNUMBER(SEARCH("3",L7)),ISNUMBER(SEARCH("PTHP",L59))),IF(ISNUMBER(SEARCH("ERV",L68)),Dropdowns_v2!$D228,0),0)</f>
        <v>0</v>
      </c>
      <c r="M160" s="985">
        <f>IF(AND(ISNUMBER(SEARCH("3",M7)),ISNUMBER(SEARCH("PTHP",M59))),IF(ISNUMBER(SEARCH("ERV",M68)),Dropdowns_v2!$D228,0),0)</f>
        <v>0</v>
      </c>
      <c r="N160" s="985">
        <f>IF(AND(ISNUMBER(SEARCH("3",N7)),ISNUMBER(SEARCH("PTHP",N59))),IF(ISNUMBER(SEARCH("ERV",N68)),Dropdowns_v2!$D228,0),0)</f>
        <v>0</v>
      </c>
      <c r="O160" s="985">
        <f>IF(AND(ISNUMBER(SEARCH("3",O7)),ISNUMBER(SEARCH("PTHP",O59))),IF(ISNUMBER(SEARCH("ERV",O68)),Dropdowns_v2!$D228,0),0)</f>
        <v>0</v>
      </c>
      <c r="P160" s="147"/>
      <c r="Q160" s="742"/>
      <c r="R160" s="147"/>
      <c r="S160" s="985">
        <f>IF(AND(ISNUMBER(SEARCH("3",S7)),ISNUMBER(SEARCH("PTHP",S59))),IF(ISNUMBER(SEARCH("ERV",S68)),Dropdowns_v2!$D228,0),0)</f>
        <v>0</v>
      </c>
      <c r="T160" s="985">
        <f>IF(AND(ISNUMBER(SEARCH("3",T7)),ISNUMBER(SEARCH("PTHP",T59))),IF(ISNUMBER(SEARCH("ERV",T68)),Dropdowns_v2!$D228,0),0)</f>
        <v>0</v>
      </c>
      <c r="U160" s="985">
        <f>IF(AND(ISNUMBER(SEARCH("3",U7)),ISNUMBER(SEARCH("PTHP",U59))),IF(ISNUMBER(SEARCH("ERV",U68)),Dropdowns_v2!$D228,0),0)</f>
        <v>0</v>
      </c>
    </row>
    <row r="161" spans="1:21" s="204" customFormat="1" ht="15.75" hidden="1" customHeight="1" thickBot="1">
      <c r="A161" s="400"/>
      <c r="B161" s="350" t="s">
        <v>153</v>
      </c>
      <c r="C161" s="541" t="s">
        <v>420</v>
      </c>
      <c r="D161" s="665" t="s">
        <v>421</v>
      </c>
      <c r="E161" s="387"/>
      <c r="F161" s="542" t="e">
        <f t="shared" ref="F161:O161" si="80">SUM(F152:F157)*F45*F151</f>
        <v>#N/A</v>
      </c>
      <c r="G161" s="542" t="e">
        <f t="shared" si="80"/>
        <v>#N/A</v>
      </c>
      <c r="H161" s="542" t="e">
        <f t="shared" si="80"/>
        <v>#N/A</v>
      </c>
      <c r="I161" s="542" t="e">
        <f t="shared" si="80"/>
        <v>#N/A</v>
      </c>
      <c r="J161" s="542" t="e">
        <f t="shared" si="80"/>
        <v>#N/A</v>
      </c>
      <c r="K161" s="542" t="e">
        <f t="shared" si="80"/>
        <v>#N/A</v>
      </c>
      <c r="L161" s="542" t="e">
        <f t="shared" si="80"/>
        <v>#N/A</v>
      </c>
      <c r="M161" s="542" t="e">
        <f t="shared" si="80"/>
        <v>#N/A</v>
      </c>
      <c r="N161" s="542" t="e">
        <f t="shared" si="80"/>
        <v>#N/A</v>
      </c>
      <c r="O161" s="542" t="e">
        <f t="shared" si="80"/>
        <v>#N/A</v>
      </c>
      <c r="P161" s="147"/>
      <c r="Q161" s="742"/>
      <c r="R161" s="147"/>
      <c r="S161" s="542">
        <f>SUM(S152:S157)*S45*S151</f>
        <v>3223800</v>
      </c>
      <c r="T161" s="542">
        <f>SUM(T152:T157)*T45*T151</f>
        <v>3223800</v>
      </c>
      <c r="U161" s="542">
        <f>SUM(U152:U157)*U45*U151</f>
        <v>4179000</v>
      </c>
    </row>
    <row r="162" spans="1:21" s="928" customFormat="1" ht="15.75" thickBot="1">
      <c r="A162" s="400"/>
      <c r="B162" s="908" t="s">
        <v>148</v>
      </c>
      <c r="C162" s="889" t="s">
        <v>422</v>
      </c>
      <c r="D162" s="890" t="s">
        <v>423</v>
      </c>
      <c r="E162" s="387"/>
      <c r="F162" s="925" t="e">
        <f>IF(ISNUMBER(SEARCH("2035", F33)), 3000000, MIN(SUM(F152:F157)*F45*F151, Dropdowns_v2!$D240))</f>
        <v>#N/A</v>
      </c>
      <c r="G162" s="925" t="e">
        <f>IF(ISNUMBER(SEARCH("2035", G33)), 3000000, MIN(SUM(G152:G157)*G45*G151, Dropdowns_v2!$D240))</f>
        <v>#N/A</v>
      </c>
      <c r="H162" s="925" t="e">
        <f>IF(ISNUMBER(SEARCH("2035", H33)), 3000000, MIN(SUM(H152:H157)*H45*H151, Dropdowns_v2!$D240))</f>
        <v>#N/A</v>
      </c>
      <c r="I162" s="925" t="e">
        <f>IF(ISNUMBER(SEARCH("2035", I33)), 3000000, MIN(SUM(I152:I157)*I45*I151, Dropdowns_v2!$D240))</f>
        <v>#N/A</v>
      </c>
      <c r="J162" s="925" t="e">
        <f>IF(ISNUMBER(SEARCH("2035", J33)), 3000000, MIN(SUM(J152:J157)*J45*J151, Dropdowns_v2!$D240))</f>
        <v>#N/A</v>
      </c>
      <c r="K162" s="925" t="e">
        <f>IF(ISNUMBER(SEARCH("2035", K33)), 3000000, MIN(SUM(K152:K157)*K45*K151, Dropdowns_v2!$D240))</f>
        <v>#N/A</v>
      </c>
      <c r="L162" s="925" t="e">
        <f>IF(ISNUMBER(SEARCH("2035", L33)), 3000000, MIN(SUM(L152:L157)*L45*L151, Dropdowns_v2!$D240))</f>
        <v>#N/A</v>
      </c>
      <c r="M162" s="925" t="e">
        <f>IF(ISNUMBER(SEARCH("2035", M33)), 3000000, MIN(SUM(M152:M157)*M45*M151, Dropdowns_v2!$D240))</f>
        <v>#N/A</v>
      </c>
      <c r="N162" s="925" t="e">
        <f>IF(ISNUMBER(SEARCH("2035", N33)), 3000000, MIN(SUM(N152:N157)*N45*N151, Dropdowns_v2!$D240))</f>
        <v>#N/A</v>
      </c>
      <c r="O162" s="925" t="e">
        <f>IF(ISNUMBER(SEARCH("2035", O33)), 3000000, MIN(SUM(O152:O157)*O45*O151, Dropdowns_v2!$D240))</f>
        <v>#N/A</v>
      </c>
      <c r="P162" s="926"/>
      <c r="Q162" s="927"/>
      <c r="R162" s="926"/>
      <c r="S162" s="925">
        <f>IF(ISNUMBER(SEARCH("2035", S33)), 3000000, MIN(SUM(S152:S157)*S45*S151, Dropdowns_v2!$D240))</f>
        <v>3000000</v>
      </c>
      <c r="T162" s="925">
        <f>IF(ISNUMBER(SEARCH("2035", T33)), 3000000, MIN(SUM(T152:T157)*T45*T151, Dropdowns_v2!$D240))</f>
        <v>3000000</v>
      </c>
      <c r="U162" s="925">
        <f>IF(ISNUMBER(SEARCH("2035", U33)), 3000000, MIN(SUM(U152:U157)*U45*U151, Dropdowns_v2!$D240))</f>
        <v>3000000</v>
      </c>
    </row>
    <row r="163" spans="1:21" s="204" customFormat="1" ht="21" hidden="1" customHeight="1" thickBot="1">
      <c r="A163" s="604"/>
      <c r="B163" s="322" t="s">
        <v>151</v>
      </c>
      <c r="C163" s="561" t="s">
        <v>424</v>
      </c>
      <c r="D163" s="883" t="s">
        <v>425</v>
      </c>
      <c r="E163" s="147"/>
      <c r="F163" s="880" t="e">
        <f t="shared" ref="F163:O163" si="81">IF(ISNUMBER(SEARCH("320", F33)), 0, F252*20*268*0.9)</f>
        <v>#N/A</v>
      </c>
      <c r="G163" s="880" t="e">
        <f t="shared" si="81"/>
        <v>#N/A</v>
      </c>
      <c r="H163" s="880" t="e">
        <f t="shared" si="81"/>
        <v>#N/A</v>
      </c>
      <c r="I163" s="880" t="e">
        <f t="shared" si="81"/>
        <v>#N/A</v>
      </c>
      <c r="J163" s="880" t="e">
        <f t="shared" si="81"/>
        <v>#N/A</v>
      </c>
      <c r="K163" s="880" t="e">
        <f t="shared" si="81"/>
        <v>#N/A</v>
      </c>
      <c r="L163" s="880" t="e">
        <f t="shared" si="81"/>
        <v>#N/A</v>
      </c>
      <c r="M163" s="880" t="e">
        <f t="shared" si="81"/>
        <v>#N/A</v>
      </c>
      <c r="N163" s="880" t="e">
        <f t="shared" si="81"/>
        <v>#N/A</v>
      </c>
      <c r="O163" s="880" t="e">
        <f t="shared" si="81"/>
        <v>#N/A</v>
      </c>
      <c r="P163" s="147"/>
      <c r="Q163" s="339"/>
      <c r="R163" s="147"/>
      <c r="S163" s="880">
        <f>IF(ISNUMBER(SEARCH("320", S33)), 0, S252*20*268*0.9)</f>
        <v>0</v>
      </c>
      <c r="T163" s="880">
        <f>IF(ISNUMBER(SEARCH("320", T33)), 0, T252*20*268*0.9)</f>
        <v>0</v>
      </c>
      <c r="U163" s="880">
        <f>IF(ISNUMBER(SEARCH("320", U33)), 0, U252*20*268*0.9)</f>
        <v>0</v>
      </c>
    </row>
    <row r="164" spans="1:21" s="204" customFormat="1" ht="23.25" hidden="1" customHeight="1" thickBot="1">
      <c r="A164" s="881"/>
      <c r="B164" s="559" t="s">
        <v>151</v>
      </c>
      <c r="C164" s="543" t="s">
        <v>426</v>
      </c>
      <c r="D164" s="605" t="s">
        <v>427</v>
      </c>
      <c r="E164" s="147"/>
      <c r="F164" s="560" t="e">
        <f>MIN(Dropdowns_v2!$D240,F163)</f>
        <v>#N/A</v>
      </c>
      <c r="G164" s="560" t="e">
        <f>MIN(Dropdowns_v2!$D240,G163)</f>
        <v>#N/A</v>
      </c>
      <c r="H164" s="560" t="e">
        <f>MIN(Dropdowns_v2!$D240,H163)</f>
        <v>#N/A</v>
      </c>
      <c r="I164" s="560" t="e">
        <f>MIN(Dropdowns_v2!$D240,I163)</f>
        <v>#N/A</v>
      </c>
      <c r="J164" s="560" t="e">
        <f>MIN(Dropdowns_v2!$D240,J163)</f>
        <v>#N/A</v>
      </c>
      <c r="K164" s="560" t="e">
        <f>MIN(Dropdowns_v2!$D240,K163)</f>
        <v>#N/A</v>
      </c>
      <c r="L164" s="560" t="e">
        <f>MIN(Dropdowns_v2!$D240,L163)</f>
        <v>#N/A</v>
      </c>
      <c r="M164" s="560" t="e">
        <f>MIN(Dropdowns_v2!$D240,M163)</f>
        <v>#N/A</v>
      </c>
      <c r="N164" s="560" t="e">
        <f>MIN(Dropdowns_v2!$D240,N163)</f>
        <v>#N/A</v>
      </c>
      <c r="O164" s="560" t="e">
        <f>MIN(Dropdowns_v2!$D240,O163)</f>
        <v>#N/A</v>
      </c>
      <c r="P164" s="147"/>
      <c r="Q164" s="742"/>
      <c r="R164" s="147"/>
      <c r="S164" s="560">
        <f>MIN(Dropdowns_v2!$D240,S163)</f>
        <v>0</v>
      </c>
      <c r="T164" s="560">
        <f>MIN(Dropdowns_v2!$D240,T163)</f>
        <v>0</v>
      </c>
      <c r="U164" s="560">
        <f>MIN(Dropdowns_v2!$D240,U163)</f>
        <v>0</v>
      </c>
    </row>
    <row r="165" spans="1:21" s="48" customFormat="1" ht="15.75" hidden="1">
      <c r="A165" s="152"/>
      <c r="B165" s="337" t="s">
        <v>151</v>
      </c>
      <c r="C165" s="211" t="s">
        <v>428</v>
      </c>
      <c r="D165" s="75" t="s">
        <v>164</v>
      </c>
      <c r="E165" s="77"/>
      <c r="F165" s="1251" t="s">
        <v>429</v>
      </c>
      <c r="G165" s="1252"/>
      <c r="H165" s="1253"/>
      <c r="I165" s="76"/>
      <c r="J165" s="76"/>
      <c r="K165" s="42"/>
      <c r="L165" s="42"/>
      <c r="M165" s="42"/>
      <c r="N165" s="42"/>
      <c r="O165" s="42"/>
      <c r="P165" s="77"/>
      <c r="Q165" s="743" t="s">
        <v>430</v>
      </c>
      <c r="R165" s="77"/>
      <c r="S165" s="1109"/>
      <c r="T165" s="1110"/>
      <c r="U165" s="1111"/>
    </row>
    <row r="166" spans="1:21" hidden="1">
      <c r="A166" s="137" t="s">
        <v>431</v>
      </c>
      <c r="B166" s="313" t="s">
        <v>151</v>
      </c>
      <c r="C166" s="54" t="s">
        <v>432</v>
      </c>
      <c r="D166" s="102" t="s">
        <v>433</v>
      </c>
      <c r="E166" s="30"/>
      <c r="F166" s="380" t="e">
        <f t="array" ref="F166">F53*INDEX(Dropdowns_v2!$D$2:$D$248, MATCH(REDiTool!F$63, IF(Dropdowns_v2!$C$2:$C$248=REDiTool!$D$166,Dropdowns_v2!$B$2:$B$248,""),0))</f>
        <v>#N/A</v>
      </c>
      <c r="G166" s="380" t="e">
        <f t="array" ref="G166">G53*INDEX(Dropdowns_v2!$D$2:$D$248, MATCH(REDiTool!G$63, IF(Dropdowns_v2!$C$2:$C$248=REDiTool!$D$166,Dropdowns_v2!$B$2:$B$248,""),0))</f>
        <v>#N/A</v>
      </c>
      <c r="H166" s="380" t="e">
        <f t="array" ref="H166">H53*INDEX(Dropdowns_v2!$D$2:$D$248, MATCH(REDiTool!H$63, IF(Dropdowns_v2!$C$2:$C$248=REDiTool!$D$166,Dropdowns_v2!$B$2:$B$248,""),0))</f>
        <v>#N/A</v>
      </c>
      <c r="I166" s="380" t="e">
        <f t="array" ref="I166">I53*INDEX(Dropdowns_v2!$D$2:$D$248, MATCH(REDiTool!I$63, IF(Dropdowns_v2!$C$2:$C$248=REDiTool!$D$166,Dropdowns_v2!$B$2:$B$248,""),0))</f>
        <v>#N/A</v>
      </c>
      <c r="J166" s="380" t="e">
        <f t="array" ref="J166">J53*INDEX(Dropdowns_v2!$D$2:$D$248, MATCH(REDiTool!J$63, IF(Dropdowns_v2!$C$2:$C$248=REDiTool!$D$166,Dropdowns_v2!$B$2:$B$248,""),0))</f>
        <v>#N/A</v>
      </c>
      <c r="K166" s="380" t="e">
        <f t="array" ref="K166">K53*INDEX(Dropdowns_v2!$D$2:$D$248, MATCH(REDiTool!K$63, IF(Dropdowns_v2!$C$2:$C$248=REDiTool!$D$166,Dropdowns_v2!$B$2:$B$248,""),0))</f>
        <v>#N/A</v>
      </c>
      <c r="L166" s="380" t="e">
        <f t="array" ref="L166">L53*INDEX(Dropdowns_v2!$D$2:$D$248, MATCH(REDiTool!L$63, IF(Dropdowns_v2!$C$2:$C$248=REDiTool!$D$166,Dropdowns_v2!$B$2:$B$248,""),0))</f>
        <v>#N/A</v>
      </c>
      <c r="M166" s="380" t="e">
        <f t="array" ref="M166">M53*INDEX(Dropdowns_v2!$D$2:$D$248, MATCH(REDiTool!M$63, IF(Dropdowns_v2!$C$2:$C$248=REDiTool!$D$166,Dropdowns_v2!$B$2:$B$248,""),0))</f>
        <v>#N/A</v>
      </c>
      <c r="N166" s="380" t="e">
        <f t="array" ref="N166">N53*INDEX(Dropdowns_v2!$D$2:$D$248, MATCH(REDiTool!N$63, IF(Dropdowns_v2!$C$2:$C$248=REDiTool!$D$166,Dropdowns_v2!$B$2:$B$248,""),0))</f>
        <v>#N/A</v>
      </c>
      <c r="O166" s="380" t="e">
        <f t="array" ref="O166">O53*INDEX(Dropdowns_v2!$D$2:$D$248, MATCH(REDiTool!O$63, IF(Dropdowns_v2!$C$2:$C$248=REDiTool!$D$166,Dropdowns_v2!$B$2:$B$248,""),0))</f>
        <v>#N/A</v>
      </c>
      <c r="P166" s="30"/>
      <c r="Q166" s="275"/>
      <c r="R166" s="30"/>
      <c r="S166" s="380">
        <f t="array" ref="S166">S53*INDEX(Dropdowns_v2!$D$2:$D$248, MATCH(REDiTool!S$63, IF(Dropdowns_v2!$C$2:$C$248=REDiTool!$D$166,Dropdowns_v2!$B$2:$B$248,""),0))</f>
        <v>2186250</v>
      </c>
      <c r="T166" s="380">
        <f t="array" ref="T166">T53*INDEX(Dropdowns_v2!$D$2:$D$248, MATCH(REDiTool!T$63, IF(Dropdowns_v2!$C$2:$C$248=REDiTool!$D$166,Dropdowns_v2!$B$2:$B$248,""),0))</f>
        <v>1311750</v>
      </c>
      <c r="U166" s="380">
        <f t="array" ref="U166">U53*INDEX(Dropdowns_v2!$D$2:$D$248, MATCH(REDiTool!U$63, IF(Dropdowns_v2!$C$2:$C$248=REDiTool!$D$166,Dropdowns_v2!$B$2:$B$248,""),0))</f>
        <v>2186250</v>
      </c>
    </row>
    <row r="167" spans="1:21" hidden="1">
      <c r="A167" s="137"/>
      <c r="B167" s="313" t="s">
        <v>151</v>
      </c>
      <c r="C167" s="54" t="s">
        <v>434</v>
      </c>
      <c r="D167" s="102" t="s">
        <v>435</v>
      </c>
      <c r="E167" s="30"/>
      <c r="F167" s="380" t="e">
        <f t="array" ref="F167">F53*INDEX(Dropdowns_v2!$D$2:$D$248, MATCH(REDiTool!F$59, IF(Dropdowns_v2!$C$2:$C$248=REDiTool!$D$167,Dropdowns_v2!$B$2:$B$248,""),0))</f>
        <v>#N/A</v>
      </c>
      <c r="G167" s="380" t="e">
        <f t="array" ref="G167">G53*INDEX(Dropdowns_v2!$D$2:$D$248, MATCH(REDiTool!G$59, IF(Dropdowns_v2!$C$2:$C$248=REDiTool!$D$167,Dropdowns_v2!$B$2:$B$248,""),0))</f>
        <v>#N/A</v>
      </c>
      <c r="H167" s="380" t="e">
        <f t="array" ref="H167">H53*INDEX(Dropdowns_v2!$D$2:$D$248, MATCH(REDiTool!H$59, IF(Dropdowns_v2!$C$2:$C$248=REDiTool!$D$167,Dropdowns_v2!$B$2:$B$248,""),0))</f>
        <v>#N/A</v>
      </c>
      <c r="I167" s="380" t="e">
        <f t="array" ref="I167">I53*INDEX(Dropdowns_v2!$D$2:$D$248, MATCH(REDiTool!I$59, IF(Dropdowns_v2!$C$2:$C$248=REDiTool!$D$167,Dropdowns_v2!$B$2:$B$248,""),0))</f>
        <v>#N/A</v>
      </c>
      <c r="J167" s="380" t="e">
        <f t="array" ref="J167">J53*INDEX(Dropdowns_v2!$D$2:$D$248, MATCH(REDiTool!J$59, IF(Dropdowns_v2!$C$2:$C$248=REDiTool!$D$167,Dropdowns_v2!$B$2:$B$248,""),0))</f>
        <v>#N/A</v>
      </c>
      <c r="K167" s="380" t="e">
        <f t="array" ref="K167">K53*INDEX(Dropdowns_v2!$D$2:$D$248, MATCH(REDiTool!K$59, IF(Dropdowns_v2!$C$2:$C$248=REDiTool!$D$167,Dropdowns_v2!$B$2:$B$248,""),0))</f>
        <v>#N/A</v>
      </c>
      <c r="L167" s="380" t="e">
        <f t="array" ref="L167">L53*INDEX(Dropdowns_v2!$D$2:$D$248, MATCH(REDiTool!L$59, IF(Dropdowns_v2!$C$2:$C$248=REDiTool!$D$167,Dropdowns_v2!$B$2:$B$248,""),0))</f>
        <v>#N/A</v>
      </c>
      <c r="M167" s="380" t="e">
        <f t="array" ref="M167">M53*INDEX(Dropdowns_v2!$D$2:$D$248, MATCH(REDiTool!M$59, IF(Dropdowns_v2!$C$2:$C$248=REDiTool!$D$167,Dropdowns_v2!$B$2:$B$248,""),0))</f>
        <v>#N/A</v>
      </c>
      <c r="N167" s="380" t="e">
        <f t="array" ref="N167">N53*INDEX(Dropdowns_v2!$D$2:$D$248, MATCH(REDiTool!N$59, IF(Dropdowns_v2!$C$2:$C$248=REDiTool!$D$167,Dropdowns_v2!$B$2:$B$248,""),0))</f>
        <v>#N/A</v>
      </c>
      <c r="O167" s="380" t="e">
        <f t="array" ref="O167">O53*INDEX(Dropdowns_v2!$D$2:$D$248, MATCH(REDiTool!O$59, IF(Dropdowns_v2!$C$2:$C$248=REDiTool!$D$167,Dropdowns_v2!$B$2:$B$248,""),0))</f>
        <v>#N/A</v>
      </c>
      <c r="P167" s="30"/>
      <c r="Q167" s="275"/>
      <c r="R167" s="30"/>
      <c r="S167" s="380">
        <f t="array" ref="S167">S53*INDEX(Dropdowns_v2!$D$2:$D$248, MATCH(REDiTool!S$59, IF(Dropdowns_v2!$C$2:$C$248=REDiTool!$D$167,Dropdowns_v2!$B$2:$B$248,""),0))</f>
        <v>3206500</v>
      </c>
      <c r="T167" s="380">
        <f t="array" ref="T167">T53*INDEX(Dropdowns_v2!$D$2:$D$248, MATCH(REDiTool!T$59, IF(Dropdowns_v2!$C$2:$C$248=REDiTool!$D$167,Dropdowns_v2!$B$2:$B$248,""),0))</f>
        <v>3935250</v>
      </c>
      <c r="U167" s="380">
        <f t="array" ref="U167">U53*INDEX(Dropdowns_v2!$D$2:$D$248, MATCH(REDiTool!U$59, IF(Dropdowns_v2!$C$2:$C$248=REDiTool!$D$167,Dropdowns_v2!$B$2:$B$248,""),0))</f>
        <v>7287500</v>
      </c>
    </row>
    <row r="168" spans="1:21" hidden="1">
      <c r="A168" s="137"/>
      <c r="B168" s="313" t="s">
        <v>151</v>
      </c>
      <c r="C168" s="54" t="s">
        <v>436</v>
      </c>
      <c r="D168" s="102" t="s">
        <v>437</v>
      </c>
      <c r="E168" s="30"/>
      <c r="F168" s="380" t="e" cm="1">
        <f t="array" ref="F168">F54*INDEX(Dropdowns_v2!$D$2:$D$248, MATCH(REDiTool!F$62, IF(Dropdowns_v2!$C$2:$C$248=REDiTool!$D$167,Dropdowns_v2!$B$2:$B$248,""),0))</f>
        <v>#N/A</v>
      </c>
      <c r="G168" s="380" t="e" cm="1">
        <f t="array" ref="G168">G54*INDEX(Dropdowns_v2!$D$2:$D$248, MATCH(REDiTool!G$62, IF(Dropdowns_v2!$C$2:$C$248=REDiTool!$D$167,Dropdowns_v2!$B$2:$B$248,""),0))</f>
        <v>#N/A</v>
      </c>
      <c r="H168" s="380" t="e" cm="1">
        <f t="array" ref="H168">H54*INDEX(Dropdowns_v2!$D$2:$D$248, MATCH(REDiTool!H$62, IF(Dropdowns_v2!$C$2:$C$248=REDiTool!$D$167,Dropdowns_v2!$B$2:$B$248,""),0))</f>
        <v>#N/A</v>
      </c>
      <c r="I168" s="380" t="e" cm="1">
        <f t="array" ref="I168">I54*INDEX(Dropdowns_v2!$D$2:$D$248, MATCH(REDiTool!I$62, IF(Dropdowns_v2!$C$2:$C$248=REDiTool!$D$167,Dropdowns_v2!$B$2:$B$248,""),0))</f>
        <v>#N/A</v>
      </c>
      <c r="J168" s="380" t="e" cm="1">
        <f t="array" ref="J168">J54*INDEX(Dropdowns_v2!$D$2:$D$248, MATCH(REDiTool!J$62, IF(Dropdowns_v2!$C$2:$C$248=REDiTool!$D$167,Dropdowns_v2!$B$2:$B$248,""),0))</f>
        <v>#N/A</v>
      </c>
      <c r="K168" s="380" t="e" cm="1">
        <f t="array" ref="K168">K54*INDEX(Dropdowns_v2!$D$2:$D$248, MATCH(REDiTool!K$62, IF(Dropdowns_v2!$C$2:$C$248=REDiTool!$D$167,Dropdowns_v2!$B$2:$B$248,""),0))</f>
        <v>#N/A</v>
      </c>
      <c r="L168" s="380" t="e" cm="1">
        <f t="array" ref="L168">L54*INDEX(Dropdowns_v2!$D$2:$D$248, MATCH(REDiTool!L$62, IF(Dropdowns_v2!$C$2:$C$248=REDiTool!$D$167,Dropdowns_v2!$B$2:$B$248,""),0))</f>
        <v>#N/A</v>
      </c>
      <c r="M168" s="380" t="e" cm="1">
        <f t="array" ref="M168">M54*INDEX(Dropdowns_v2!$D$2:$D$248, MATCH(REDiTool!M$62, IF(Dropdowns_v2!$C$2:$C$248=REDiTool!$D$167,Dropdowns_v2!$B$2:$B$248,""),0))</f>
        <v>#N/A</v>
      </c>
      <c r="N168" s="380" t="e" cm="1">
        <f t="array" ref="N168">N54*INDEX(Dropdowns_v2!$D$2:$D$248, MATCH(REDiTool!N$62, IF(Dropdowns_v2!$C$2:$C$248=REDiTool!$D$167,Dropdowns_v2!$B$2:$B$248,""),0))</f>
        <v>#N/A</v>
      </c>
      <c r="O168" s="380" t="e" cm="1">
        <f t="array" ref="O168">O54*INDEX(Dropdowns_v2!$D$2:$D$248, MATCH(REDiTool!O$62, IF(Dropdowns_v2!$C$2:$C$248=REDiTool!$D$167,Dropdowns_v2!$B$2:$B$248,""),0))</f>
        <v>#N/A</v>
      </c>
      <c r="P168" s="30"/>
      <c r="Q168" s="275"/>
      <c r="R168" s="30"/>
      <c r="S168" s="380" cm="1">
        <f t="array" ref="S168">S54*INDEX(Dropdowns_v2!$D$2:$D$248, MATCH(REDiTool!S$62, IF(Dropdowns_v2!$C$2:$C$248=REDiTool!$D$167,Dropdowns_v2!$B$2:$B$248,""),0))</f>
        <v>0</v>
      </c>
      <c r="T168" s="380" cm="1">
        <f t="array" ref="T168">T54*INDEX(Dropdowns_v2!$D$2:$D$248, MATCH(REDiTool!T$62, IF(Dropdowns_v2!$C$2:$C$248=REDiTool!$D$167,Dropdowns_v2!$B$2:$B$248,""),0))</f>
        <v>0</v>
      </c>
      <c r="U168" s="380" cm="1">
        <f t="array" ref="U168">U54*INDEX(Dropdowns_v2!$D$2:$D$248, MATCH(REDiTool!U$62, IF(Dropdowns_v2!$C$2:$C$248=REDiTool!$D$167,Dropdowns_v2!$B$2:$B$248,""),0))</f>
        <v>0</v>
      </c>
    </row>
    <row r="169" spans="1:21" ht="33.75" hidden="1">
      <c r="A169" s="80" t="s">
        <v>438</v>
      </c>
      <c r="B169" s="313" t="s">
        <v>151</v>
      </c>
      <c r="C169" s="54" t="s">
        <v>439</v>
      </c>
      <c r="D169" s="102" t="s">
        <v>368</v>
      </c>
      <c r="E169" s="30"/>
      <c r="F169" s="380">
        <f>F53*(IF(F67="Yes",Dropdowns_v2!$D113,Dropdowns_v2!$D112))</f>
        <v>0</v>
      </c>
      <c r="G169" s="380">
        <f>G53*(IF(G67="Yes",Dropdowns_v2!$D113,Dropdowns_v2!$D112))</f>
        <v>0</v>
      </c>
      <c r="H169" s="380">
        <f>H53*(IF(H67="Yes",Dropdowns_v2!$D113,Dropdowns_v2!$D112))</f>
        <v>0</v>
      </c>
      <c r="I169" s="380">
        <f>I53*(IF(I67="Yes",Dropdowns_v2!$D113,Dropdowns_v2!$D112))</f>
        <v>0</v>
      </c>
      <c r="J169" s="380">
        <f>J53*(IF(J67="Yes",Dropdowns_v2!$D113,Dropdowns_v2!$D112))</f>
        <v>0</v>
      </c>
      <c r="K169" s="380">
        <f>K53*(IF(K67="Yes",Dropdowns_v2!$D113,Dropdowns_v2!$D112))</f>
        <v>0</v>
      </c>
      <c r="L169" s="380">
        <f>L53*(IF(L67="Yes",Dropdowns_v2!$D113,Dropdowns_v2!$D112))</f>
        <v>0</v>
      </c>
      <c r="M169" s="380">
        <f>M53*(IF(M67="Yes",Dropdowns_v2!$D113,Dropdowns_v2!$D112))</f>
        <v>0</v>
      </c>
      <c r="N169" s="380">
        <f>N53*(IF(N67="Yes",Dropdowns_v2!$D113,Dropdowns_v2!$D112))</f>
        <v>0</v>
      </c>
      <c r="O169" s="380">
        <f>O53*(IF(O67="Yes",Dropdowns_v2!$D113,Dropdowns_v2!$D112))</f>
        <v>0</v>
      </c>
      <c r="P169" s="30"/>
      <c r="Q169" s="275"/>
      <c r="R169" s="30"/>
      <c r="S169" s="380">
        <f>S53*(IF(S67="Yes",Dropdowns_v2!$D113,Dropdowns_v2!$D112))</f>
        <v>0</v>
      </c>
      <c r="T169" s="380">
        <f>T53*(IF(T67="Yes",Dropdowns_v2!$D113,Dropdowns_v2!$D112))</f>
        <v>0</v>
      </c>
      <c r="U169" s="380">
        <f>U53*(IF(U67="Yes",Dropdowns_v2!$D113,Dropdowns_v2!$D112))</f>
        <v>0</v>
      </c>
    </row>
    <row r="170" spans="1:21" ht="27" hidden="1" customHeight="1">
      <c r="A170" s="80"/>
      <c r="B170" s="313" t="s">
        <v>151</v>
      </c>
      <c r="C170" s="54" t="s">
        <v>440</v>
      </c>
      <c r="D170" s="102" t="s">
        <v>441</v>
      </c>
      <c r="E170" s="30"/>
      <c r="F170" s="380" t="e" cm="1">
        <f t="array" ref="F170">(SUM(F$47:F$51)+SUMIF(F$46,"&gt;0",F$44))*INDEX(Dropdowns_v2!$D$2:$D$248, MATCH(REDiTool!F$72, IF(Dropdowns_v2!$C$2:$C$248=REDiTool!$D$170,Dropdowns_v2!$B$2:$B$248,""),0))</f>
        <v>#N/A</v>
      </c>
      <c r="G170" s="380" t="e" cm="1">
        <f t="array" ref="G170">(SUM(G$47:G$51)+SUMIF(G46,"&gt;0",G44))*INDEX(Dropdowns_v2!$D$2:$D$248, MATCH(REDiTool!G$72, IF(Dropdowns_v2!$C$2:$C$248=REDiTool!$D$170,Dropdowns_v2!$B$2:$B$248,""),0))</f>
        <v>#N/A</v>
      </c>
      <c r="H170" s="380" t="e" cm="1">
        <f t="array" ref="H170">(SUM(H$47:H$51)+SUMIF(H46,"&gt;0",H44))*INDEX(Dropdowns_v2!$D$2:$D$248, MATCH(REDiTool!H$72, IF(Dropdowns_v2!$C$2:$C$248=REDiTool!$D$170,Dropdowns_v2!$B$2:$B$248,""),0))</f>
        <v>#N/A</v>
      </c>
      <c r="I170" s="380" t="e" cm="1">
        <f t="array" ref="I170">(SUM(I$47:I$51)+SUMIF(I46,"&gt;0",I44))*INDEX(Dropdowns_v2!$D$2:$D$248, MATCH(REDiTool!I$72, IF(Dropdowns_v2!$C$2:$C$248=REDiTool!$D$170,Dropdowns_v2!$B$2:$B$248,""),0))</f>
        <v>#N/A</v>
      </c>
      <c r="J170" s="380" t="e" cm="1">
        <f t="array" ref="J170">(SUM(J$47:J$51)+SUMIF(J46,"&gt;0",J44))*INDEX(Dropdowns_v2!$D$2:$D$248, MATCH(REDiTool!J$72, IF(Dropdowns_v2!$C$2:$C$248=REDiTool!$D$170,Dropdowns_v2!$B$2:$B$248,""),0))</f>
        <v>#N/A</v>
      </c>
      <c r="K170" s="380" t="e" cm="1">
        <f t="array" ref="K170">(SUM(K$47:K$51)+SUMIF(K46,"&gt;0",K44))*INDEX(Dropdowns_v2!$D$2:$D$248, MATCH(REDiTool!K$72, IF(Dropdowns_v2!$C$2:$C$248=REDiTool!$D$170,Dropdowns_v2!$B$2:$B$248,""),0))</f>
        <v>#N/A</v>
      </c>
      <c r="L170" s="380" t="e" cm="1">
        <f t="array" ref="L170">(SUM(L$47:L$51)+SUMIF(L46,"&gt;0",L44))*INDEX(Dropdowns_v2!$D$2:$D$248, MATCH(REDiTool!L$72, IF(Dropdowns_v2!$C$2:$C$248=REDiTool!$D$170,Dropdowns_v2!$B$2:$B$248,""),0))</f>
        <v>#N/A</v>
      </c>
      <c r="M170" s="380" t="e" cm="1">
        <f t="array" ref="M170">(SUM(M$47:M$51)+SUMIF(M46,"&gt;0",M44))*INDEX(Dropdowns_v2!$D$2:$D$248, MATCH(REDiTool!M$72, IF(Dropdowns_v2!$C$2:$C$248=REDiTool!$D$170,Dropdowns_v2!$B$2:$B$248,""),0))</f>
        <v>#N/A</v>
      </c>
      <c r="N170" s="380" t="e" cm="1">
        <f t="array" ref="N170">(SUM(N$47:N$51)+SUMIF(N46,"&gt;0",N44))*INDEX(Dropdowns_v2!$D$2:$D$248, MATCH(REDiTool!N$72, IF(Dropdowns_v2!$C$2:$C$248=REDiTool!$D$170,Dropdowns_v2!$B$2:$B$248,""),0))</f>
        <v>#N/A</v>
      </c>
      <c r="O170" s="380" t="e" cm="1">
        <f t="array" ref="O170">(SUM(O$47:O$51)+SUMIF(O46,"&gt;0",O44))*INDEX(Dropdowns_v2!$D$2:$D$248, MATCH(REDiTool!O$72, IF(Dropdowns_v2!$C$2:$C$248=REDiTool!$D$170,Dropdowns_v2!$B$2:$B$248,""),0))</f>
        <v>#N/A</v>
      </c>
      <c r="P170" s="30"/>
      <c r="Q170" s="275"/>
      <c r="R170" s="30"/>
      <c r="S170" s="380" cm="1">
        <f t="array" ref="S170">(SUM(S$47:S$51)+SUMIF(S$46,"&gt;0",S$44))*INDEX(Dropdowns_v2!$D$2:$D$248, MATCH(REDiTool!S$72, IF(Dropdowns_v2!$C$2:$C$248=REDiTool!$D$170,Dropdowns_v2!$B$2:$B$248,""),0))</f>
        <v>182250</v>
      </c>
      <c r="T170" s="380" cm="1">
        <f t="array" ref="T170">(SUM(T$47:T$51)+SUMIF(T$46,"&gt;0",T$44))*INDEX(Dropdowns_v2!$D$2:$D$248, MATCH(REDiTool!T$72, IF(Dropdowns_v2!$C$2:$C$248=REDiTool!$D$170,Dropdowns_v2!$B$2:$B$248,""),0))</f>
        <v>0</v>
      </c>
      <c r="U170" s="380" cm="1">
        <f t="array" ref="U170">(SUM(U$47:U$51)+SUMIF(U$46,"&gt;0",U$44))*INDEX(Dropdowns_v2!$D$2:$D$248, MATCH(REDiTool!U$72, IF(Dropdowns_v2!$C$2:$C$248=REDiTool!$D$170,Dropdowns_v2!$B$2:$B$248,""),0))</f>
        <v>0</v>
      </c>
    </row>
    <row r="171" spans="1:21" ht="22.5" hidden="1" customHeight="1">
      <c r="A171" s="448"/>
      <c r="B171" s="313" t="s">
        <v>151</v>
      </c>
      <c r="C171" s="54" t="s">
        <v>442</v>
      </c>
      <c r="D171" s="102" t="s">
        <v>443</v>
      </c>
      <c r="E171" s="30"/>
      <c r="F171" s="380" t="e" cm="1">
        <f t="array" ref="F171">F53*INDEX(Dropdowns_v2!$D$2:$D$248, MATCH(REDiTool!F$73, IF(Dropdowns_v2!$C$2:$C$248=REDiTool!$D$171,Dropdowns_v2!$B$2:$B$248,""),0))</f>
        <v>#N/A</v>
      </c>
      <c r="G171" s="380" t="e" cm="1">
        <f t="array" ref="G171">G53*INDEX(Dropdowns_v2!$D$2:$D$248, MATCH(REDiTool!G$73, IF(Dropdowns_v2!$C$2:$C$248=REDiTool!$D$171,Dropdowns_v2!$B$2:$B$248,""),0))</f>
        <v>#N/A</v>
      </c>
      <c r="H171" s="380" t="e" cm="1">
        <f t="array" ref="H171">H53*INDEX(Dropdowns_v2!$D$2:$D$248, MATCH(REDiTool!H$73, IF(Dropdowns_v2!$C$2:$C$248=REDiTool!$D$171,Dropdowns_v2!$B$2:$B$248,""),0))</f>
        <v>#N/A</v>
      </c>
      <c r="I171" s="380" t="e" cm="1">
        <f t="array" ref="I171">I53*INDEX(Dropdowns_v2!$D$2:$D$248, MATCH(REDiTool!I$73, IF(Dropdowns_v2!$C$2:$C$248=REDiTool!$D$171,Dropdowns_v2!$B$2:$B$248,""),0))</f>
        <v>#N/A</v>
      </c>
      <c r="J171" s="380" t="e" cm="1">
        <f t="array" ref="J171">J53*INDEX(Dropdowns_v2!$D$2:$D$248, MATCH(REDiTool!J$73, IF(Dropdowns_v2!$C$2:$C$248=REDiTool!$D$171,Dropdowns_v2!$B$2:$B$248,""),0))</f>
        <v>#N/A</v>
      </c>
      <c r="K171" s="380" t="e" cm="1">
        <f t="array" ref="K171">K53*INDEX(Dropdowns_v2!$D$2:$D$248, MATCH(REDiTool!K$73, IF(Dropdowns_v2!$C$2:$C$248=REDiTool!$D$171,Dropdowns_v2!$B$2:$B$248,""),0))</f>
        <v>#N/A</v>
      </c>
      <c r="L171" s="380" t="e" cm="1">
        <f t="array" ref="L171">L53*INDEX(Dropdowns_v2!$D$2:$D$248, MATCH(REDiTool!L$73, IF(Dropdowns_v2!$C$2:$C$248=REDiTool!$D$171,Dropdowns_v2!$B$2:$B$248,""),0))</f>
        <v>#N/A</v>
      </c>
      <c r="M171" s="380" t="e" cm="1">
        <f t="array" ref="M171">M53*INDEX(Dropdowns_v2!$D$2:$D$248, MATCH(REDiTool!M$73, IF(Dropdowns_v2!$C$2:$C$248=REDiTool!$D$171,Dropdowns_v2!$B$2:$B$248,""),0))</f>
        <v>#N/A</v>
      </c>
      <c r="N171" s="380" t="e" cm="1">
        <f t="array" ref="N171">N53*INDEX(Dropdowns_v2!$D$2:$D$248, MATCH(REDiTool!N$73, IF(Dropdowns_v2!$C$2:$C$248=REDiTool!$D$171,Dropdowns_v2!$B$2:$B$248,""),0))</f>
        <v>#N/A</v>
      </c>
      <c r="O171" s="380" t="e" cm="1">
        <f t="array" ref="O171">O53*INDEX(Dropdowns_v2!$D$2:$D$248, MATCH(REDiTool!O$73, IF(Dropdowns_v2!$C$2:$C$248=REDiTool!$D$171,Dropdowns_v2!$B$2:$B$248,""),0))</f>
        <v>#N/A</v>
      </c>
      <c r="P171" s="30"/>
      <c r="Q171" s="275"/>
      <c r="R171" s="30"/>
      <c r="S171" s="380" cm="1">
        <f t="array" ref="S171">S53*INDEX(Dropdowns_v2!$D$2:$D$248, MATCH(REDiTool!S$73, IF(Dropdowns_v2!$C$2:$C$248=REDiTool!$D$171,Dropdowns_v2!$B$2:$B$248,""),0))</f>
        <v>0</v>
      </c>
      <c r="T171" s="380" cm="1">
        <f t="array" ref="T171">T53*INDEX(Dropdowns_v2!$D$2:$D$248, MATCH(REDiTool!T$73, IF(Dropdowns_v2!$C$2:$C$248=REDiTool!$D$171,Dropdowns_v2!$B$2:$B$248,""),0))</f>
        <v>145750</v>
      </c>
      <c r="U171" s="380" cm="1">
        <f t="array" ref="U171">U53*INDEX(Dropdowns_v2!$D$2:$D$248, MATCH(REDiTool!U$73, IF(Dropdowns_v2!$C$2:$C$248=REDiTool!$D$171,Dropdowns_v2!$B$2:$B$248,""),0))</f>
        <v>510125</v>
      </c>
    </row>
    <row r="172" spans="1:21" ht="22.5" hidden="1" customHeight="1">
      <c r="A172" s="80" t="s">
        <v>444</v>
      </c>
      <c r="B172" s="313" t="s">
        <v>151</v>
      </c>
      <c r="C172" s="54" t="s">
        <v>445</v>
      </c>
      <c r="D172" s="102" t="s">
        <v>443</v>
      </c>
      <c r="E172" s="30"/>
      <c r="F172" s="380" t="e" cm="1">
        <f t="array" ref="F172">F45*INDEX(Dropdowns_v2!$D$2:$D$248, MATCH(REDiTool!F$74, IF(Dropdowns_v2!$C$2:$C$248=REDiTool!$D$172,Dropdowns_v2!$B$2:$B$248,""),0))</f>
        <v>#N/A</v>
      </c>
      <c r="G172" s="380" t="e" cm="1">
        <f t="array" ref="G172">G45*INDEX(Dropdowns_v2!$D$2:$D$248, MATCH(REDiTool!G$74, IF(Dropdowns_v2!$C$2:$C$248=REDiTool!$D$172,Dropdowns_v2!$B$2:$B$248,""),0))</f>
        <v>#N/A</v>
      </c>
      <c r="H172" s="380" t="e" cm="1">
        <f t="array" ref="H172">H45*INDEX(Dropdowns_v2!$D$2:$D$248, MATCH(REDiTool!H$74, IF(Dropdowns_v2!$C$2:$C$248=REDiTool!$D$172,Dropdowns_v2!$B$2:$B$248,""),0))</f>
        <v>#N/A</v>
      </c>
      <c r="I172" s="380" t="e" cm="1">
        <f t="array" ref="I172">I45*INDEX(Dropdowns_v2!$D$2:$D$248, MATCH(REDiTool!I$74, IF(Dropdowns_v2!$C$2:$C$248=REDiTool!$D$172,Dropdowns_v2!$B$2:$B$248,""),0))</f>
        <v>#N/A</v>
      </c>
      <c r="J172" s="380" t="e" cm="1">
        <f t="array" ref="J172">J45*INDEX(Dropdowns_v2!$D$2:$D$248, MATCH(REDiTool!J$74, IF(Dropdowns_v2!$C$2:$C$248=REDiTool!$D$172,Dropdowns_v2!$B$2:$B$248,""),0))</f>
        <v>#N/A</v>
      </c>
      <c r="K172" s="380" t="e" cm="1">
        <f t="array" ref="K172">K45*INDEX(Dropdowns_v2!$D$2:$D$248, MATCH(REDiTool!K$74, IF(Dropdowns_v2!$C$2:$C$248=REDiTool!$D$172,Dropdowns_v2!$B$2:$B$248,""),0))</f>
        <v>#N/A</v>
      </c>
      <c r="L172" s="380" t="e" cm="1">
        <f t="array" ref="L172">L45*INDEX(Dropdowns_v2!$D$2:$D$248, MATCH(REDiTool!L$74, IF(Dropdowns_v2!$C$2:$C$248=REDiTool!$D$172,Dropdowns_v2!$B$2:$B$248,""),0))</f>
        <v>#N/A</v>
      </c>
      <c r="M172" s="380" t="e" cm="1">
        <f t="array" ref="M172">M45*INDEX(Dropdowns_v2!$D$2:$D$248, MATCH(REDiTool!M$74, IF(Dropdowns_v2!$C$2:$C$248=REDiTool!$D$172,Dropdowns_v2!$B$2:$B$248,""),0))</f>
        <v>#N/A</v>
      </c>
      <c r="N172" s="380" t="e" cm="1">
        <f t="array" ref="N172">N45*INDEX(Dropdowns_v2!$D$2:$D$248, MATCH(REDiTool!N$74, IF(Dropdowns_v2!$C$2:$C$248=REDiTool!$D$172,Dropdowns_v2!$B$2:$B$248,""),0))</f>
        <v>#N/A</v>
      </c>
      <c r="O172" s="380" t="e" cm="1">
        <f t="array" ref="O172">O45*INDEX(Dropdowns_v2!$D$2:$D$248, MATCH(REDiTool!O$74, IF(Dropdowns_v2!$C$2:$C$248=REDiTool!$D$172,Dropdowns_v2!$B$2:$B$248,""),0))</f>
        <v>#N/A</v>
      </c>
      <c r="P172" s="30"/>
      <c r="Q172" s="741"/>
      <c r="R172" s="30"/>
      <c r="S172" s="380" cm="1">
        <f t="array" ref="S172">S45*INDEX(Dropdowns_v2!$D$2:$D$248, MATCH(REDiTool!S$74, IF(Dropdowns_v2!$C$2:$C$248=REDiTool!$D$172,Dropdowns_v2!$B$2:$B$248,""),0))</f>
        <v>0</v>
      </c>
      <c r="T172" s="380" cm="1">
        <f t="array" ref="T172">T45*INDEX(Dropdowns_v2!$D$2:$D$248, MATCH(REDiTool!T$74, IF(Dropdowns_v2!$C$2:$C$248=REDiTool!$D$172,Dropdowns_v2!$B$2:$B$248,""),0))</f>
        <v>67500</v>
      </c>
      <c r="U172" s="380" cm="1">
        <f t="array" ref="U172">U45*INDEX(Dropdowns_v2!$D$2:$D$248, MATCH(REDiTool!U$74, IF(Dropdowns_v2!$C$2:$C$248=REDiTool!$D$172,Dropdowns_v2!$B$2:$B$248,""),0))</f>
        <v>472500</v>
      </c>
    </row>
    <row r="173" spans="1:21" hidden="1">
      <c r="A173" s="137"/>
      <c r="B173" s="313" t="s">
        <v>151</v>
      </c>
      <c r="C173" s="84" t="s">
        <v>446</v>
      </c>
      <c r="D173" s="103" t="s">
        <v>447</v>
      </c>
      <c r="E173" s="30"/>
      <c r="F173" s="380" t="e">
        <f t="array" ref="F173">F53*INDEX(Dropdowns_v2!$D$2:$D$248, MATCH(REDiTool!F$68, IF(Dropdowns_v2!$C$2:$C$248=REDiTool!$D$173,Dropdowns_v2!$B$2:$B$248,""),0))</f>
        <v>#N/A</v>
      </c>
      <c r="G173" s="380" t="e">
        <f t="array" ref="G173">G53*INDEX(Dropdowns_v2!$D$2:$D$248, MATCH(REDiTool!G$68, IF(Dropdowns_v2!$C$2:$C$248=REDiTool!$D$173,Dropdowns_v2!$B$2:$B$248,""),0))</f>
        <v>#N/A</v>
      </c>
      <c r="H173" s="380" t="e">
        <f t="array" ref="H173">H53*INDEX(Dropdowns_v2!$D$2:$D$248, MATCH(REDiTool!H$68, IF(Dropdowns_v2!$C$2:$C$248=REDiTool!$D$173,Dropdowns_v2!$B$2:$B$248,""),0))</f>
        <v>#N/A</v>
      </c>
      <c r="I173" s="380" t="e">
        <f t="array" ref="I173">I53*INDEX(Dropdowns_v2!$D$2:$D$248, MATCH(REDiTool!I$68, IF(Dropdowns_v2!$C$2:$C$248=REDiTool!$D$173,Dropdowns_v2!$B$2:$B$248,""),0))</f>
        <v>#N/A</v>
      </c>
      <c r="J173" s="380" t="e">
        <f t="array" ref="J173">J53*INDEX(Dropdowns_v2!$D$2:$D$248, MATCH(REDiTool!J$68, IF(Dropdowns_v2!$C$2:$C$248=REDiTool!$D$173,Dropdowns_v2!$B$2:$B$248,""),0))</f>
        <v>#N/A</v>
      </c>
      <c r="K173" s="380" t="e">
        <f t="array" ref="K173">K53*INDEX(Dropdowns_v2!$D$2:$D$248, MATCH(REDiTool!K$68, IF(Dropdowns_v2!$C$2:$C$248=REDiTool!$D$173,Dropdowns_v2!$B$2:$B$248,""),0))</f>
        <v>#N/A</v>
      </c>
      <c r="L173" s="380" t="e">
        <f t="array" ref="L173">L53*INDEX(Dropdowns_v2!$D$2:$D$248, MATCH(REDiTool!L$68, IF(Dropdowns_v2!$C$2:$C$248=REDiTool!$D$173,Dropdowns_v2!$B$2:$B$248,""),0))</f>
        <v>#N/A</v>
      </c>
      <c r="M173" s="380" t="e">
        <f t="array" ref="M173">M53*INDEX(Dropdowns_v2!$D$2:$D$248, MATCH(REDiTool!M$68, IF(Dropdowns_v2!$C$2:$C$248=REDiTool!$D$173,Dropdowns_v2!$B$2:$B$248,""),0))</f>
        <v>#N/A</v>
      </c>
      <c r="N173" s="380" t="e">
        <f t="array" ref="N173">N53*INDEX(Dropdowns_v2!$D$2:$D$248, MATCH(REDiTool!N$68, IF(Dropdowns_v2!$C$2:$C$248=REDiTool!$D$173,Dropdowns_v2!$B$2:$B$248,""),0))</f>
        <v>#N/A</v>
      </c>
      <c r="O173" s="380" t="e">
        <f t="array" ref="O173">O53*INDEX(Dropdowns_v2!$D$2:$D$248, MATCH(REDiTool!O$68, IF(Dropdowns_v2!$C$2:$C$248=REDiTool!$D$173,Dropdowns_v2!$B$2:$B$248,""),0))</f>
        <v>#N/A</v>
      </c>
      <c r="P173" s="30"/>
      <c r="Q173" s="275"/>
      <c r="R173" s="30"/>
      <c r="S173" s="380">
        <f t="array" ref="S173">S53*INDEX(Dropdowns_v2!$D$2:$D$248, MATCH(REDiTool!S$68, IF(Dropdowns_v2!$C$2:$C$248=REDiTool!$D$173,Dropdowns_v2!$B$2:$B$248,""),0))</f>
        <v>0</v>
      </c>
      <c r="T173" s="380">
        <f t="array" ref="T173">T53*INDEX(Dropdowns_v2!$D$2:$D$248, MATCH(REDiTool!T$68, IF(Dropdowns_v2!$C$2:$C$248=REDiTool!$D$173,Dropdowns_v2!$B$2:$B$248,""),0))</f>
        <v>0</v>
      </c>
      <c r="U173" s="380">
        <f t="array" ref="U173">U53*INDEX(Dropdowns_v2!$D$2:$D$248, MATCH(REDiTool!U$68, IF(Dropdowns_v2!$C$2:$C$248=REDiTool!$D$173,Dropdowns_v2!$B$2:$B$248,""),0))</f>
        <v>0</v>
      </c>
    </row>
    <row r="174" spans="1:21" hidden="1">
      <c r="A174" s="137"/>
      <c r="B174" s="313" t="s">
        <v>151</v>
      </c>
      <c r="C174" s="54" t="s">
        <v>267</v>
      </c>
      <c r="D174" s="103" t="s">
        <v>448</v>
      </c>
      <c r="E174" s="30"/>
      <c r="F174" s="380" t="e" cm="1">
        <f t="array" ref="F174">F53*INDEX(Dropdowns_v2!$D$2:$D$248, MATCH(REDiTool!F$69, IF(Dropdowns_v2!$C$2:$C$248=REDiTool!$D$174,Dropdowns_v2!$B$2:$B$248,""),0))</f>
        <v>#N/A</v>
      </c>
      <c r="G174" s="380" t="e" cm="1">
        <f t="array" ref="G174">G53*INDEX(Dropdowns_v2!$D$2:$D$248, MATCH(REDiTool!G$69, IF(Dropdowns_v2!$C$2:$C$248=REDiTool!$D$174,Dropdowns_v2!$B$2:$B$248,""),0))</f>
        <v>#N/A</v>
      </c>
      <c r="H174" s="380" t="e" cm="1">
        <f t="array" ref="H174">H53*INDEX(Dropdowns_v2!$D$2:$D$248, MATCH(REDiTool!H$69, IF(Dropdowns_v2!$C$2:$C$248=REDiTool!$D$174,Dropdowns_v2!$B$2:$B$248,""),0))</f>
        <v>#N/A</v>
      </c>
      <c r="I174" s="380" t="e" cm="1">
        <f t="array" ref="I174">I53*INDEX(Dropdowns_v2!$D$2:$D$248, MATCH(REDiTool!I$69, IF(Dropdowns_v2!$C$2:$C$248=REDiTool!$D$174,Dropdowns_v2!$B$2:$B$248,""),0))</f>
        <v>#N/A</v>
      </c>
      <c r="J174" s="380" t="e" cm="1">
        <f t="array" ref="J174">J53*INDEX(Dropdowns_v2!$D$2:$D$248, MATCH(REDiTool!J$69, IF(Dropdowns_v2!$C$2:$C$248=REDiTool!$D$174,Dropdowns_v2!$B$2:$B$248,""),0))</f>
        <v>#N/A</v>
      </c>
      <c r="K174" s="380" t="e" cm="1">
        <f t="array" ref="K174">K53*INDEX(Dropdowns_v2!$D$2:$D$248, MATCH(REDiTool!K$69, IF(Dropdowns_v2!$C$2:$C$248=REDiTool!$D$174,Dropdowns_v2!$B$2:$B$248,""),0))</f>
        <v>#N/A</v>
      </c>
      <c r="L174" s="380" t="e" cm="1">
        <f t="array" ref="L174">L53*INDEX(Dropdowns_v2!$D$2:$D$248, MATCH(REDiTool!L$69, IF(Dropdowns_v2!$C$2:$C$248=REDiTool!$D$174,Dropdowns_v2!$B$2:$B$248,""),0))</f>
        <v>#N/A</v>
      </c>
      <c r="M174" s="380" t="e" cm="1">
        <f t="array" ref="M174">M53*INDEX(Dropdowns_v2!$D$2:$D$248, MATCH(REDiTool!M$69, IF(Dropdowns_v2!$C$2:$C$248=REDiTool!$D$174,Dropdowns_v2!$B$2:$B$248,""),0))</f>
        <v>#N/A</v>
      </c>
      <c r="N174" s="380" t="e" cm="1">
        <f t="array" ref="N174">N53*INDEX(Dropdowns_v2!$D$2:$D$248, MATCH(REDiTool!N$69, IF(Dropdowns_v2!$C$2:$C$248=REDiTool!$D$174,Dropdowns_v2!$B$2:$B$248,""),0))</f>
        <v>#N/A</v>
      </c>
      <c r="O174" s="380" t="e" cm="1">
        <f t="array" ref="O174">O53*INDEX(Dropdowns_v2!$D$2:$D$248, MATCH(REDiTool!O$69, IF(Dropdowns_v2!$C$2:$C$248=REDiTool!$D$174,Dropdowns_v2!$B$2:$B$248,""),0))</f>
        <v>#N/A</v>
      </c>
      <c r="P174" s="30"/>
      <c r="Q174" s="275"/>
      <c r="R174" s="30"/>
      <c r="S174" s="380" cm="1">
        <f t="array" ref="S174">S53*INDEX(Dropdowns_v2!$D$2:$D$248, MATCH(REDiTool!S$69, IF(Dropdowns_v2!$C$2:$C$248=REDiTool!$D$174,Dropdowns_v2!$B$2:$B$248,""),0))</f>
        <v>874500</v>
      </c>
      <c r="T174" s="380" cm="1">
        <f t="array" ref="T174">T53*INDEX(Dropdowns_v2!$D$2:$D$248, MATCH(REDiTool!T$69, IF(Dropdowns_v2!$C$2:$C$248=REDiTool!$D$174,Dropdowns_v2!$B$2:$B$248,""),0))</f>
        <v>874500</v>
      </c>
      <c r="U174" s="380" cm="1">
        <f t="array" ref="U174">U53*INDEX(Dropdowns_v2!$D$2:$D$248, MATCH(REDiTool!U$69, IF(Dropdowns_v2!$C$2:$C$248=REDiTool!$D$174,Dropdowns_v2!$B$2:$B$248,""),0))</f>
        <v>874500</v>
      </c>
    </row>
    <row r="175" spans="1:21" hidden="1">
      <c r="A175" s="137"/>
      <c r="B175" s="313" t="s">
        <v>151</v>
      </c>
      <c r="C175" s="54" t="s">
        <v>270</v>
      </c>
      <c r="D175" s="103" t="s">
        <v>449</v>
      </c>
      <c r="E175" s="30"/>
      <c r="F175" s="380" t="e">
        <f t="array" ref="F175">F56*INDEX(Dropdowns_v2!$D$2:$D$248, MATCH(REDiTool!F$70, IF(Dropdowns_v2!$C$2:$C$248=REDiTool!$D$175,Dropdowns_v2!$B$2:$B$248,""),0))</f>
        <v>#N/A</v>
      </c>
      <c r="G175" s="380" t="e">
        <f t="array" ref="G175">G56*INDEX(Dropdowns_v2!$D$2:$D$248, MATCH(REDiTool!G$70, IF(Dropdowns_v2!$C$2:$C$248=REDiTool!$D$175,Dropdowns_v2!$B$2:$B$248,""),0))</f>
        <v>#N/A</v>
      </c>
      <c r="H175" s="380" t="e">
        <f t="array" ref="H175">H56*INDEX(Dropdowns_v2!$D$2:$D$248, MATCH(REDiTool!H$70, IF(Dropdowns_v2!$C$2:$C$248=REDiTool!$D$175,Dropdowns_v2!$B$2:$B$248,""),0))</f>
        <v>#N/A</v>
      </c>
      <c r="I175" s="380" t="e">
        <f t="array" ref="I175">I56*INDEX(Dropdowns_v2!$D$2:$D$248, MATCH(REDiTool!I$70, IF(Dropdowns_v2!$C$2:$C$248=REDiTool!$D$175,Dropdowns_v2!$B$2:$B$248,""),0))</f>
        <v>#N/A</v>
      </c>
      <c r="J175" s="380" t="e">
        <f t="array" ref="J175">J56*INDEX(Dropdowns_v2!$D$2:$D$248, MATCH(REDiTool!J$70, IF(Dropdowns_v2!$C$2:$C$248=REDiTool!$D$175,Dropdowns_v2!$B$2:$B$248,""),0))</f>
        <v>#N/A</v>
      </c>
      <c r="K175" s="380" t="e">
        <f t="array" ref="K175">K56*INDEX(Dropdowns_v2!$D$2:$D$248, MATCH(REDiTool!K$70, IF(Dropdowns_v2!$C$2:$C$248=REDiTool!$D$175,Dropdowns_v2!$B$2:$B$248,""),0))</f>
        <v>#N/A</v>
      </c>
      <c r="L175" s="380" t="e">
        <f t="array" ref="L175">L56*INDEX(Dropdowns_v2!$D$2:$D$248, MATCH(REDiTool!L$70, IF(Dropdowns_v2!$C$2:$C$248=REDiTool!$D$175,Dropdowns_v2!$B$2:$B$248,""),0))</f>
        <v>#N/A</v>
      </c>
      <c r="M175" s="380" t="e">
        <f t="array" ref="M175">M56*INDEX(Dropdowns_v2!$D$2:$D$248, MATCH(REDiTool!M$70, IF(Dropdowns_v2!$C$2:$C$248=REDiTool!$D$175,Dropdowns_v2!$B$2:$B$248,""),0))</f>
        <v>#N/A</v>
      </c>
      <c r="N175" s="380" t="e">
        <f t="array" ref="N175">N56*INDEX(Dropdowns_v2!$D$2:$D$248, MATCH(REDiTool!N$70, IF(Dropdowns_v2!$C$2:$C$248=REDiTool!$D$175,Dropdowns_v2!$B$2:$B$248,""),0))</f>
        <v>#N/A</v>
      </c>
      <c r="O175" s="380" t="e">
        <f t="array" ref="O175">O56*INDEX(Dropdowns_v2!$D$2:$D$248, MATCH(REDiTool!O$70, IF(Dropdowns_v2!$C$2:$C$248=REDiTool!$D$175,Dropdowns_v2!$B$2:$B$248,""),0))</f>
        <v>#N/A</v>
      </c>
      <c r="P175" s="30"/>
      <c r="Q175" s="275"/>
      <c r="R175" s="30"/>
      <c r="S175" s="380">
        <f t="array" ref="S175">S56*INDEX(Dropdowns_v2!$D$2:$D$248, MATCH(REDiTool!S$70, IF(Dropdowns_v2!$C$2:$C$248=REDiTool!$D$175,Dropdowns_v2!$B$2:$B$248,""),0))</f>
        <v>1457500</v>
      </c>
      <c r="T175" s="380">
        <f t="array" ref="T175">T56*INDEX(Dropdowns_v2!$D$2:$D$248, MATCH(REDiTool!T$70, IF(Dropdowns_v2!$C$2:$C$248=REDiTool!$D$175,Dropdowns_v2!$B$2:$B$248,""),0))</f>
        <v>1457500</v>
      </c>
      <c r="U175" s="380">
        <f t="array" ref="U175">U56*INDEX(Dropdowns_v2!$D$2:$D$248, MATCH(REDiTool!U$70, IF(Dropdowns_v2!$C$2:$C$248=REDiTool!$D$175,Dropdowns_v2!$B$2:$B$248,""),0))</f>
        <v>1457500</v>
      </c>
    </row>
    <row r="176" spans="1:21" ht="15.75" hidden="1" customHeight="1" thickBot="1">
      <c r="A176" s="137"/>
      <c r="B176" s="318" t="s">
        <v>151</v>
      </c>
      <c r="C176" s="417" t="s">
        <v>273</v>
      </c>
      <c r="D176" s="139" t="s">
        <v>450</v>
      </c>
      <c r="E176" s="30"/>
      <c r="F176" s="467" t="e">
        <f t="array" ref="F176">F56*INDEX(Dropdowns_v2!$D$2:$D$248, MATCH(REDiTool!F$71, IF(Dropdowns_v2!$C$2:$C$248=REDiTool!$D$176,Dropdowns_v2!$B$2:$B$248,""),0))</f>
        <v>#N/A</v>
      </c>
      <c r="G176" s="467" t="e">
        <f t="array" ref="G176">G56*INDEX(Dropdowns_v2!$D$2:$D$248, MATCH(REDiTool!G$71, IF(Dropdowns_v2!$C$2:$C$248=REDiTool!$D$176,Dropdowns_v2!$B$2:$B$248,""),0))</f>
        <v>#N/A</v>
      </c>
      <c r="H176" s="467" t="e">
        <f t="array" ref="H176">H56*INDEX(Dropdowns_v2!$D$2:$D$248, MATCH(REDiTool!H$71, IF(Dropdowns_v2!$C$2:$C$248=REDiTool!$D$176,Dropdowns_v2!$B$2:$B$248,""),0))</f>
        <v>#N/A</v>
      </c>
      <c r="I176" s="467" t="e">
        <f t="array" ref="I176">I56*INDEX(Dropdowns_v2!$D$2:$D$248, MATCH(REDiTool!I$71, IF(Dropdowns_v2!$C$2:$C$248=REDiTool!$D$176,Dropdowns_v2!$B$2:$B$248,""),0))</f>
        <v>#N/A</v>
      </c>
      <c r="J176" s="467" t="e">
        <f t="array" ref="J176">J56*INDEX(Dropdowns_v2!$D$2:$D$248, MATCH(REDiTool!J$71, IF(Dropdowns_v2!$C$2:$C$248=REDiTool!$D$176,Dropdowns_v2!$B$2:$B$248,""),0))</f>
        <v>#N/A</v>
      </c>
      <c r="K176" s="467" t="e">
        <f t="array" ref="K176">K56*INDEX(Dropdowns_v2!$D$2:$D$248, MATCH(REDiTool!K$71, IF(Dropdowns_v2!$C$2:$C$248=REDiTool!$D$176,Dropdowns_v2!$B$2:$B$248,""),0))</f>
        <v>#N/A</v>
      </c>
      <c r="L176" s="467" t="e">
        <f t="array" ref="L176">L56*INDEX(Dropdowns_v2!$D$2:$D$248, MATCH(REDiTool!L$71, IF(Dropdowns_v2!$C$2:$C$248=REDiTool!$D$176,Dropdowns_v2!$B$2:$B$248,""),0))</f>
        <v>#N/A</v>
      </c>
      <c r="M176" s="467" t="e">
        <f t="array" ref="M176">M56*INDEX(Dropdowns_v2!$D$2:$D$248, MATCH(REDiTool!M$71, IF(Dropdowns_v2!$C$2:$C$248=REDiTool!$D$176,Dropdowns_v2!$B$2:$B$248,""),0))</f>
        <v>#N/A</v>
      </c>
      <c r="N176" s="467" t="e">
        <f t="array" ref="N176">N56*INDEX(Dropdowns_v2!$D$2:$D$248, MATCH(REDiTool!N$71, IF(Dropdowns_v2!$C$2:$C$248=REDiTool!$D$176,Dropdowns_v2!$B$2:$B$248,""),0))</f>
        <v>#N/A</v>
      </c>
      <c r="O176" s="467" t="e">
        <f t="array" ref="O176">O56*INDEX(Dropdowns_v2!$D$2:$D$248, MATCH(REDiTool!O$71, IF(Dropdowns_v2!$C$2:$C$248=REDiTool!$D$176,Dropdowns_v2!$B$2:$B$248,""),0))</f>
        <v>#N/A</v>
      </c>
      <c r="P176" s="30"/>
      <c r="Q176" s="275"/>
      <c r="R176" s="30"/>
      <c r="S176" s="467">
        <f t="array" ref="S176">S56*INDEX(Dropdowns_v2!$D$2:$D$248, MATCH(REDiTool!S$71, IF(Dropdowns_v2!$C$2:$C$248=REDiTool!$D$176,Dropdowns_v2!$B$2:$B$248,""),0))</f>
        <v>2915000</v>
      </c>
      <c r="T176" s="467">
        <f t="array" ref="T176">T56*INDEX(Dropdowns_v2!$D$2:$D$248, MATCH(REDiTool!T$71, IF(Dropdowns_v2!$C$2:$C$248=REDiTool!$D$176,Dropdowns_v2!$B$2:$B$248,""),0))</f>
        <v>1821875</v>
      </c>
      <c r="U176" s="467">
        <f t="array" ref="U176">U56*INDEX(Dropdowns_v2!$D$2:$D$248, MATCH(REDiTool!U$71, IF(Dropdowns_v2!$C$2:$C$248=REDiTool!$D$176,Dropdowns_v2!$B$2:$B$248,""),0))</f>
        <v>1821875</v>
      </c>
    </row>
    <row r="177" spans="1:24" s="223" customFormat="1">
      <c r="A177" s="403"/>
      <c r="B177" s="909" t="s">
        <v>148</v>
      </c>
      <c r="C177" s="418" t="s">
        <v>451</v>
      </c>
      <c r="D177" s="548" t="s">
        <v>452</v>
      </c>
      <c r="E177" s="404"/>
      <c r="F177" s="549" t="e">
        <f t="shared" ref="F177:O177" si="82">SUM(F166:F176)</f>
        <v>#N/A</v>
      </c>
      <c r="G177" s="549" t="e">
        <f t="shared" si="82"/>
        <v>#N/A</v>
      </c>
      <c r="H177" s="549" t="e">
        <f t="shared" si="82"/>
        <v>#N/A</v>
      </c>
      <c r="I177" s="549" t="e">
        <f t="shared" si="82"/>
        <v>#N/A</v>
      </c>
      <c r="J177" s="549" t="e">
        <f t="shared" si="82"/>
        <v>#N/A</v>
      </c>
      <c r="K177" s="549" t="e">
        <f t="shared" si="82"/>
        <v>#N/A</v>
      </c>
      <c r="L177" s="549" t="e">
        <f t="shared" si="82"/>
        <v>#N/A</v>
      </c>
      <c r="M177" s="549" t="e">
        <f t="shared" si="82"/>
        <v>#N/A</v>
      </c>
      <c r="N177" s="549" t="e">
        <f t="shared" si="82"/>
        <v>#N/A</v>
      </c>
      <c r="O177" s="549" t="e">
        <f t="shared" si="82"/>
        <v>#N/A</v>
      </c>
      <c r="P177" s="404"/>
      <c r="Q177" s="735"/>
      <c r="R177" s="404"/>
      <c r="S177" s="549">
        <f t="shared" ref="S177:U177" si="83">SUM(S166:S176)</f>
        <v>10822000</v>
      </c>
      <c r="T177" s="549">
        <f t="shared" si="83"/>
        <v>9614125</v>
      </c>
      <c r="U177" s="549">
        <f t="shared" si="83"/>
        <v>14610250</v>
      </c>
    </row>
    <row r="178" spans="1:24" s="487" customFormat="1" hidden="1">
      <c r="A178" s="137"/>
      <c r="B178" s="328" t="s">
        <v>151</v>
      </c>
      <c r="C178" s="598" t="s">
        <v>453</v>
      </c>
      <c r="D178" s="599" t="s">
        <v>454</v>
      </c>
      <c r="E178" s="402"/>
      <c r="F178" s="600" t="e">
        <f t="shared" ref="F178:O178" si="84">F226</f>
        <v>#N/A</v>
      </c>
      <c r="G178" s="600" t="e">
        <f t="shared" si="84"/>
        <v>#N/A</v>
      </c>
      <c r="H178" s="600" t="e">
        <f t="shared" si="84"/>
        <v>#N/A</v>
      </c>
      <c r="I178" s="600" t="e">
        <f t="shared" si="84"/>
        <v>#N/A</v>
      </c>
      <c r="J178" s="600" t="e">
        <f t="shared" si="84"/>
        <v>#N/A</v>
      </c>
      <c r="K178" s="600" t="e">
        <f t="shared" si="84"/>
        <v>#N/A</v>
      </c>
      <c r="L178" s="600" t="e">
        <f t="shared" si="84"/>
        <v>#N/A</v>
      </c>
      <c r="M178" s="600" t="e">
        <f t="shared" si="84"/>
        <v>#N/A</v>
      </c>
      <c r="N178" s="600" t="e">
        <f t="shared" si="84"/>
        <v>#N/A</v>
      </c>
      <c r="O178" s="600" t="e">
        <f t="shared" si="84"/>
        <v>#N/A</v>
      </c>
      <c r="P178" s="30"/>
      <c r="Q178" s="740"/>
      <c r="R178" s="30"/>
      <c r="S178" s="600">
        <f t="shared" ref="S178:U178" si="85">S226</f>
        <v>-4955500</v>
      </c>
      <c r="T178" s="600">
        <f t="shared" si="85"/>
        <v>-4809750</v>
      </c>
      <c r="U178" s="600">
        <f t="shared" si="85"/>
        <v>-4809750</v>
      </c>
      <c r="V178" s="33"/>
      <c r="W178" s="33"/>
      <c r="X178" s="33"/>
    </row>
    <row r="179" spans="1:24" s="691" customFormat="1">
      <c r="A179" s="403"/>
      <c r="B179" s="910" t="s">
        <v>148</v>
      </c>
      <c r="C179" s="543" t="s">
        <v>455</v>
      </c>
      <c r="D179" s="689" t="s">
        <v>456</v>
      </c>
      <c r="E179" s="404"/>
      <c r="F179" s="690" t="e">
        <f t="shared" ref="F179:O179" si="86">SUM(F177:F178)</f>
        <v>#N/A</v>
      </c>
      <c r="G179" s="690" t="e">
        <f t="shared" si="86"/>
        <v>#N/A</v>
      </c>
      <c r="H179" s="690" t="e">
        <f t="shared" si="86"/>
        <v>#N/A</v>
      </c>
      <c r="I179" s="690" t="e">
        <f t="shared" si="86"/>
        <v>#N/A</v>
      </c>
      <c r="J179" s="690" t="e">
        <f t="shared" si="86"/>
        <v>#N/A</v>
      </c>
      <c r="K179" s="690" t="e">
        <f t="shared" si="86"/>
        <v>#N/A</v>
      </c>
      <c r="L179" s="690" t="e">
        <f t="shared" si="86"/>
        <v>#N/A</v>
      </c>
      <c r="M179" s="690" t="e">
        <f t="shared" si="86"/>
        <v>#N/A</v>
      </c>
      <c r="N179" s="690" t="e">
        <f t="shared" si="86"/>
        <v>#N/A</v>
      </c>
      <c r="O179" s="690" t="e">
        <f t="shared" si="86"/>
        <v>#N/A</v>
      </c>
      <c r="P179" s="404"/>
      <c r="Q179" s="740"/>
      <c r="R179" s="404"/>
      <c r="S179" s="690">
        <f t="shared" ref="S179:U179" si="87">SUM(S177:S178)</f>
        <v>5866500</v>
      </c>
      <c r="T179" s="690">
        <f t="shared" si="87"/>
        <v>4804375</v>
      </c>
      <c r="U179" s="690">
        <f t="shared" si="87"/>
        <v>9800500</v>
      </c>
      <c r="V179" s="223"/>
      <c r="W179" s="223"/>
      <c r="X179" s="223"/>
    </row>
    <row r="180" spans="1:24" s="486" customFormat="1" ht="15" hidden="1" customHeight="1">
      <c r="A180" s="149" t="s">
        <v>431</v>
      </c>
      <c r="B180" s="601" t="s">
        <v>153</v>
      </c>
      <c r="C180" s="552" t="s">
        <v>457</v>
      </c>
      <c r="D180" s="466" t="s">
        <v>458</v>
      </c>
      <c r="E180" s="404"/>
      <c r="F180" s="553" t="e">
        <f t="shared" ref="F180:O180" si="88">-MAX(F164,F162)</f>
        <v>#N/A</v>
      </c>
      <c r="G180" s="553" t="e">
        <f t="shared" si="88"/>
        <v>#N/A</v>
      </c>
      <c r="H180" s="553" t="e">
        <f t="shared" si="88"/>
        <v>#N/A</v>
      </c>
      <c r="I180" s="553" t="e">
        <f t="shared" si="88"/>
        <v>#N/A</v>
      </c>
      <c r="J180" s="553" t="e">
        <f t="shared" si="88"/>
        <v>#N/A</v>
      </c>
      <c r="K180" s="553" t="e">
        <f t="shared" si="88"/>
        <v>#N/A</v>
      </c>
      <c r="L180" s="553" t="e">
        <f t="shared" si="88"/>
        <v>#N/A</v>
      </c>
      <c r="M180" s="553" t="e">
        <f t="shared" si="88"/>
        <v>#N/A</v>
      </c>
      <c r="N180" s="553" t="e">
        <f t="shared" si="88"/>
        <v>#N/A</v>
      </c>
      <c r="O180" s="553" t="e">
        <f t="shared" si="88"/>
        <v>#N/A</v>
      </c>
      <c r="P180" s="89"/>
      <c r="Q180" s="378"/>
      <c r="R180" s="89"/>
      <c r="S180" s="553">
        <f>-MAX(S164,S162)</f>
        <v>-3000000</v>
      </c>
      <c r="T180" s="553">
        <f>-MAX(T164,T162)</f>
        <v>-3000000</v>
      </c>
      <c r="U180" s="553">
        <f>-MAX(U164,U162)</f>
        <v>-3000000</v>
      </c>
      <c r="V180" s="49"/>
      <c r="W180" s="49"/>
      <c r="X180" s="49"/>
    </row>
    <row r="181" spans="1:24" s="486" customFormat="1">
      <c r="A181" s="149"/>
      <c r="B181" s="910" t="s">
        <v>148</v>
      </c>
      <c r="C181" s="543" t="s">
        <v>459</v>
      </c>
      <c r="D181" s="548" t="s">
        <v>460</v>
      </c>
      <c r="E181" s="404"/>
      <c r="F181" s="551" t="e">
        <f>F179+F180</f>
        <v>#N/A</v>
      </c>
      <c r="G181" s="551" t="e">
        <f t="shared" ref="G181:J181" si="89">G179+G180</f>
        <v>#N/A</v>
      </c>
      <c r="H181" s="551" t="e">
        <f t="shared" si="89"/>
        <v>#N/A</v>
      </c>
      <c r="I181" s="551" t="e">
        <f t="shared" si="89"/>
        <v>#N/A</v>
      </c>
      <c r="J181" s="551" t="e">
        <f t="shared" si="89"/>
        <v>#N/A</v>
      </c>
      <c r="K181" s="551" t="e">
        <f t="shared" ref="K181:L181" si="90">K179+K180</f>
        <v>#N/A</v>
      </c>
      <c r="L181" s="551" t="e">
        <f t="shared" si="90"/>
        <v>#N/A</v>
      </c>
      <c r="M181" s="551" t="e">
        <f t="shared" ref="M181:O181" si="91">M179+M180</f>
        <v>#N/A</v>
      </c>
      <c r="N181" s="551" t="e">
        <f t="shared" si="91"/>
        <v>#N/A</v>
      </c>
      <c r="O181" s="551" t="e">
        <f t="shared" si="91"/>
        <v>#N/A</v>
      </c>
      <c r="P181" s="89"/>
      <c r="Q181" s="740"/>
      <c r="R181" s="89"/>
      <c r="S181" s="551">
        <f>S179+S180</f>
        <v>2866500</v>
      </c>
      <c r="T181" s="551">
        <f t="shared" ref="T181:U181" si="92">T179+T180</f>
        <v>1804375</v>
      </c>
      <c r="U181" s="551">
        <f t="shared" si="92"/>
        <v>6800500</v>
      </c>
      <c r="V181" s="49"/>
      <c r="W181" s="49"/>
      <c r="X181" s="49"/>
    </row>
    <row r="182" spans="1:24" s="486" customFormat="1">
      <c r="A182" s="149"/>
      <c r="B182" s="334" t="s">
        <v>148</v>
      </c>
      <c r="C182" s="158" t="s">
        <v>461</v>
      </c>
      <c r="D182" s="466" t="s">
        <v>460</v>
      </c>
      <c r="E182" s="550"/>
      <c r="F182" s="671" t="e">
        <f t="shared" ref="F182:O182" si="93">F181/F3</f>
        <v>#N/A</v>
      </c>
      <c r="G182" s="671" t="e">
        <f t="shared" si="93"/>
        <v>#N/A</v>
      </c>
      <c r="H182" s="671" t="e">
        <f t="shared" si="93"/>
        <v>#N/A</v>
      </c>
      <c r="I182" s="671" t="e">
        <f t="shared" si="93"/>
        <v>#N/A</v>
      </c>
      <c r="J182" s="671" t="e">
        <f t="shared" si="93"/>
        <v>#N/A</v>
      </c>
      <c r="K182" s="671" t="e">
        <f t="shared" si="93"/>
        <v>#N/A</v>
      </c>
      <c r="L182" s="671" t="e">
        <f t="shared" si="93"/>
        <v>#N/A</v>
      </c>
      <c r="M182" s="671" t="e">
        <f t="shared" si="93"/>
        <v>#N/A</v>
      </c>
      <c r="N182" s="671" t="e">
        <f t="shared" si="93"/>
        <v>#N/A</v>
      </c>
      <c r="O182" s="671" t="e">
        <f t="shared" si="93"/>
        <v>#N/A</v>
      </c>
      <c r="P182" s="89"/>
      <c r="Q182" s="740"/>
      <c r="R182" s="89"/>
      <c r="S182" s="671">
        <f>S181/S3</f>
        <v>21233.333333333332</v>
      </c>
      <c r="T182" s="671">
        <f>T181/T3</f>
        <v>13365.740740740741</v>
      </c>
      <c r="U182" s="671">
        <f>U181/U3</f>
        <v>50374.074074074073</v>
      </c>
      <c r="V182" s="49"/>
      <c r="W182" s="49"/>
      <c r="X182" s="49"/>
    </row>
    <row r="183" spans="1:24" s="49" customFormat="1" ht="15.75" hidden="1">
      <c r="A183" s="149"/>
      <c r="B183" s="337" t="s">
        <v>290</v>
      </c>
      <c r="C183" s="211" t="s">
        <v>462</v>
      </c>
      <c r="D183" s="101" t="s">
        <v>164</v>
      </c>
      <c r="E183" s="89"/>
      <c r="F183" s="1251" t="s">
        <v>429</v>
      </c>
      <c r="G183" s="1252"/>
      <c r="H183" s="1253"/>
      <c r="I183" s="637"/>
      <c r="J183" s="489"/>
      <c r="K183" s="490"/>
      <c r="L183" s="490"/>
      <c r="M183" s="490"/>
      <c r="N183" s="490"/>
      <c r="O183" s="490"/>
      <c r="P183" s="89"/>
      <c r="Q183" s="643"/>
      <c r="R183" s="89"/>
      <c r="S183" s="1109"/>
      <c r="T183" s="1110"/>
      <c r="U183" s="1111"/>
    </row>
    <row r="184" spans="1:24" s="34" customFormat="1" hidden="1">
      <c r="A184" s="149"/>
      <c r="B184" s="390" t="s">
        <v>290</v>
      </c>
      <c r="C184" s="666" t="s">
        <v>463</v>
      </c>
      <c r="D184" s="544" t="s">
        <v>464</v>
      </c>
      <c r="E184" s="89"/>
      <c r="F184" s="1246">
        <f>_xlfn.AGGREGATE(9,6,(F179:O179))</f>
        <v>0</v>
      </c>
      <c r="G184" s="1246"/>
      <c r="H184" s="1246"/>
      <c r="I184" s="1115"/>
      <c r="J184" s="1115"/>
      <c r="K184" s="1115"/>
      <c r="L184" s="667"/>
      <c r="M184" s="667"/>
      <c r="N184" s="667"/>
      <c r="O184" s="667"/>
      <c r="P184" s="55"/>
      <c r="Q184" s="739"/>
      <c r="R184" s="55"/>
      <c r="S184" s="1115"/>
      <c r="T184" s="1115"/>
      <c r="U184" s="1115"/>
    </row>
    <row r="185" spans="1:24" s="34" customFormat="1" ht="27" hidden="1" customHeight="1">
      <c r="A185" s="152"/>
      <c r="B185" s="390" t="s">
        <v>290</v>
      </c>
      <c r="C185" s="666" t="s">
        <v>465</v>
      </c>
      <c r="D185" s="676" t="s">
        <v>466</v>
      </c>
      <c r="E185" s="30"/>
      <c r="F185" s="1256">
        <f>_xlfn.AGGREGATE(9,6,(F162:O162))</f>
        <v>0</v>
      </c>
      <c r="G185" s="1256"/>
      <c r="H185" s="1256"/>
      <c r="I185" s="668"/>
      <c r="J185" s="669"/>
      <c r="K185" s="669"/>
      <c r="L185" s="669"/>
      <c r="M185" s="669"/>
      <c r="N185" s="669"/>
      <c r="O185" s="669"/>
      <c r="P185" s="55"/>
      <c r="Q185" s="739"/>
      <c r="R185" s="55"/>
      <c r="S185" s="1121"/>
      <c r="T185" s="1121"/>
      <c r="U185" s="1121"/>
    </row>
    <row r="186" spans="1:24" s="34" customFormat="1" ht="15.75" hidden="1" customHeight="1" thickBot="1">
      <c r="A186" s="149"/>
      <c r="B186" s="556" t="s">
        <v>153</v>
      </c>
      <c r="C186" s="557" t="s">
        <v>467</v>
      </c>
      <c r="D186" s="558"/>
      <c r="E186" s="30"/>
      <c r="F186" s="1248">
        <f>_xlfn.AGGREGATE(9,6,(F162:O162))</f>
        <v>0</v>
      </c>
      <c r="G186" s="1249"/>
      <c r="H186" s="1250"/>
      <c r="I186" s="638"/>
      <c r="J186" s="639"/>
      <c r="K186" s="639"/>
      <c r="L186" s="639"/>
      <c r="M186" s="639"/>
      <c r="N186" s="639"/>
      <c r="O186" s="640"/>
      <c r="P186" s="55"/>
      <c r="Q186" s="405"/>
      <c r="R186" s="55"/>
      <c r="S186" s="1117"/>
      <c r="T186" s="1118"/>
      <c r="U186" s="1119"/>
    </row>
    <row r="187" spans="1:24" s="34" customFormat="1" ht="15" hidden="1" customHeight="1">
      <c r="A187" s="149"/>
      <c r="B187" s="556" t="s">
        <v>153</v>
      </c>
      <c r="C187" s="557" t="s">
        <v>468</v>
      </c>
      <c r="D187" s="558"/>
      <c r="E187" s="30"/>
      <c r="F187" s="1265">
        <f>IF(COUNTIF(F10:O10,"Fund!")&gt;1,Dropdowns_v2!D241,Dropdowns_v2!D240)</f>
        <v>2500000</v>
      </c>
      <c r="G187" s="1266"/>
      <c r="H187" s="1266"/>
      <c r="I187" s="1106"/>
      <c r="J187" s="687"/>
      <c r="K187" s="687"/>
      <c r="L187" s="687"/>
      <c r="M187" s="687"/>
      <c r="N187" s="687"/>
      <c r="O187" s="688"/>
      <c r="P187" s="55"/>
      <c r="Q187" s="739"/>
      <c r="R187" s="55"/>
      <c r="S187" s="1106"/>
      <c r="T187" s="1107"/>
      <c r="U187" s="1107"/>
    </row>
    <row r="188" spans="1:24" s="34" customFormat="1" ht="36">
      <c r="A188" s="80"/>
      <c r="B188" s="390" t="s">
        <v>148</v>
      </c>
      <c r="C188" s="666" t="s">
        <v>469</v>
      </c>
      <c r="D188" s="886" t="s">
        <v>470</v>
      </c>
      <c r="E188" s="30"/>
      <c r="F188" s="1263">
        <f>IF(ISNUMBER(SEARCH("2035", F33)), 3000000, MIN(F186, F187))</f>
        <v>0</v>
      </c>
      <c r="G188" s="1263"/>
      <c r="H188" s="1263"/>
      <c r="I188" s="1054"/>
      <c r="J188" s="1055"/>
      <c r="K188" s="1055"/>
      <c r="L188" s="1055"/>
      <c r="M188" s="1055"/>
      <c r="N188" s="1055"/>
      <c r="O188" s="1055"/>
      <c r="P188" s="55"/>
      <c r="Q188" s="739"/>
      <c r="R188" s="55"/>
      <c r="S188" s="1121"/>
      <c r="T188" s="1121"/>
      <c r="U188" s="1121"/>
    </row>
    <row r="189" spans="1:24" s="34" customFormat="1" ht="25.5" hidden="1" customHeight="1">
      <c r="A189" s="152"/>
      <c r="B189" s="390" t="s">
        <v>151</v>
      </c>
      <c r="C189" s="666" t="s">
        <v>471</v>
      </c>
      <c r="D189" s="1081" t="s">
        <v>472</v>
      </c>
      <c r="E189" s="89"/>
      <c r="F189" s="1267">
        <f>IF(ISNUMBER(SEARCH("2035", F33)), 0, MIN(F188, _xlfn.AGGREGATE(9, 6, F164:O164)))</f>
        <v>0</v>
      </c>
      <c r="G189" s="1267"/>
      <c r="H189" s="1267"/>
      <c r="I189" s="1082"/>
      <c r="J189" s="1083"/>
      <c r="K189" s="1083"/>
      <c r="L189" s="1083"/>
      <c r="M189" s="1083"/>
      <c r="N189" s="1083"/>
      <c r="O189" s="1083"/>
      <c r="P189" s="55"/>
      <c r="Q189" s="739"/>
      <c r="R189" s="55"/>
      <c r="S189" s="1084"/>
      <c r="T189" s="1052"/>
      <c r="U189" s="1085"/>
    </row>
    <row r="190" spans="1:24" s="49" customFormat="1" ht="15.75" hidden="1">
      <c r="A190" s="149"/>
      <c r="B190" s="337" t="s">
        <v>151</v>
      </c>
      <c r="C190" s="211" t="s">
        <v>473</v>
      </c>
      <c r="D190" s="101" t="s">
        <v>164</v>
      </c>
      <c r="E190" s="89"/>
      <c r="F190" s="1243" t="s">
        <v>429</v>
      </c>
      <c r="G190" s="1244"/>
      <c r="H190" s="1245"/>
      <c r="I190" s="641"/>
      <c r="J190" s="642"/>
      <c r="K190" s="643"/>
      <c r="L190" s="643"/>
      <c r="M190" s="643"/>
      <c r="N190" s="643"/>
      <c r="O190" s="643"/>
      <c r="P190" s="89"/>
      <c r="Q190" s="643"/>
      <c r="R190" s="89"/>
      <c r="S190" s="1109"/>
      <c r="T190" s="1110"/>
      <c r="U190" s="1111"/>
    </row>
    <row r="191" spans="1:24" s="34" customFormat="1" hidden="1">
      <c r="A191" s="137"/>
      <c r="B191" s="390" t="s">
        <v>151</v>
      </c>
      <c r="C191" s="666" t="s">
        <v>474</v>
      </c>
      <c r="D191" s="544" t="s">
        <v>475</v>
      </c>
      <c r="E191" s="89"/>
      <c r="F191" s="1268">
        <f>F188</f>
        <v>0</v>
      </c>
      <c r="G191" s="1268"/>
      <c r="H191" s="1268"/>
      <c r="I191" s="668"/>
      <c r="J191" s="670"/>
      <c r="K191" s="670"/>
      <c r="L191" s="670"/>
      <c r="M191" s="670"/>
      <c r="N191" s="670"/>
      <c r="O191" s="670"/>
      <c r="P191" s="55"/>
      <c r="Q191" s="739"/>
      <c r="R191" s="55"/>
      <c r="S191" s="1108"/>
      <c r="T191" s="1108"/>
      <c r="U191" s="1108"/>
    </row>
    <row r="192" spans="1:24" s="34" customFormat="1" hidden="1">
      <c r="A192" s="149"/>
      <c r="B192" s="390" t="s">
        <v>151</v>
      </c>
      <c r="C192" s="666" t="s">
        <v>476</v>
      </c>
      <c r="D192" s="544" t="s">
        <v>477</v>
      </c>
      <c r="E192" s="89"/>
      <c r="F192" s="1246">
        <f>F184-F191</f>
        <v>0</v>
      </c>
      <c r="G192" s="1246"/>
      <c r="H192" s="1246"/>
      <c r="I192" s="1115"/>
      <c r="J192" s="1115"/>
      <c r="K192" s="1115"/>
      <c r="L192" s="667"/>
      <c r="M192" s="667"/>
      <c r="N192" s="667"/>
      <c r="O192" s="667"/>
      <c r="P192" s="55"/>
      <c r="Q192" s="739"/>
      <c r="R192" s="55"/>
      <c r="S192" s="1115"/>
      <c r="T192" s="1115"/>
      <c r="U192" s="1115"/>
    </row>
    <row r="193" spans="1:21" s="34" customFormat="1" ht="13.5" hidden="1">
      <c r="A193" s="149"/>
      <c r="B193" s="390"/>
      <c r="C193" s="555" t="s">
        <v>478</v>
      </c>
      <c r="D193" s="544" t="s">
        <v>479</v>
      </c>
      <c r="E193" s="554"/>
      <c r="F193" s="1257">
        <f>_xlfn.AGGREGATE(9,6,(F3:O3))</f>
        <v>0</v>
      </c>
      <c r="G193" s="1258"/>
      <c r="H193" s="1258"/>
      <c r="I193" s="684"/>
      <c r="J193" s="685"/>
      <c r="K193" s="685"/>
      <c r="L193" s="685"/>
      <c r="M193" s="685"/>
      <c r="N193" s="685"/>
      <c r="O193" s="686"/>
      <c r="P193" s="55"/>
      <c r="Q193" s="739"/>
      <c r="R193" s="55"/>
      <c r="S193" s="1122"/>
      <c r="T193" s="1123"/>
      <c r="U193" s="1123"/>
    </row>
    <row r="194" spans="1:21" s="49" customFormat="1" hidden="1">
      <c r="A194" s="149"/>
      <c r="B194" s="390" t="s">
        <v>151</v>
      </c>
      <c r="C194" s="672" t="s">
        <v>480</v>
      </c>
      <c r="D194" s="673" t="s">
        <v>481</v>
      </c>
      <c r="E194" s="89"/>
      <c r="F194" s="1247" t="e">
        <f>F192/F193</f>
        <v>#DIV/0!</v>
      </c>
      <c r="G194" s="1247"/>
      <c r="H194" s="1247"/>
      <c r="I194" s="668"/>
      <c r="J194" s="674"/>
      <c r="K194" s="674"/>
      <c r="L194" s="674"/>
      <c r="M194" s="674"/>
      <c r="N194" s="674"/>
      <c r="O194" s="674"/>
      <c r="P194" s="89"/>
      <c r="Q194" s="740"/>
      <c r="R194" s="89"/>
      <c r="S194" s="1116"/>
      <c r="T194" s="1116"/>
      <c r="U194" s="1116"/>
    </row>
    <row r="195" spans="1:21" ht="15.75" hidden="1" customHeight="1" thickBot="1">
      <c r="A195" s="137"/>
      <c r="B195" s="315" t="s">
        <v>151</v>
      </c>
      <c r="C195" s="71"/>
      <c r="D195" s="71"/>
      <c r="E195" s="72"/>
      <c r="F195" s="72"/>
      <c r="G195" s="72"/>
      <c r="H195" s="70"/>
      <c r="I195" s="69"/>
      <c r="J195" s="68"/>
      <c r="K195" s="68"/>
      <c r="L195" s="68"/>
      <c r="M195" s="68"/>
      <c r="N195" s="68"/>
      <c r="O195" s="68"/>
      <c r="P195" s="69"/>
      <c r="Q195" s="253"/>
      <c r="R195" s="69"/>
      <c r="S195" s="72"/>
      <c r="T195" s="72"/>
      <c r="U195" s="70"/>
    </row>
    <row r="196" spans="1:21" ht="15.75" hidden="1" customHeight="1" thickBot="1">
      <c r="A196" s="137"/>
      <c r="B196" s="309" t="s">
        <v>151</v>
      </c>
      <c r="C196" s="208" t="s">
        <v>482</v>
      </c>
      <c r="D196" s="123"/>
      <c r="E196" s="71"/>
      <c r="F196" s="72"/>
      <c r="G196" s="72"/>
      <c r="H196" s="72"/>
      <c r="I196" s="72"/>
      <c r="J196" s="70"/>
      <c r="K196" s="70"/>
      <c r="L196" s="70"/>
      <c r="M196" s="70"/>
      <c r="N196" s="30"/>
      <c r="O196" s="30"/>
      <c r="P196" s="69"/>
      <c r="Q196" s="253"/>
      <c r="R196" s="69"/>
      <c r="S196" s="72"/>
      <c r="T196" s="72"/>
      <c r="U196" s="72"/>
    </row>
    <row r="197" spans="1:21" s="48" customFormat="1" ht="15" hidden="1" customHeight="1">
      <c r="A197" s="606"/>
      <c r="B197" s="337" t="s">
        <v>151</v>
      </c>
      <c r="C197" s="211" t="s">
        <v>483</v>
      </c>
      <c r="D197" s="101" t="s">
        <v>164</v>
      </c>
      <c r="E197" s="77"/>
      <c r="F197" s="488" t="s">
        <v>484</v>
      </c>
      <c r="G197" s="489"/>
      <c r="H197" s="489"/>
      <c r="I197" s="489"/>
      <c r="J197" s="489"/>
      <c r="K197" s="490"/>
      <c r="L197" s="490"/>
      <c r="M197" s="490"/>
      <c r="N197" s="490"/>
      <c r="O197" s="490"/>
      <c r="P197" s="77"/>
      <c r="Q197" s="242"/>
      <c r="R197" s="77"/>
      <c r="S197" s="488" t="s">
        <v>484</v>
      </c>
      <c r="T197" s="489"/>
      <c r="U197" s="489"/>
    </row>
    <row r="198" spans="1:21" s="205" customFormat="1" ht="18" hidden="1" customHeight="1">
      <c r="A198" s="401"/>
      <c r="B198" s="313" t="s">
        <v>151</v>
      </c>
      <c r="C198" s="54" t="s">
        <v>485</v>
      </c>
      <c r="D198" s="406" t="s">
        <v>486</v>
      </c>
      <c r="E198" s="402"/>
      <c r="F198" s="491" t="str">
        <f t="shared" ref="F198:O198" si="94">F37</f>
        <v>Eligible and Prioritized</v>
      </c>
      <c r="G198" s="491" t="str">
        <f t="shared" si="94"/>
        <v>Eligible and Prioritized</v>
      </c>
      <c r="H198" s="491" t="str">
        <f t="shared" si="94"/>
        <v>Eligible and Prioritized</v>
      </c>
      <c r="I198" s="491">
        <f t="shared" si="94"/>
        <v>0</v>
      </c>
      <c r="J198" s="491">
        <f t="shared" si="94"/>
        <v>0</v>
      </c>
      <c r="K198" s="491">
        <f t="shared" si="94"/>
        <v>0</v>
      </c>
      <c r="L198" s="491">
        <f t="shared" si="94"/>
        <v>0</v>
      </c>
      <c r="M198" s="491">
        <f t="shared" si="94"/>
        <v>0</v>
      </c>
      <c r="N198" s="491">
        <f t="shared" si="94"/>
        <v>0</v>
      </c>
      <c r="O198" s="491">
        <f t="shared" si="94"/>
        <v>0</v>
      </c>
      <c r="P198" s="402"/>
      <c r="Q198" s="275"/>
      <c r="R198" s="402"/>
      <c r="S198" s="491" t="str">
        <f>S37</f>
        <v>Eligible and Prioritized</v>
      </c>
      <c r="T198" s="491" t="str">
        <f>T37</f>
        <v>Eligible and Prioritized</v>
      </c>
      <c r="U198" s="491" t="str">
        <f>U37</f>
        <v>Eligible and Prioritized</v>
      </c>
    </row>
    <row r="199" spans="1:21" s="205" customFormat="1" ht="24" hidden="1">
      <c r="A199" s="401"/>
      <c r="B199" s="313" t="s">
        <v>151</v>
      </c>
      <c r="C199" s="54" t="s">
        <v>487</v>
      </c>
      <c r="D199" s="406" t="s">
        <v>488</v>
      </c>
      <c r="E199" s="402"/>
      <c r="F199" s="491" t="str">
        <f t="shared" ref="F199:O199" si="95">F41</f>
        <v>Scope 1+2 - Electrification</v>
      </c>
      <c r="G199" s="491" t="str">
        <f t="shared" si="95"/>
        <v>Scope 1+2 - Electrification</v>
      </c>
      <c r="H199" s="491" t="str">
        <f t="shared" si="95"/>
        <v>Scope 1+2 - Electrification</v>
      </c>
      <c r="I199" s="491">
        <f t="shared" si="95"/>
        <v>0</v>
      </c>
      <c r="J199" s="491">
        <f t="shared" si="95"/>
        <v>0</v>
      </c>
      <c r="K199" s="491">
        <f t="shared" si="95"/>
        <v>0</v>
      </c>
      <c r="L199" s="491">
        <f t="shared" si="95"/>
        <v>0</v>
      </c>
      <c r="M199" s="491">
        <f t="shared" si="95"/>
        <v>0</v>
      </c>
      <c r="N199" s="491">
        <f t="shared" si="95"/>
        <v>0</v>
      </c>
      <c r="O199" s="491">
        <f t="shared" si="95"/>
        <v>0</v>
      </c>
      <c r="P199" s="402"/>
      <c r="Q199" s="275"/>
      <c r="R199" s="402"/>
      <c r="S199" s="491" t="str">
        <f>S41</f>
        <v>Scope 1+2 - Electrification</v>
      </c>
      <c r="T199" s="491" t="str">
        <f>T41</f>
        <v>Scope 1+2 - Electrification</v>
      </c>
      <c r="U199" s="491" t="str">
        <f>U41</f>
        <v>Scope 1+2 - Electrification</v>
      </c>
    </row>
    <row r="200" spans="1:21" s="205" customFormat="1" ht="24" hidden="1" customHeight="1">
      <c r="A200" s="401"/>
      <c r="B200" s="313" t="s">
        <v>151</v>
      </c>
      <c r="C200" s="54" t="s">
        <v>489</v>
      </c>
      <c r="D200" s="406" t="s">
        <v>490</v>
      </c>
      <c r="E200" s="402"/>
      <c r="F200" s="492" t="str">
        <f t="shared" ref="F200:O200" si="96">IF(AND(ISNUMBER(SEARCH("rental",F58)),OR(F60="resident",F65="resident")),"Potential Issue","No Issue")</f>
        <v>No Issue</v>
      </c>
      <c r="G200" s="492" t="str">
        <f t="shared" si="96"/>
        <v>No Issue</v>
      </c>
      <c r="H200" s="492" t="str">
        <f t="shared" si="96"/>
        <v>No Issue</v>
      </c>
      <c r="I200" s="492" t="str">
        <f t="shared" si="96"/>
        <v>No Issue</v>
      </c>
      <c r="J200" s="492" t="str">
        <f t="shared" si="96"/>
        <v>No Issue</v>
      </c>
      <c r="K200" s="492" t="str">
        <f t="shared" si="96"/>
        <v>No Issue</v>
      </c>
      <c r="L200" s="492" t="str">
        <f t="shared" si="96"/>
        <v>No Issue</v>
      </c>
      <c r="M200" s="492" t="str">
        <f t="shared" si="96"/>
        <v>No Issue</v>
      </c>
      <c r="N200" s="492" t="str">
        <f t="shared" si="96"/>
        <v>No Issue</v>
      </c>
      <c r="O200" s="492" t="str">
        <f t="shared" si="96"/>
        <v>No Issue</v>
      </c>
      <c r="P200" s="402"/>
      <c r="Q200" s="275"/>
      <c r="R200" s="402"/>
      <c r="S200" s="492" t="str">
        <f>IF(AND(ISNUMBER(SEARCH("rental",S58)),OR(S60="resident",S65="resident")),"Potential Issue","No Issue")</f>
        <v>No Issue</v>
      </c>
      <c r="T200" s="492" t="str">
        <f>IF(AND(ISNUMBER(SEARCH("rental",T58)),OR(T60="resident",T65="resident")),"Potential Issue","No Issue")</f>
        <v>No Issue</v>
      </c>
      <c r="U200" s="492" t="str">
        <f>IF(AND(ISNUMBER(SEARCH("rental",U58)),OR(U60="resident",U65="resident")),"Potential Issue","No Issue")</f>
        <v>No Issue</v>
      </c>
    </row>
    <row r="201" spans="1:21" s="205" customFormat="1" ht="26.25" hidden="1" customHeight="1">
      <c r="A201" s="401"/>
      <c r="B201" s="389" t="s">
        <v>151</v>
      </c>
      <c r="C201" s="167" t="s">
        <v>491</v>
      </c>
      <c r="D201" s="562" t="s">
        <v>492</v>
      </c>
      <c r="E201" s="402"/>
      <c r="F201" s="493" t="e">
        <f t="shared" ref="F201:O201" si="97">F147</f>
        <v>#N/A</v>
      </c>
      <c r="G201" s="493" t="e">
        <f t="shared" si="97"/>
        <v>#N/A</v>
      </c>
      <c r="H201" s="493" t="e">
        <f t="shared" si="97"/>
        <v>#N/A</v>
      </c>
      <c r="I201" s="493" t="e">
        <f t="shared" si="97"/>
        <v>#N/A</v>
      </c>
      <c r="J201" s="493" t="e">
        <f t="shared" si="97"/>
        <v>#N/A</v>
      </c>
      <c r="K201" s="493" t="e">
        <f t="shared" si="97"/>
        <v>#N/A</v>
      </c>
      <c r="L201" s="493" t="e">
        <f t="shared" si="97"/>
        <v>#N/A</v>
      </c>
      <c r="M201" s="493" t="e">
        <f t="shared" si="97"/>
        <v>#N/A</v>
      </c>
      <c r="N201" s="493" t="e">
        <f t="shared" si="97"/>
        <v>#N/A</v>
      </c>
      <c r="O201" s="493" t="e">
        <f t="shared" si="97"/>
        <v>#N/A</v>
      </c>
      <c r="P201" s="402"/>
      <c r="Q201" s="275"/>
      <c r="R201" s="402"/>
      <c r="S201" s="493">
        <f>S147</f>
        <v>-0.20749134651474233</v>
      </c>
      <c r="T201" s="493">
        <f>T147</f>
        <v>0.42018036780159546</v>
      </c>
      <c r="U201" s="493">
        <f>U147</f>
        <v>0.35449058963217739</v>
      </c>
    </row>
    <row r="202" spans="1:21" s="205" customFormat="1" hidden="1">
      <c r="A202" s="401"/>
      <c r="B202" s="310" t="s">
        <v>151</v>
      </c>
      <c r="C202" s="54" t="s">
        <v>493</v>
      </c>
      <c r="D202" s="57" t="s">
        <v>494</v>
      </c>
      <c r="E202" s="402"/>
      <c r="F202" s="720" t="e">
        <f t="shared" ref="F202:O202" si="98">F179/F45</f>
        <v>#N/A</v>
      </c>
      <c r="G202" s="720" t="e">
        <f t="shared" si="98"/>
        <v>#N/A</v>
      </c>
      <c r="H202" s="720" t="e">
        <f t="shared" si="98"/>
        <v>#N/A</v>
      </c>
      <c r="I202" s="720" t="e">
        <f t="shared" si="98"/>
        <v>#N/A</v>
      </c>
      <c r="J202" s="720" t="e">
        <f t="shared" si="98"/>
        <v>#N/A</v>
      </c>
      <c r="K202" s="720" t="e">
        <f t="shared" si="98"/>
        <v>#N/A</v>
      </c>
      <c r="L202" s="720" t="e">
        <f t="shared" si="98"/>
        <v>#N/A</v>
      </c>
      <c r="M202" s="720" t="e">
        <f t="shared" si="98"/>
        <v>#N/A</v>
      </c>
      <c r="N202" s="720" t="e">
        <f t="shared" si="98"/>
        <v>#N/A</v>
      </c>
      <c r="O202" s="720" t="e">
        <f t="shared" si="98"/>
        <v>#N/A</v>
      </c>
      <c r="P202" s="402"/>
      <c r="Q202" s="275"/>
      <c r="R202" s="402"/>
      <c r="S202" s="720">
        <f>S179/S45</f>
        <v>43455.555555555555</v>
      </c>
      <c r="T202" s="720">
        <f>T179/T45</f>
        <v>35587.962962962964</v>
      </c>
      <c r="U202" s="720">
        <f>U179/U45</f>
        <v>72596.296296296292</v>
      </c>
    </row>
    <row r="203" spans="1:21" s="205" customFormat="1" ht="24" hidden="1">
      <c r="A203" s="563"/>
      <c r="B203" s="310" t="s">
        <v>151</v>
      </c>
      <c r="C203" s="54" t="s">
        <v>495</v>
      </c>
      <c r="D203" s="57" t="s">
        <v>496</v>
      </c>
      <c r="E203" s="402"/>
      <c r="F203" s="636" t="e">
        <f t="shared" ref="F203:O203" si="99">F182</f>
        <v>#N/A</v>
      </c>
      <c r="G203" s="636" t="e">
        <f t="shared" si="99"/>
        <v>#N/A</v>
      </c>
      <c r="H203" s="636" t="e">
        <f t="shared" si="99"/>
        <v>#N/A</v>
      </c>
      <c r="I203" s="636" t="e">
        <f t="shared" si="99"/>
        <v>#N/A</v>
      </c>
      <c r="J203" s="636" t="e">
        <f t="shared" si="99"/>
        <v>#N/A</v>
      </c>
      <c r="K203" s="636" t="e">
        <f t="shared" si="99"/>
        <v>#N/A</v>
      </c>
      <c r="L203" s="636" t="e">
        <f t="shared" si="99"/>
        <v>#N/A</v>
      </c>
      <c r="M203" s="636" t="e">
        <f t="shared" si="99"/>
        <v>#N/A</v>
      </c>
      <c r="N203" s="636" t="e">
        <f t="shared" si="99"/>
        <v>#N/A</v>
      </c>
      <c r="O203" s="636" t="e">
        <f t="shared" si="99"/>
        <v>#N/A</v>
      </c>
      <c r="P203" s="402"/>
      <c r="Q203" s="275"/>
      <c r="R203" s="402"/>
      <c r="S203" s="636">
        <f>S182</f>
        <v>21233.333333333332</v>
      </c>
      <c r="T203" s="636">
        <f>T182</f>
        <v>13365.740740740741</v>
      </c>
      <c r="U203" s="636">
        <f>U182</f>
        <v>50374.074074074073</v>
      </c>
    </row>
    <row r="204" spans="1:21" s="205" customFormat="1" ht="35.25" hidden="1" customHeight="1">
      <c r="A204" s="607" t="s">
        <v>497</v>
      </c>
      <c r="B204" s="310" t="s">
        <v>153</v>
      </c>
      <c r="C204" s="54" t="s">
        <v>498</v>
      </c>
      <c r="D204" s="57" t="s">
        <v>499</v>
      </c>
      <c r="E204" s="402"/>
      <c r="F204" s="1259" t="e">
        <f>F194</f>
        <v>#DIV/0!</v>
      </c>
      <c r="G204" s="1260"/>
      <c r="H204" s="1261"/>
      <c r="I204" s="492"/>
      <c r="J204" s="492"/>
      <c r="K204" s="492"/>
      <c r="L204" s="492"/>
      <c r="M204" s="492"/>
      <c r="N204" s="492"/>
      <c r="O204" s="492"/>
      <c r="P204" s="402"/>
      <c r="Q204" s="275"/>
      <c r="R204" s="402"/>
      <c r="S204" s="1124"/>
      <c r="T204" s="1125"/>
      <c r="U204" s="1126"/>
    </row>
    <row r="205" spans="1:21" s="205" customFormat="1" ht="43.5" hidden="1" customHeight="1">
      <c r="A205" s="401"/>
      <c r="B205" s="313" t="s">
        <v>151</v>
      </c>
      <c r="C205" s="721" t="s">
        <v>500</v>
      </c>
      <c r="D205" s="406" t="s">
        <v>501</v>
      </c>
      <c r="E205" s="402"/>
      <c r="F205" s="471" t="s">
        <v>502</v>
      </c>
      <c r="G205" s="471" t="s">
        <v>502</v>
      </c>
      <c r="H205" s="471" t="s">
        <v>502</v>
      </c>
      <c r="I205" s="471" t="s">
        <v>502</v>
      </c>
      <c r="J205" s="471" t="s">
        <v>502</v>
      </c>
      <c r="K205" s="471" t="s">
        <v>502</v>
      </c>
      <c r="L205" s="471" t="s">
        <v>502</v>
      </c>
      <c r="M205" s="471" t="s">
        <v>502</v>
      </c>
      <c r="N205" s="471" t="s">
        <v>503</v>
      </c>
      <c r="O205" s="471" t="s">
        <v>504</v>
      </c>
      <c r="P205" s="402"/>
      <c r="Q205" s="275"/>
      <c r="R205" s="402"/>
      <c r="S205" s="471" t="s">
        <v>502</v>
      </c>
      <c r="T205" s="471" t="s">
        <v>502</v>
      </c>
      <c r="U205" s="471" t="s">
        <v>502</v>
      </c>
    </row>
    <row r="206" spans="1:21" s="205" customFormat="1" ht="51" hidden="1" customHeight="1">
      <c r="A206" s="401"/>
      <c r="B206" s="901" t="s">
        <v>151</v>
      </c>
      <c r="C206" s="721" t="s">
        <v>505</v>
      </c>
      <c r="D206" s="913" t="s">
        <v>506</v>
      </c>
      <c r="E206" s="402"/>
      <c r="F206" s="677" t="s">
        <v>507</v>
      </c>
      <c r="G206" s="677" t="s">
        <v>507</v>
      </c>
      <c r="H206" s="677" t="s">
        <v>507</v>
      </c>
      <c r="I206" s="677" t="s">
        <v>507</v>
      </c>
      <c r="J206" s="677" t="s">
        <v>507</v>
      </c>
      <c r="K206" s="677" t="s">
        <v>507</v>
      </c>
      <c r="L206" s="677" t="s">
        <v>507</v>
      </c>
      <c r="M206" s="677" t="s">
        <v>507</v>
      </c>
      <c r="N206" s="677" t="s">
        <v>507</v>
      </c>
      <c r="O206" s="677" t="s">
        <v>507</v>
      </c>
      <c r="P206" s="402"/>
      <c r="Q206" s="275"/>
      <c r="R206" s="402"/>
      <c r="S206" s="677" t="s">
        <v>507</v>
      </c>
      <c r="T206" s="677" t="s">
        <v>507</v>
      </c>
      <c r="U206" s="677" t="s">
        <v>507</v>
      </c>
    </row>
    <row r="207" spans="1:21" s="205" customFormat="1" ht="18.75" hidden="1" customHeight="1">
      <c r="A207" s="401"/>
      <c r="B207" s="313" t="s">
        <v>151</v>
      </c>
      <c r="C207" s="84" t="s">
        <v>508</v>
      </c>
      <c r="D207" s="406" t="s">
        <v>509</v>
      </c>
      <c r="E207" s="402"/>
      <c r="F207" s="1254">
        <f>F185</f>
        <v>0</v>
      </c>
      <c r="G207" s="1254"/>
      <c r="H207" s="1254"/>
      <c r="I207" s="644"/>
      <c r="J207" s="644"/>
      <c r="K207" s="644"/>
      <c r="L207" s="644"/>
      <c r="M207" s="644"/>
      <c r="N207" s="644"/>
      <c r="O207" s="644"/>
      <c r="P207" s="402"/>
      <c r="Q207" s="275"/>
      <c r="R207" s="402"/>
      <c r="S207" s="884"/>
      <c r="T207" s="884"/>
      <c r="U207" s="884"/>
    </row>
    <row r="208" spans="1:21" s="205" customFormat="1" ht="18.75" hidden="1" customHeight="1">
      <c r="A208" s="401"/>
      <c r="B208" s="313" t="s">
        <v>151</v>
      </c>
      <c r="C208" s="84" t="s">
        <v>510</v>
      </c>
      <c r="D208" s="406" t="s">
        <v>511</v>
      </c>
      <c r="E208" s="402"/>
      <c r="F208" s="1272">
        <f>F188</f>
        <v>0</v>
      </c>
      <c r="G208" s="1272"/>
      <c r="H208" s="1272"/>
      <c r="I208" s="644"/>
      <c r="J208" s="644"/>
      <c r="K208" s="644"/>
      <c r="L208" s="644"/>
      <c r="M208" s="644"/>
      <c r="N208" s="644"/>
      <c r="O208" s="644"/>
      <c r="P208" s="402"/>
      <c r="Q208" s="275"/>
      <c r="R208" s="402"/>
      <c r="S208" s="884"/>
      <c r="T208" s="884"/>
      <c r="U208" s="884"/>
    </row>
    <row r="209" spans="1:24" s="205" customFormat="1" ht="16.899999999999999" hidden="1" customHeight="1">
      <c r="A209" s="401"/>
      <c r="B209" s="313" t="s">
        <v>151</v>
      </c>
      <c r="C209" s="84" t="s">
        <v>512</v>
      </c>
      <c r="D209" s="406" t="s">
        <v>513</v>
      </c>
      <c r="E209" s="402"/>
      <c r="F209" s="1255">
        <f>F192</f>
        <v>0</v>
      </c>
      <c r="G209" s="1255"/>
      <c r="H209" s="1255"/>
      <c r="I209" s="644"/>
      <c r="J209" s="644"/>
      <c r="K209" s="644"/>
      <c r="L209" s="644"/>
      <c r="M209" s="644"/>
      <c r="N209" s="644"/>
      <c r="O209" s="644"/>
      <c r="P209" s="402"/>
      <c r="Q209" s="275"/>
      <c r="R209" s="402"/>
      <c r="S209" s="1120"/>
      <c r="T209" s="1120"/>
      <c r="U209" s="1120"/>
    </row>
    <row r="210" spans="1:24" s="205" customFormat="1" ht="36.4" hidden="1" customHeight="1">
      <c r="A210" s="401"/>
      <c r="B210" s="313" t="s">
        <v>151</v>
      </c>
      <c r="C210" s="721" t="s">
        <v>514</v>
      </c>
      <c r="D210" s="406" t="s">
        <v>515</v>
      </c>
      <c r="E210" s="402"/>
      <c r="F210" s="471" t="s">
        <v>502</v>
      </c>
      <c r="G210" s="471" t="s">
        <v>502</v>
      </c>
      <c r="H210" s="471" t="s">
        <v>502</v>
      </c>
      <c r="I210" s="471" t="s">
        <v>502</v>
      </c>
      <c r="J210" s="471" t="s">
        <v>502</v>
      </c>
      <c r="K210" s="471" t="s">
        <v>502</v>
      </c>
      <c r="L210" s="471" t="s">
        <v>502</v>
      </c>
      <c r="M210" s="471" t="s">
        <v>502</v>
      </c>
      <c r="N210" s="471" t="s">
        <v>516</v>
      </c>
      <c r="O210" s="471" t="s">
        <v>517</v>
      </c>
      <c r="P210" s="402"/>
      <c r="Q210" s="275"/>
      <c r="R210" s="402"/>
      <c r="S210" s="471" t="s">
        <v>502</v>
      </c>
      <c r="T210" s="471" t="s">
        <v>502</v>
      </c>
      <c r="U210" s="471" t="s">
        <v>518</v>
      </c>
    </row>
    <row r="211" spans="1:24" s="205" customFormat="1" ht="28.5" hidden="1" customHeight="1" thickBot="1">
      <c r="A211" s="401"/>
      <c r="B211" s="313" t="s">
        <v>151</v>
      </c>
      <c r="C211" s="84" t="s">
        <v>519</v>
      </c>
      <c r="D211" s="406" t="s">
        <v>520</v>
      </c>
      <c r="E211" s="402"/>
      <c r="F211" s="1240" t="s">
        <v>521</v>
      </c>
      <c r="G211" s="1241"/>
      <c r="H211" s="1241"/>
      <c r="I211" s="1241"/>
      <c r="J211" s="1241"/>
      <c r="K211" s="1241"/>
      <c r="L211" s="1241"/>
      <c r="M211" s="1241"/>
      <c r="N211" s="1241"/>
      <c r="O211" s="1242"/>
      <c r="P211" s="402"/>
      <c r="Q211" s="275"/>
      <c r="R211" s="402"/>
      <c r="S211" s="1113"/>
      <c r="T211" s="1114"/>
      <c r="U211" s="1114"/>
    </row>
    <row r="212" spans="1:24" ht="36.4" hidden="1" customHeight="1" thickBot="1">
      <c r="A212" s="137"/>
      <c r="B212" s="315" t="s">
        <v>151</v>
      </c>
      <c r="C212" s="71"/>
      <c r="D212" s="71"/>
      <c r="E212" s="72"/>
      <c r="F212" s="72"/>
      <c r="G212" s="72"/>
      <c r="H212" s="70"/>
      <c r="I212" s="69"/>
      <c r="J212" s="68"/>
      <c r="K212" s="68"/>
      <c r="L212" s="68"/>
      <c r="M212" s="68"/>
      <c r="N212" s="68"/>
      <c r="O212" s="68"/>
      <c r="P212" s="69"/>
      <c r="Q212" s="253"/>
      <c r="R212" s="69"/>
      <c r="S212" s="72"/>
      <c r="T212" s="72"/>
      <c r="U212" s="70"/>
    </row>
    <row r="213" spans="1:24" ht="18.399999999999999" hidden="1" customHeight="1" thickBot="1">
      <c r="A213" s="137"/>
      <c r="B213" s="309" t="s">
        <v>151</v>
      </c>
      <c r="C213" s="208" t="s">
        <v>522</v>
      </c>
      <c r="D213" s="123"/>
      <c r="E213" s="72"/>
      <c r="F213" s="72"/>
      <c r="G213" s="72"/>
      <c r="H213" s="70"/>
      <c r="I213" s="69"/>
      <c r="J213" s="68"/>
      <c r="K213" s="68"/>
      <c r="L213" s="68"/>
      <c r="M213" s="68"/>
      <c r="N213" s="68"/>
      <c r="O213" s="68"/>
      <c r="P213" s="69"/>
      <c r="Q213" s="253"/>
      <c r="R213" s="69"/>
      <c r="S213" s="72"/>
      <c r="T213" s="72"/>
      <c r="U213" s="70"/>
    </row>
    <row r="214" spans="1:24" s="48" customFormat="1" ht="15.75" hidden="1">
      <c r="A214" s="152"/>
      <c r="B214" s="337" t="s">
        <v>151</v>
      </c>
      <c r="C214" s="211" t="s">
        <v>523</v>
      </c>
      <c r="D214" s="101" t="s">
        <v>164</v>
      </c>
      <c r="E214" s="77"/>
      <c r="F214" s="479" t="s">
        <v>524</v>
      </c>
      <c r="G214" s="426"/>
      <c r="H214" s="426"/>
      <c r="I214" s="426"/>
      <c r="J214" s="426"/>
      <c r="K214" s="426"/>
      <c r="L214" s="426"/>
      <c r="M214" s="426"/>
      <c r="N214" s="426"/>
      <c r="O214" s="426"/>
      <c r="P214" s="77"/>
      <c r="Q214" s="242" t="s">
        <v>430</v>
      </c>
      <c r="R214" s="77"/>
      <c r="S214" s="479" t="s">
        <v>524</v>
      </c>
      <c r="T214" s="426"/>
      <c r="U214" s="426"/>
    </row>
    <row r="215" spans="1:24" s="48" customFormat="1" ht="15.75" hidden="1">
      <c r="A215" s="602"/>
      <c r="B215" s="313" t="s">
        <v>151</v>
      </c>
      <c r="C215" s="381" t="s">
        <v>525</v>
      </c>
      <c r="D215" s="373" t="s">
        <v>526</v>
      </c>
      <c r="E215" s="612"/>
      <c r="F215" s="383" t="e" cm="1">
        <f t="array" ref="F215">-(F53*INDEX(Dropdowns_v2!$D$2:$D$205, MATCH(REDiTool!F$63, IF(Dropdowns_v2!$C$2:$C$205=REDiTool!$C$215,Dropdowns_v2!$B$2:$B$205,""),0)))</f>
        <v>#N/A</v>
      </c>
      <c r="G215" s="383" t="e" cm="1">
        <f t="array" ref="G215">-(G53*INDEX(Dropdowns_v2!$D$2:$D$205, MATCH(REDiTool!G$63, IF(Dropdowns_v2!$C$2:$C$205=REDiTool!$C$215,Dropdowns_v2!$B$2:$B$205,""),0)))</f>
        <v>#N/A</v>
      </c>
      <c r="H215" s="383" t="e" cm="1">
        <f t="array" ref="H215">-(H53*INDEX(Dropdowns_v2!$D$2:$D$205, MATCH(REDiTool!H$63, IF(Dropdowns_v2!$C$2:$C$205=REDiTool!$C$215,Dropdowns_v2!$B$2:$B$205,""),0)))</f>
        <v>#N/A</v>
      </c>
      <c r="I215" s="383" t="e" cm="1">
        <f t="array" ref="I215">-(I53*INDEX(Dropdowns_v2!$D$2:$D$205, MATCH(REDiTool!I$63, IF(Dropdowns_v2!$C$2:$C$205=REDiTool!$C$215,Dropdowns_v2!$B$2:$B$205,""),0)))</f>
        <v>#N/A</v>
      </c>
      <c r="J215" s="383" t="e" cm="1">
        <f t="array" ref="J215">-(J53*INDEX(Dropdowns_v2!$D$2:$D$205, MATCH(REDiTool!J$63, IF(Dropdowns_v2!$C$2:$C$205=REDiTool!$C$215,Dropdowns_v2!$B$2:$B$205,""),0)))</f>
        <v>#N/A</v>
      </c>
      <c r="K215" s="383" t="e" cm="1">
        <f t="array" ref="K215">-(K53*INDEX(Dropdowns_v2!$D$2:$D$205, MATCH(REDiTool!K$63, IF(Dropdowns_v2!$C$2:$C$205=REDiTool!$C$215,Dropdowns_v2!$B$2:$B$205,""),0)))</f>
        <v>#N/A</v>
      </c>
      <c r="L215" s="383" t="e" cm="1">
        <f t="array" ref="L215">-(L53*INDEX(Dropdowns_v2!$D$2:$D$205, MATCH(REDiTool!L$63, IF(Dropdowns_v2!$C$2:$C$205=REDiTool!$C$215,Dropdowns_v2!$B$2:$B$205,""),0)))</f>
        <v>#N/A</v>
      </c>
      <c r="M215" s="383" t="e" cm="1">
        <f t="array" ref="M215">-(M53*INDEX(Dropdowns_v2!$D$2:$D$205, MATCH(REDiTool!M$63, IF(Dropdowns_v2!$C$2:$C$205=REDiTool!$C$215,Dropdowns_v2!$B$2:$B$205,""),0)))</f>
        <v>#N/A</v>
      </c>
      <c r="N215" s="383" t="e" cm="1">
        <f t="array" ref="N215">-(N53*INDEX(Dropdowns_v2!$D$2:$D$205, MATCH(REDiTool!N$63, IF(Dropdowns_v2!$C$2:$C$205=REDiTool!$C$215,Dropdowns_v2!$B$2:$B$205,""),0)))</f>
        <v>#N/A</v>
      </c>
      <c r="O215" s="383" t="e" cm="1">
        <f t="array" ref="O215">-(O53*INDEX(Dropdowns_v2!$D$2:$D$205, MATCH(REDiTool!O$63, IF(Dropdowns_v2!$C$2:$C$205=REDiTool!$C$215,Dropdowns_v2!$B$2:$B$205,""),0)))</f>
        <v>#N/A</v>
      </c>
      <c r="P215" s="612"/>
      <c r="Q215" s="738"/>
      <c r="R215" s="612"/>
      <c r="S215" s="383" cm="1">
        <f t="array" ref="S215">-(S53*INDEX(Dropdowns_v2!$D$2:$D$205, MATCH(REDiTool!S$63, IF(Dropdowns_v2!$C$2:$C$205=REDiTool!$C$215,Dropdowns_v2!$B$2:$B$205,""),0)))</f>
        <v>-583000</v>
      </c>
      <c r="T215" s="383" cm="1">
        <f t="array" ref="T215">-(T53*INDEX(Dropdowns_v2!$D$2:$D$205, MATCH(REDiTool!T$63, IF(Dropdowns_v2!$C$2:$C$205=REDiTool!$C$215,Dropdowns_v2!$B$2:$B$205,""),0)))</f>
        <v>-583000</v>
      </c>
      <c r="U215" s="383" cm="1">
        <f t="array" ref="U215">-(U53*INDEX(Dropdowns_v2!$D$2:$D$205, MATCH(REDiTool!U$63, IF(Dropdowns_v2!$C$2:$C$205=REDiTool!$C$215,Dropdowns_v2!$B$2:$B$205,""),0)))</f>
        <v>-583000</v>
      </c>
      <c r="V215" s="375"/>
      <c r="W215" s="33"/>
      <c r="X215" s="33"/>
    </row>
    <row r="216" spans="1:24" ht="23.25" hidden="1" customHeight="1">
      <c r="A216" s="374"/>
      <c r="B216" s="313" t="s">
        <v>151</v>
      </c>
      <c r="C216" s="381" t="s">
        <v>527</v>
      </c>
      <c r="D216" s="935" t="s">
        <v>528</v>
      </c>
      <c r="E216" s="612"/>
      <c r="F216" s="383">
        <f>-(F53*IF(OR(ISNUMBER(SEARCH("Hydronic", F27)), ISNUMBER(SEARCH("Electric", F27))), Dropdowns_v2!$D$44, Dropdowns_v2!$D$42))</f>
        <v>0</v>
      </c>
      <c r="G216" s="383">
        <f>-(G53*IF(OR(ISNUMBER(SEARCH("Hydronic", G27)), ISNUMBER(SEARCH("Electric", G27))), Dropdowns_v2!$D$44, Dropdowns_v2!$D$42))</f>
        <v>0</v>
      </c>
      <c r="H216" s="383">
        <f>-(H53*IF(OR(ISNUMBER(SEARCH("Hydronic", H27)), ISNUMBER(SEARCH("Electric", H27))), Dropdowns_v2!$D$44, Dropdowns_v2!$D$42))</f>
        <v>0</v>
      </c>
      <c r="I216" s="383">
        <f>-(I53*IF(OR(ISNUMBER(SEARCH("Hydronic", I27)), ISNUMBER(SEARCH("Electric", I27))), Dropdowns_v2!$D$44, Dropdowns_v2!$D$42))</f>
        <v>0</v>
      </c>
      <c r="J216" s="383">
        <f>-(J53*IF(OR(ISNUMBER(SEARCH("Hydronic", J27)), ISNUMBER(SEARCH("Electric", J27))), Dropdowns_v2!$D$44, Dropdowns_v2!$D$42))</f>
        <v>0</v>
      </c>
      <c r="K216" s="383">
        <f>-(K53*IF(OR(ISNUMBER(SEARCH("Hydronic", K27)), ISNUMBER(SEARCH("Electric", K27))), Dropdowns_v2!$D$44, Dropdowns_v2!$D$42))</f>
        <v>0</v>
      </c>
      <c r="L216" s="383">
        <f>-(L53*IF(OR(ISNUMBER(SEARCH("Hydronic", L27)), ISNUMBER(SEARCH("Electric", L27))), Dropdowns_v2!$D$44, Dropdowns_v2!$D$42))</f>
        <v>0</v>
      </c>
      <c r="M216" s="383">
        <f>-(M53*IF(OR(ISNUMBER(SEARCH("Hydronic", M27)), ISNUMBER(SEARCH("Electric", M27))), Dropdowns_v2!$D$44, Dropdowns_v2!$D$42))</f>
        <v>0</v>
      </c>
      <c r="N216" s="383">
        <f>-(N53*IF(OR(ISNUMBER(SEARCH("Hydronic", N27)), ISNUMBER(SEARCH("Electric", N27))), Dropdowns_v2!$D$44, Dropdowns_v2!$D$42))</f>
        <v>0</v>
      </c>
      <c r="O216" s="383">
        <f>-(O53*IF(OR(ISNUMBER(SEARCH("Hydronic", O27)), ISNUMBER(SEARCH("Electric", O27))), Dropdowns_v2!$D$44, Dropdowns_v2!$D$42))</f>
        <v>0</v>
      </c>
      <c r="P216" s="614"/>
      <c r="Q216" s="738"/>
      <c r="R216" s="614"/>
      <c r="S216" s="383">
        <f>-(S53*IF(OR(ISNUMBER(SEARCH("Hydronic", S27)), ISNUMBER(SEARCH("Electric", S27))), Dropdowns_v2!$D$44, Dropdowns_v2!$D$42))</f>
        <v>-1749000</v>
      </c>
      <c r="T216" s="383">
        <f>-(T53*IF(OR(ISNUMBER(SEARCH("Hydronic", T27)), ISNUMBER(SEARCH("Electric", T27))), Dropdowns_v2!$D$44, Dropdowns_v2!$D$42))</f>
        <v>-1749000</v>
      </c>
      <c r="U216" s="383">
        <f>-(U53*IF(OR(ISNUMBER(SEARCH("Hydronic", U27)), ISNUMBER(SEARCH("Electric", U27))), Dropdowns_v2!$D$44, Dropdowns_v2!$D$42))</f>
        <v>-1749000</v>
      </c>
      <c r="V216" s="375"/>
    </row>
    <row r="217" spans="1:24" ht="15" hidden="1" customHeight="1">
      <c r="A217" s="376"/>
      <c r="B217" s="313" t="s">
        <v>151</v>
      </c>
      <c r="C217" s="381" t="s">
        <v>529</v>
      </c>
      <c r="D217" s="384" t="s">
        <v>530</v>
      </c>
      <c r="E217" s="612"/>
      <c r="F217" s="383">
        <f>-(F53*IF(ISNUMBER(SEARCH("oil",F25)),Dropdowns_v2!$D29,0))</f>
        <v>0</v>
      </c>
      <c r="G217" s="383">
        <f>-(G53*IF(ISNUMBER(SEARCH("oil",G25)),Dropdowns_v2!$D29,0))</f>
        <v>0</v>
      </c>
      <c r="H217" s="383">
        <f>-(H53*IF(ISNUMBER(SEARCH("oil",H25)),Dropdowns_v2!$D29,0))</f>
        <v>0</v>
      </c>
      <c r="I217" s="383">
        <f>-(I53*IF(ISNUMBER(SEARCH("oil",I25)),Dropdowns_v2!$D29,0))</f>
        <v>0</v>
      </c>
      <c r="J217" s="383">
        <f>-(J53*IF(ISNUMBER(SEARCH("oil",J25)),Dropdowns_v2!$D29,0))</f>
        <v>0</v>
      </c>
      <c r="K217" s="383">
        <f>-(K53*IF(ISNUMBER(SEARCH("oil",K25)),Dropdowns_v2!$D29,0))</f>
        <v>0</v>
      </c>
      <c r="L217" s="383">
        <f>-(L53*IF(ISNUMBER(SEARCH("oil",L25)),Dropdowns_v2!$D29,0))</f>
        <v>0</v>
      </c>
      <c r="M217" s="383">
        <f>-(M53*IF(ISNUMBER(SEARCH("oil",M25)),Dropdowns_v2!$D29,0))</f>
        <v>0</v>
      </c>
      <c r="N217" s="383">
        <f>-(N53*IF(ISNUMBER(SEARCH("oil",N25)),Dropdowns_v2!$D29,0))</f>
        <v>0</v>
      </c>
      <c r="O217" s="383">
        <f>-(O53*IF(ISNUMBER(SEARCH("oil",O25)),Dropdowns_v2!$D29,0))</f>
        <v>0</v>
      </c>
      <c r="P217" s="614"/>
      <c r="Q217" s="738"/>
      <c r="R217" s="614"/>
      <c r="S217" s="383">
        <f>-(S53*IF(ISNUMBER(SEARCH("oil",S25)),Dropdowns_v2!$D29,0))</f>
        <v>0</v>
      </c>
      <c r="T217" s="383">
        <f>-(T53*IF(ISNUMBER(SEARCH("oil",T25)),Dropdowns_v2!$D29,0))</f>
        <v>0</v>
      </c>
      <c r="U217" s="383">
        <f>-(U53*IF(ISNUMBER(SEARCH("oil",U25)),Dropdowns_v2!$D29,0))</f>
        <v>0</v>
      </c>
      <c r="V217" s="375"/>
    </row>
    <row r="218" spans="1:24" hidden="1">
      <c r="A218" s="67" t="s">
        <v>531</v>
      </c>
      <c r="B218" s="313" t="s">
        <v>151</v>
      </c>
      <c r="C218" s="64" t="s">
        <v>532</v>
      </c>
      <c r="D218" s="384" t="s">
        <v>441</v>
      </c>
      <c r="E218" s="30"/>
      <c r="F218" s="383" t="e" cm="1">
        <f t="array" ref="F218">-(F53*INDEX(Dropdowns_v2!$D$2:$D$205, MATCH(REDiTool!F$72, IF(Dropdowns_v2!$C$2:$C$205=REDiTool!$C$218,Dropdowns_v2!$B$2:$B$205,""),0)))</f>
        <v>#N/A</v>
      </c>
      <c r="G218" s="383" t="e" cm="1">
        <f t="array" ref="G218">-(G56*INDEX(Dropdowns_v2!$D$2:$D$205, MATCH(REDiTool!G$72, IF(Dropdowns_v2!$C$2:$C$205=REDiTool!$C$218,Dropdowns_v2!$B$2:$B$205,""),0)))</f>
        <v>#N/A</v>
      </c>
      <c r="H218" s="383" t="e" cm="1">
        <f t="array" ref="H218">-(H56*INDEX(Dropdowns_v2!$D$2:$D$205, MATCH(REDiTool!H$72, IF(Dropdowns_v2!$C$2:$C$205=REDiTool!$C$218,Dropdowns_v2!$B$2:$B$205,""),0)))</f>
        <v>#N/A</v>
      </c>
      <c r="I218" s="383" t="e" cm="1">
        <f t="array" ref="I218">-(I56*INDEX(Dropdowns_v2!$D$2:$D$205, MATCH(REDiTool!I$72, IF(Dropdowns_v2!$C$2:$C$205=REDiTool!$C$218,Dropdowns_v2!$B$2:$B$205,""),0)))</f>
        <v>#N/A</v>
      </c>
      <c r="J218" s="383" t="e" cm="1">
        <f t="array" ref="J218">-(J56*INDEX(Dropdowns_v2!$D$2:$D$205, MATCH(REDiTool!J$72, IF(Dropdowns_v2!$C$2:$C$205=REDiTool!$C$218,Dropdowns_v2!$B$2:$B$205,""),0)))</f>
        <v>#N/A</v>
      </c>
      <c r="K218" s="383" t="e" cm="1">
        <f t="array" ref="K218">-(K56*INDEX(Dropdowns_v2!$D$2:$D$205, MATCH(REDiTool!K$72, IF(Dropdowns_v2!$C$2:$C$205=REDiTool!$C$218,Dropdowns_v2!$B$2:$B$205,""),0)))</f>
        <v>#N/A</v>
      </c>
      <c r="L218" s="383" t="e" cm="1">
        <f t="array" ref="L218">-(L56*INDEX(Dropdowns_v2!$D$2:$D$205, MATCH(REDiTool!L$72, IF(Dropdowns_v2!$C$2:$C$205=REDiTool!$C$218,Dropdowns_v2!$B$2:$B$205,""),0)))</f>
        <v>#N/A</v>
      </c>
      <c r="M218" s="383" t="e" cm="1">
        <f t="array" ref="M218">-(M56*INDEX(Dropdowns_v2!$D$2:$D$205, MATCH(REDiTool!M$72, IF(Dropdowns_v2!$C$2:$C$205=REDiTool!$C$218,Dropdowns_v2!$B$2:$B$205,""),0)))</f>
        <v>#N/A</v>
      </c>
      <c r="N218" s="383" t="e" cm="1">
        <f t="array" ref="N218">-(N56*INDEX(Dropdowns_v2!$D$2:$D$205, MATCH(REDiTool!N$72, IF(Dropdowns_v2!$C$2:$C$205=REDiTool!$C$218,Dropdowns_v2!$B$2:$B$205,""),0)))</f>
        <v>#N/A</v>
      </c>
      <c r="O218" s="383" t="e" cm="1">
        <f t="array" ref="O218">-(O56*INDEX(Dropdowns_v2!$D$2:$D$205, MATCH(REDiTool!O$72, IF(Dropdowns_v2!$C$2:$C$205=REDiTool!$C$218,Dropdowns_v2!$B$2:$B$205,""),0)))</f>
        <v>#N/A</v>
      </c>
      <c r="P218" s="30"/>
      <c r="Q218" s="738"/>
      <c r="R218" s="30"/>
      <c r="S218" s="383" cm="1">
        <f t="array" ref="S218">-(S53*INDEX(Dropdowns_v2!$D$2:$D$205, MATCH(REDiTool!S$72, IF(Dropdowns_v2!$C$2:$C$205=REDiTool!$C$218,Dropdowns_v2!$B$2:$B$205,""),0)))</f>
        <v>-145750</v>
      </c>
      <c r="T218" s="383" cm="1">
        <f t="array" ref="T218">-(T56*INDEX(Dropdowns_v2!$D$2:$D$205, MATCH(REDiTool!T$72, IF(Dropdowns_v2!$C$2:$C$205=REDiTool!$C$218,Dropdowns_v2!$B$2:$B$205,""),0)))</f>
        <v>0</v>
      </c>
      <c r="U218" s="383" cm="1">
        <f t="array" ref="U218">-(U56*INDEX(Dropdowns_v2!$D$2:$D$205, MATCH(REDiTool!U$72, IF(Dropdowns_v2!$C$2:$C$205=REDiTool!$C$218,Dropdowns_v2!$B$2:$B$205,""),0)))</f>
        <v>0</v>
      </c>
    </row>
    <row r="219" spans="1:24" ht="36.75" hidden="1">
      <c r="A219" s="377"/>
      <c r="B219" s="313" t="s">
        <v>151</v>
      </c>
      <c r="C219" s="381" t="s">
        <v>533</v>
      </c>
      <c r="D219" s="936" t="s">
        <v>534</v>
      </c>
      <c r="E219" s="612"/>
      <c r="F219" s="383">
        <f t="shared" ref="F219:O219" si="100">-(IF(F82="yes",((F171+F172)),0))</f>
        <v>0</v>
      </c>
      <c r="G219" s="383">
        <f t="shared" si="100"/>
        <v>0</v>
      </c>
      <c r="H219" s="383">
        <f t="shared" si="100"/>
        <v>0</v>
      </c>
      <c r="I219" s="383">
        <f t="shared" si="100"/>
        <v>0</v>
      </c>
      <c r="J219" s="383">
        <f t="shared" si="100"/>
        <v>0</v>
      </c>
      <c r="K219" s="383">
        <f t="shared" si="100"/>
        <v>0</v>
      </c>
      <c r="L219" s="383">
        <f t="shared" si="100"/>
        <v>0</v>
      </c>
      <c r="M219" s="383">
        <f t="shared" si="100"/>
        <v>0</v>
      </c>
      <c r="N219" s="383">
        <f t="shared" si="100"/>
        <v>0</v>
      </c>
      <c r="O219" s="383">
        <f t="shared" si="100"/>
        <v>0</v>
      </c>
      <c r="P219" s="614"/>
      <c r="Q219" s="738"/>
      <c r="R219" s="614"/>
      <c r="S219" s="383">
        <f>-(IF(S82="yes",((S171+S172)),0))</f>
        <v>0</v>
      </c>
      <c r="T219" s="383">
        <f>-(IF(T82="yes",((T171+T172)),0))</f>
        <v>0</v>
      </c>
      <c r="U219" s="383">
        <f>-(IF(U82="yes",((U171+U172)),0))</f>
        <v>0</v>
      </c>
    </row>
    <row r="220" spans="1:24" ht="15" hidden="1" customHeight="1">
      <c r="A220" s="595"/>
      <c r="B220" s="313" t="s">
        <v>151</v>
      </c>
      <c r="C220" s="381" t="s">
        <v>535</v>
      </c>
      <c r="D220" s="937" t="s">
        <v>536</v>
      </c>
      <c r="E220" s="612"/>
      <c r="F220" s="383">
        <f>-(F56*IF(ISNUMBER(SEARCH("coastal",F32)),Dropdowns_v2!$D162,0))</f>
        <v>0</v>
      </c>
      <c r="G220" s="383">
        <f>-(G56*IF(ISNUMBER(SEARCH("coastal",G32)),Dropdowns_v2!$D162,0))</f>
        <v>0</v>
      </c>
      <c r="H220" s="383">
        <f>-(H56*IF(ISNUMBER(SEARCH("coastal",H32)),Dropdowns_v2!$D162,0))</f>
        <v>0</v>
      </c>
      <c r="I220" s="383">
        <f>-(I56*IF(ISNUMBER(SEARCH("coastal",I32)),Dropdowns_v2!$D162,0))</f>
        <v>0</v>
      </c>
      <c r="J220" s="383">
        <f>-(J56*IF(ISNUMBER(SEARCH("coastal",J32)),Dropdowns_v2!$D162,0))</f>
        <v>0</v>
      </c>
      <c r="K220" s="383">
        <f>-(K56*IF(ISNUMBER(SEARCH("coastal",K32)),Dropdowns_v2!$D162,0))</f>
        <v>0</v>
      </c>
      <c r="L220" s="383">
        <f>-(L56*IF(ISNUMBER(SEARCH("coastal",L32)),Dropdowns_v2!$D162,0))</f>
        <v>0</v>
      </c>
      <c r="M220" s="383">
        <f>-(M56*IF(ISNUMBER(SEARCH("coastal",M32)),Dropdowns_v2!$D162,0))</f>
        <v>0</v>
      </c>
      <c r="N220" s="383">
        <f>-(N56*IF(ISNUMBER(SEARCH("coastal",N32)),Dropdowns_v2!$D162,0))</f>
        <v>0</v>
      </c>
      <c r="O220" s="383">
        <f>-(O56*IF(ISNUMBER(SEARCH("coastal",O32)),Dropdowns_v2!$D162,0))</f>
        <v>0</v>
      </c>
      <c r="P220" s="614"/>
      <c r="Q220" s="738"/>
      <c r="R220" s="614"/>
      <c r="S220" s="383">
        <f>-(S56*IF(ISNUMBER(SEARCH("coastal",S32)),Dropdowns_v2!$D162,0))</f>
        <v>-145750</v>
      </c>
      <c r="T220" s="383">
        <f>-(T56*IF(ISNUMBER(SEARCH("coastal",T32)),Dropdowns_v2!$D162,0))</f>
        <v>-145750</v>
      </c>
      <c r="U220" s="383">
        <f>-(U56*IF(ISNUMBER(SEARCH("coastal",U32)),Dropdowns_v2!$D162,0))</f>
        <v>-145750</v>
      </c>
    </row>
    <row r="221" spans="1:24" ht="18" hidden="1" customHeight="1">
      <c r="A221" s="374"/>
      <c r="B221" s="313" t="s">
        <v>151</v>
      </c>
      <c r="C221" s="381" t="s">
        <v>537</v>
      </c>
      <c r="D221" s="373" t="s">
        <v>538</v>
      </c>
      <c r="E221" s="612"/>
      <c r="F221" s="383" t="e" cm="1">
        <f t="array" ref="F221">-(F53*INDEX(Dropdowns_v2!$D$2:$D$205, MATCH(REDiTool!F$68, IF(Dropdowns_v2!$C$2:$C$205=REDiTool!$C$221,Dropdowns_v2!$B$2:$B$205,""),0)))</f>
        <v>#N/A</v>
      </c>
      <c r="G221" s="383" t="e" cm="1">
        <f t="array" ref="G221">-(G53*INDEX(Dropdowns_v2!$D$2:$D$205, MATCH(REDiTool!G$68, IF(Dropdowns_v2!$C$2:$C$205=REDiTool!$C$221,Dropdowns_v2!$B$2:$B$205,""),0)))</f>
        <v>#N/A</v>
      </c>
      <c r="H221" s="383" t="e" cm="1">
        <f t="array" ref="H221">-(H53*INDEX(Dropdowns_v2!$D$2:$D$205, MATCH(REDiTool!H$68, IF(Dropdowns_v2!$C$2:$C$205=REDiTool!$C$221,Dropdowns_v2!$B$2:$B$205,""),0)))</f>
        <v>#N/A</v>
      </c>
      <c r="I221" s="383" t="e" cm="1">
        <f t="array" ref="I221">-(I53*INDEX(Dropdowns_v2!$D$2:$D$205, MATCH(REDiTool!I$68, IF(Dropdowns_v2!$C$2:$C$205=REDiTool!$C$221,Dropdowns_v2!$B$2:$B$205,""),0)))</f>
        <v>#N/A</v>
      </c>
      <c r="J221" s="383" t="e" cm="1">
        <f t="array" ref="J221">-(J53*INDEX(Dropdowns_v2!$D$2:$D$205, MATCH(REDiTool!J$68, IF(Dropdowns_v2!$C$2:$C$205=REDiTool!$C$221,Dropdowns_v2!$B$2:$B$205,""),0)))</f>
        <v>#N/A</v>
      </c>
      <c r="K221" s="383" t="e" cm="1">
        <f t="array" ref="K221">-(K53*INDEX(Dropdowns_v2!$D$2:$D$205, MATCH(REDiTool!K$68, IF(Dropdowns_v2!$C$2:$C$205=REDiTool!$C$221,Dropdowns_v2!$B$2:$B$205,""),0)))</f>
        <v>#N/A</v>
      </c>
      <c r="L221" s="383" t="e" cm="1">
        <f t="array" ref="L221">-(L56*INDEX(Dropdowns_v2!$D$2:$D$205, MATCH(REDiTool!L$68, IF(Dropdowns_v2!$C$2:$C$205=REDiTool!$C$221,Dropdowns_v2!$B$2:$B$205,""),0)))</f>
        <v>#N/A</v>
      </c>
      <c r="M221" s="383" t="e" cm="1">
        <f t="array" ref="M221">-(M53*INDEX(Dropdowns_v2!$D$2:$D$205, MATCH(REDiTool!M$68, IF(Dropdowns_v2!$C$2:$C$205=REDiTool!$C$221,Dropdowns_v2!$B$2:$B$205,""),0)))</f>
        <v>#N/A</v>
      </c>
      <c r="N221" s="383" t="e" cm="1">
        <f t="array" ref="N221">-(N53*INDEX(Dropdowns_v2!$D$2:$D$205, MATCH(REDiTool!N$68, IF(Dropdowns_v2!$C$2:$C$205=REDiTool!$C$221,Dropdowns_v2!$B$2:$B$205,""),0)))</f>
        <v>#N/A</v>
      </c>
      <c r="O221" s="383" t="e" cm="1">
        <f t="array" ref="O221">-(O53*INDEX(Dropdowns_v2!$D$2:$D$205, MATCH(REDiTool!O$68, IF(Dropdowns_v2!$C$2:$C$205=REDiTool!$C$221,Dropdowns_v2!$B$2:$B$205,""),0)))</f>
        <v>#N/A</v>
      </c>
      <c r="P221" s="614"/>
      <c r="Q221" s="738"/>
      <c r="R221" s="614"/>
      <c r="S221" s="383" cm="1">
        <f t="array" ref="S221">-(S53*INDEX(Dropdowns_v2!$D$2:$D$205, MATCH(REDiTool!S$68, IF(Dropdowns_v2!$C$2:$C$205=REDiTool!$C$221,Dropdowns_v2!$B$2:$B$205,""),0)))</f>
        <v>0</v>
      </c>
      <c r="T221" s="383" cm="1">
        <f t="array" ref="T221">-(T53*INDEX(Dropdowns_v2!$D$2:$D$205, MATCH(REDiTool!T$68, IF(Dropdowns_v2!$C$2:$C$205=REDiTool!$C$221,Dropdowns_v2!$B$2:$B$205,""),0)))</f>
        <v>0</v>
      </c>
      <c r="U221" s="383" cm="1">
        <f t="array" ref="U221">-(U53*INDEX(Dropdowns_v2!$D$2:$D$205, MATCH(REDiTool!U$68, IF(Dropdowns_v2!$C$2:$C$205=REDiTool!$C$221,Dropdowns_v2!$B$2:$B$205,""),0)))</f>
        <v>0</v>
      </c>
    </row>
    <row r="222" spans="1:24" hidden="1">
      <c r="A222" s="376"/>
      <c r="B222" s="313" t="s">
        <v>151</v>
      </c>
      <c r="C222" s="381" t="s">
        <v>539</v>
      </c>
      <c r="D222" s="373" t="s">
        <v>540</v>
      </c>
      <c r="E222" s="612"/>
      <c r="F222" s="383" t="e" cm="1">
        <f t="array" ref="F222">-(F53*INDEX(Dropdowns_v2!$D$2:$D$205, MATCH(REDiTool!F$69, IF(Dropdowns_v2!$C$2:$C$205=REDiTool!$C$222,Dropdowns_v2!$B$2:$B$205,""),0)))</f>
        <v>#N/A</v>
      </c>
      <c r="G222" s="383" t="e" cm="1">
        <f t="array" ref="G222">-(G53*INDEX(Dropdowns_v2!$D$2:$D$205, MATCH(REDiTool!G$69, IF(Dropdowns_v2!$C$2:$C$205=REDiTool!$C$222,Dropdowns_v2!$B$2:$B$205,""),0)))</f>
        <v>#N/A</v>
      </c>
      <c r="H222" s="383" t="e" cm="1">
        <f t="array" ref="H222">-(H53*INDEX(Dropdowns_v2!$D$2:$D$205, MATCH(REDiTool!H$69, IF(Dropdowns_v2!$C$2:$C$205=REDiTool!$C$222,Dropdowns_v2!$B$2:$B$205,""),0)))</f>
        <v>#N/A</v>
      </c>
      <c r="I222" s="383" t="e" cm="1">
        <f t="array" ref="I222">-(I53*INDEX(Dropdowns_v2!$D$2:$D$205, MATCH(REDiTool!I$69, IF(Dropdowns_v2!$C$2:$C$205=REDiTool!$C$222,Dropdowns_v2!$B$2:$B$205,""),0)))</f>
        <v>#N/A</v>
      </c>
      <c r="J222" s="383" t="e" cm="1">
        <f t="array" ref="J222">-(J53*INDEX(Dropdowns_v2!$D$2:$D$205, MATCH(REDiTool!J$69, IF(Dropdowns_v2!$C$2:$C$205=REDiTool!$C$222,Dropdowns_v2!$B$2:$B$205,""),0)))</f>
        <v>#N/A</v>
      </c>
      <c r="K222" s="383" t="e" cm="1">
        <f t="array" ref="K222">-(K53*INDEX(Dropdowns_v2!$D$2:$D$205, MATCH(REDiTool!K$69, IF(Dropdowns_v2!$C$2:$C$205=REDiTool!$C$222,Dropdowns_v2!$B$2:$B$205,""),0)))</f>
        <v>#N/A</v>
      </c>
      <c r="L222" s="383" t="e" cm="1">
        <f t="array" ref="L222">-(L56*INDEX(Dropdowns_v2!$D$2:$D$205, MATCH(REDiTool!L$69, IF(Dropdowns_v2!$C$2:$C$205=REDiTool!$C$222,Dropdowns_v2!$B$2:$B$205,""),0)))</f>
        <v>#N/A</v>
      </c>
      <c r="M222" s="383" t="e" cm="1">
        <f t="array" ref="M222">-(M53*INDEX(Dropdowns_v2!$D$2:$D$205, MATCH(REDiTool!M$69, IF(Dropdowns_v2!$C$2:$C$205=REDiTool!$C$222,Dropdowns_v2!$B$2:$B$205,""),0)))</f>
        <v>#N/A</v>
      </c>
      <c r="N222" s="383" t="e" cm="1">
        <f t="array" ref="N222">-(N53*INDEX(Dropdowns_v2!$D$2:$D$205, MATCH(REDiTool!N$69, IF(Dropdowns_v2!$C$2:$C$205=REDiTool!$C$222,Dropdowns_v2!$B$2:$B$205,""),0)))</f>
        <v>#N/A</v>
      </c>
      <c r="O222" s="383" t="e" cm="1">
        <f t="array" ref="O222">-(O53*INDEX(Dropdowns_v2!$D$2:$D$205, MATCH(REDiTool!O$69, IF(Dropdowns_v2!$C$2:$C$205=REDiTool!$C$222,Dropdowns_v2!$B$2:$B$205,""),0)))</f>
        <v>#N/A</v>
      </c>
      <c r="P222" s="614"/>
      <c r="Q222" s="738"/>
      <c r="R222" s="614"/>
      <c r="S222" s="383" cm="1">
        <f t="array" ref="S222">-(S53*INDEX(Dropdowns_v2!$D$2:$D$205, MATCH(REDiTool!S$69, IF(Dropdowns_v2!$C$2:$C$205=REDiTool!$C$222,Dropdowns_v2!$B$2:$B$205,""),0)))</f>
        <v>-874500</v>
      </c>
      <c r="T222" s="383" cm="1">
        <f t="array" ref="T222">-(T53*INDEX(Dropdowns_v2!$D$2:$D$205, MATCH(REDiTool!T$69, IF(Dropdowns_v2!$C$2:$C$205=REDiTool!$C$222,Dropdowns_v2!$B$2:$B$205,""),0)))</f>
        <v>-874500</v>
      </c>
      <c r="U222" s="383" cm="1">
        <f t="array" ref="U222">-(U53*INDEX(Dropdowns_v2!$D$2:$D$205, MATCH(REDiTool!U$69, IF(Dropdowns_v2!$C$2:$C$205=REDiTool!$C$222,Dropdowns_v2!$B$2:$B$205,""),0)))</f>
        <v>-874500</v>
      </c>
    </row>
    <row r="223" spans="1:24" ht="14.25" hidden="1" customHeight="1">
      <c r="A223" s="376"/>
      <c r="B223" s="313" t="s">
        <v>151</v>
      </c>
      <c r="C223" s="381" t="s">
        <v>541</v>
      </c>
      <c r="D223" s="373" t="s">
        <v>542</v>
      </c>
      <c r="E223" s="612"/>
      <c r="F223" s="383" t="e" cm="1">
        <f t="array" ref="F223">-(F56*INDEX(Dropdowns_v2!$D$2:$D$205, MATCH(REDiTool!F$70, IF(Dropdowns_v2!$C$2:$C$205=REDiTool!$C$223,Dropdowns_v2!$B$2:$B$205,""),0)))</f>
        <v>#N/A</v>
      </c>
      <c r="G223" s="383" t="e" cm="1">
        <f t="array" ref="G223">-(G56*INDEX(Dropdowns_v2!$D$2:$D$205, MATCH(REDiTool!G$70, IF(Dropdowns_v2!$C$2:$C$205=REDiTool!$C$223,Dropdowns_v2!$B$2:$B$205,""),0)))</f>
        <v>#N/A</v>
      </c>
      <c r="H223" s="383" t="e" cm="1">
        <f t="array" ref="H223">-(H56*INDEX(Dropdowns_v2!$D$2:$D$205, MATCH(REDiTool!H$70, IF(Dropdowns_v2!$C$2:$C$205=REDiTool!$C$223,Dropdowns_v2!$B$2:$B$205,""),0)))</f>
        <v>#N/A</v>
      </c>
      <c r="I223" s="383" t="e" cm="1">
        <f t="array" ref="I223">-(I56*INDEX(Dropdowns_v2!$D$2:$D$205, MATCH(REDiTool!I$70, IF(Dropdowns_v2!$C$2:$C$205=REDiTool!$C$223,Dropdowns_v2!$B$2:$B$205,""),0)))</f>
        <v>#N/A</v>
      </c>
      <c r="J223" s="383" t="e" cm="1">
        <f t="array" ref="J223">-(J56*INDEX(Dropdowns_v2!$D$2:$D$205, MATCH(REDiTool!J$70, IF(Dropdowns_v2!$C$2:$C$205=REDiTool!$C$223,Dropdowns_v2!$B$2:$B$205,""),0)))</f>
        <v>#N/A</v>
      </c>
      <c r="K223" s="383" t="e" cm="1">
        <f t="array" ref="K223">-(K56*INDEX(Dropdowns_v2!$D$2:$D$205, MATCH(REDiTool!K$70, IF(Dropdowns_v2!$C$2:$C$205=REDiTool!$C$223,Dropdowns_v2!$B$2:$B$205,""),0)))</f>
        <v>#N/A</v>
      </c>
      <c r="L223" s="383" t="e" cm="1">
        <f t="array" ref="L223">-(L56*INDEX(Dropdowns_v2!$D$2:$D$205, MATCH(REDiTool!L$70, IF(Dropdowns_v2!$C$2:$C$205=REDiTool!$C$223,Dropdowns_v2!$B$2:$B$205,""),0)))</f>
        <v>#N/A</v>
      </c>
      <c r="M223" s="383" t="e" cm="1">
        <f t="array" ref="M223">-(M56*INDEX(Dropdowns_v2!$D$2:$D$205, MATCH(REDiTool!M$70, IF(Dropdowns_v2!$C$2:$C$205=REDiTool!$C$223,Dropdowns_v2!$B$2:$B$205,""),0)))</f>
        <v>#N/A</v>
      </c>
      <c r="N223" s="383" t="e" cm="1">
        <f t="array" ref="N223">-(N56*INDEX(Dropdowns_v2!$D$2:$D$205, MATCH(REDiTool!N$70, IF(Dropdowns_v2!$C$2:$C$205=REDiTool!$C$223,Dropdowns_v2!$B$2:$B$205,""),0)))</f>
        <v>#N/A</v>
      </c>
      <c r="O223" s="383" t="e" cm="1">
        <f t="array" ref="O223">-(O56*INDEX(Dropdowns_v2!$D$2:$D$205, MATCH(REDiTool!O$70, IF(Dropdowns_v2!$C$2:$C$205=REDiTool!$C$223,Dropdowns_v2!$B$2:$B$205,""),0)))</f>
        <v>#N/A</v>
      </c>
      <c r="P223" s="614"/>
      <c r="Q223" s="738"/>
      <c r="R223" s="614"/>
      <c r="S223" s="383" cm="1">
        <f t="array" ref="S223">-(S56*INDEX(Dropdowns_v2!$D$2:$D$205, MATCH(REDiTool!S$70, IF(Dropdowns_v2!$C$2:$C$205=REDiTool!$C$223,Dropdowns_v2!$B$2:$B$205,""),0)))</f>
        <v>-1457500</v>
      </c>
      <c r="T223" s="383" cm="1">
        <f t="array" ref="T223">-(T56*INDEX(Dropdowns_v2!$D$2:$D$205, MATCH(REDiTool!T$70, IF(Dropdowns_v2!$C$2:$C$205=REDiTool!$C$223,Dropdowns_v2!$B$2:$B$205,""),0)))</f>
        <v>-1457500</v>
      </c>
      <c r="U223" s="383" cm="1">
        <f t="array" ref="U223">-(U56*INDEX(Dropdowns_v2!$D$2:$D$205, MATCH(REDiTool!U$70, IF(Dropdowns_v2!$C$2:$C$205=REDiTool!$C$223,Dropdowns_v2!$B$2:$B$205,""),0)))</f>
        <v>-1457500</v>
      </c>
    </row>
    <row r="224" spans="1:24" ht="14.25" hidden="1" customHeight="1">
      <c r="A224" s="376"/>
      <c r="B224" s="313" t="s">
        <v>151</v>
      </c>
      <c r="C224" s="381" t="s">
        <v>543</v>
      </c>
      <c r="D224" s="373" t="s">
        <v>542</v>
      </c>
      <c r="E224" s="612"/>
      <c r="F224" s="383">
        <v>0</v>
      </c>
      <c r="G224" s="383">
        <v>0</v>
      </c>
      <c r="H224" s="383">
        <v>0</v>
      </c>
      <c r="I224" s="383">
        <v>0</v>
      </c>
      <c r="J224" s="383">
        <v>0</v>
      </c>
      <c r="K224" s="383">
        <v>0</v>
      </c>
      <c r="L224" s="383">
        <v>0</v>
      </c>
      <c r="M224" s="383">
        <v>0</v>
      </c>
      <c r="N224" s="383">
        <v>0</v>
      </c>
      <c r="O224" s="383">
        <v>0</v>
      </c>
      <c r="P224" s="614"/>
      <c r="Q224" s="738"/>
      <c r="R224" s="614"/>
      <c r="S224" s="383">
        <v>0</v>
      </c>
      <c r="T224" s="383">
        <v>0</v>
      </c>
      <c r="U224" s="383">
        <v>0</v>
      </c>
    </row>
    <row r="225" spans="1:21" ht="37.9" hidden="1" customHeight="1" thickBot="1">
      <c r="A225" s="376"/>
      <c r="B225" s="445" t="s">
        <v>151</v>
      </c>
      <c r="C225" s="446" t="s">
        <v>544</v>
      </c>
      <c r="D225" s="678" t="s">
        <v>545</v>
      </c>
      <c r="E225" s="612"/>
      <c r="F225" s="510"/>
      <c r="G225" s="510"/>
      <c r="H225" s="510"/>
      <c r="I225" s="510"/>
      <c r="J225" s="510"/>
      <c r="K225" s="510"/>
      <c r="L225" s="510"/>
      <c r="M225" s="510"/>
      <c r="N225" s="510"/>
      <c r="O225" s="510"/>
      <c r="P225" s="612"/>
      <c r="Q225" s="510"/>
      <c r="R225" s="612"/>
      <c r="S225" s="510"/>
      <c r="T225" s="510"/>
      <c r="U225" s="510"/>
    </row>
    <row r="226" spans="1:21" s="49" customFormat="1" ht="15.75" hidden="1" customHeight="1" thickBot="1">
      <c r="A226" s="149"/>
      <c r="B226" s="350" t="s">
        <v>151</v>
      </c>
      <c r="C226" s="351" t="s">
        <v>546</v>
      </c>
      <c r="D226" s="342" t="s">
        <v>452</v>
      </c>
      <c r="E226" s="89"/>
      <c r="F226" s="341" t="e">
        <f t="shared" ref="F226:O226" si="101">(SUM(F215:F224))</f>
        <v>#N/A</v>
      </c>
      <c r="G226" s="341" t="e">
        <f t="shared" si="101"/>
        <v>#N/A</v>
      </c>
      <c r="H226" s="341" t="e">
        <f t="shared" si="101"/>
        <v>#N/A</v>
      </c>
      <c r="I226" s="341" t="e">
        <f t="shared" si="101"/>
        <v>#N/A</v>
      </c>
      <c r="J226" s="341" t="e">
        <f t="shared" si="101"/>
        <v>#N/A</v>
      </c>
      <c r="K226" s="341" t="e">
        <f t="shared" si="101"/>
        <v>#N/A</v>
      </c>
      <c r="L226" s="341" t="e">
        <f t="shared" si="101"/>
        <v>#N/A</v>
      </c>
      <c r="M226" s="341" t="e">
        <f t="shared" si="101"/>
        <v>#N/A</v>
      </c>
      <c r="N226" s="341" t="e">
        <f t="shared" si="101"/>
        <v>#N/A</v>
      </c>
      <c r="O226" s="341" t="e">
        <f t="shared" si="101"/>
        <v>#N/A</v>
      </c>
      <c r="P226" s="89"/>
      <c r="Q226" s="275"/>
      <c r="R226" s="89"/>
      <c r="S226" s="341">
        <f t="shared" ref="S226:U226" si="102">(SUM(S215:S224))</f>
        <v>-4955500</v>
      </c>
      <c r="T226" s="341">
        <f t="shared" si="102"/>
        <v>-4809750</v>
      </c>
      <c r="U226" s="341">
        <f t="shared" si="102"/>
        <v>-4809750</v>
      </c>
    </row>
    <row r="227" spans="1:21" s="49" customFormat="1" ht="15.75" hidden="1" customHeight="1" thickBot="1">
      <c r="A227" s="149"/>
      <c r="B227" s="350" t="s">
        <v>151</v>
      </c>
      <c r="C227" s="382" t="s">
        <v>547</v>
      </c>
      <c r="D227" s="342" t="s">
        <v>452</v>
      </c>
      <c r="E227" s="89"/>
      <c r="F227" s="421" t="e">
        <f t="shared" ref="F227:O227" si="103">F226/F45</f>
        <v>#N/A</v>
      </c>
      <c r="G227" s="421" t="e">
        <f t="shared" si="103"/>
        <v>#N/A</v>
      </c>
      <c r="H227" s="421" t="e">
        <f t="shared" si="103"/>
        <v>#N/A</v>
      </c>
      <c r="I227" s="421" t="e">
        <f t="shared" si="103"/>
        <v>#N/A</v>
      </c>
      <c r="J227" s="421" t="e">
        <f t="shared" si="103"/>
        <v>#N/A</v>
      </c>
      <c r="K227" s="421" t="e">
        <f t="shared" si="103"/>
        <v>#N/A</v>
      </c>
      <c r="L227" s="421" t="e">
        <f t="shared" si="103"/>
        <v>#N/A</v>
      </c>
      <c r="M227" s="421" t="e">
        <f t="shared" si="103"/>
        <v>#N/A</v>
      </c>
      <c r="N227" s="421" t="e">
        <f t="shared" si="103"/>
        <v>#N/A</v>
      </c>
      <c r="O227" s="421" t="e">
        <f t="shared" si="103"/>
        <v>#N/A</v>
      </c>
      <c r="P227" s="89"/>
      <c r="Q227" s="275"/>
      <c r="R227" s="89"/>
      <c r="S227" s="421">
        <f>S226/S45</f>
        <v>-36707.407407407409</v>
      </c>
      <c r="T227" s="421">
        <f>T226/T45</f>
        <v>-35627.777777777781</v>
      </c>
      <c r="U227" s="421">
        <f>U226/U45</f>
        <v>-35627.777777777781</v>
      </c>
    </row>
    <row r="228" spans="1:21" ht="15.75" customHeight="1">
      <c r="A228" s="80"/>
      <c r="B228" s="902" t="s">
        <v>148</v>
      </c>
      <c r="C228" s="224"/>
      <c r="D228" s="343"/>
      <c r="E228" s="29"/>
      <c r="F228" s="372"/>
      <c r="G228" s="372"/>
      <c r="H228" s="372"/>
      <c r="I228" s="372"/>
      <c r="J228" s="372"/>
      <c r="K228" s="372"/>
      <c r="L228" s="372"/>
      <c r="M228" s="372"/>
      <c r="N228" s="372"/>
      <c r="O228" s="372"/>
      <c r="P228" s="29"/>
      <c r="Q228" s="729" t="s">
        <v>548</v>
      </c>
      <c r="R228" s="29"/>
      <c r="S228" s="372"/>
      <c r="T228" s="372"/>
      <c r="U228" s="372"/>
    </row>
    <row r="229" spans="1:21" s="48" customFormat="1" ht="15.75">
      <c r="A229" s="80"/>
      <c r="B229" s="903" t="s">
        <v>148</v>
      </c>
      <c r="C229" s="914" t="s">
        <v>549</v>
      </c>
      <c r="D229" s="56" t="s">
        <v>164</v>
      </c>
      <c r="E229" s="77"/>
      <c r="F229" s="479" t="s">
        <v>550</v>
      </c>
      <c r="G229" s="79"/>
      <c r="H229" s="79"/>
      <c r="I229" s="79"/>
      <c r="J229" s="79"/>
      <c r="K229" s="79"/>
      <c r="L229" s="79"/>
      <c r="M229" s="79"/>
      <c r="N229" s="79"/>
      <c r="O229" s="79"/>
      <c r="P229" s="77"/>
      <c r="Q229" s="242" t="s">
        <v>166</v>
      </c>
      <c r="R229" s="77"/>
      <c r="S229" s="479" t="s">
        <v>551</v>
      </c>
      <c r="T229" s="79"/>
      <c r="U229" s="79"/>
    </row>
    <row r="230" spans="1:21" ht="27" hidden="1" customHeight="1">
      <c r="A230" s="137"/>
      <c r="B230" s="321" t="s">
        <v>153</v>
      </c>
      <c r="C230" s="199" t="s">
        <v>552</v>
      </c>
      <c r="D230" s="50"/>
      <c r="E230" s="30"/>
      <c r="F230" s="45" t="s">
        <v>553</v>
      </c>
      <c r="G230" s="45" t="s">
        <v>553</v>
      </c>
      <c r="H230" s="45" t="s">
        <v>553</v>
      </c>
      <c r="I230" s="45" t="s">
        <v>553</v>
      </c>
      <c r="J230" s="45" t="s">
        <v>553</v>
      </c>
      <c r="K230" s="45" t="s">
        <v>553</v>
      </c>
      <c r="L230" s="45" t="s">
        <v>553</v>
      </c>
      <c r="M230" s="45" t="s">
        <v>553</v>
      </c>
      <c r="N230" s="45" t="s">
        <v>553</v>
      </c>
      <c r="O230" s="45" t="s">
        <v>553</v>
      </c>
      <c r="P230" s="30"/>
      <c r="Q230" s="256"/>
      <c r="R230" s="30"/>
      <c r="S230" s="45" t="s">
        <v>553</v>
      </c>
      <c r="T230" s="45" t="s">
        <v>553</v>
      </c>
      <c r="U230" s="45" t="s">
        <v>553</v>
      </c>
    </row>
    <row r="231" spans="1:21" ht="15" hidden="1" customHeight="1">
      <c r="A231" s="137"/>
      <c r="B231" s="310" t="s">
        <v>153</v>
      </c>
      <c r="C231" s="183" t="s">
        <v>554</v>
      </c>
      <c r="D231" s="57" t="s">
        <v>555</v>
      </c>
      <c r="E231" s="30"/>
      <c r="F231" s="47" t="e">
        <f t="shared" ref="F231:O231" si="104">F87</f>
        <v>#N/A</v>
      </c>
      <c r="G231" s="47" t="e">
        <f t="shared" si="104"/>
        <v>#N/A</v>
      </c>
      <c r="H231" s="47" t="e">
        <f t="shared" si="104"/>
        <v>#N/A</v>
      </c>
      <c r="I231" s="47" t="e">
        <f t="shared" si="104"/>
        <v>#N/A</v>
      </c>
      <c r="J231" s="47" t="e">
        <f t="shared" si="104"/>
        <v>#N/A</v>
      </c>
      <c r="K231" s="47" t="e">
        <f t="shared" si="104"/>
        <v>#N/A</v>
      </c>
      <c r="L231" s="47" t="e">
        <f t="shared" si="104"/>
        <v>#N/A</v>
      </c>
      <c r="M231" s="47" t="e">
        <f t="shared" si="104"/>
        <v>#N/A</v>
      </c>
      <c r="N231" s="47" t="e">
        <f t="shared" si="104"/>
        <v>#N/A</v>
      </c>
      <c r="O231" s="47" t="e">
        <f t="shared" si="104"/>
        <v>#N/A</v>
      </c>
      <c r="P231" s="30"/>
      <c r="Q231" s="108"/>
      <c r="R231" s="30"/>
      <c r="S231" s="47">
        <f>S87</f>
        <v>8818500</v>
      </c>
      <c r="T231" s="47">
        <f>T87</f>
        <v>8818500</v>
      </c>
      <c r="U231" s="47">
        <f>U87</f>
        <v>8818500</v>
      </c>
    </row>
    <row r="232" spans="1:21" ht="15" hidden="1" customHeight="1">
      <c r="A232" s="137"/>
      <c r="B232" s="310" t="s">
        <v>153</v>
      </c>
      <c r="C232" s="184" t="s">
        <v>556</v>
      </c>
      <c r="D232" s="124" t="s">
        <v>557</v>
      </c>
      <c r="E232" s="30"/>
      <c r="F232" s="511" t="e" cm="1">
        <f t="array" ref="F232">INDEX(Dropdowns_v2!$D$2:$D$248, MATCH(REDiTool!F$25, IF(Dropdowns_v2!$C$2:$C$248=REDiTool!$C$232,Dropdowns_v2!$B$2:$B$248,""),0))</f>
        <v>#N/A</v>
      </c>
      <c r="G232" s="511" t="e" cm="1">
        <f t="array" ref="G232">INDEX(Dropdowns_v2!$D$2:$D$248, MATCH(REDiTool!G$25, IF(Dropdowns_v2!$C$2:$C$248=REDiTool!$C$232,Dropdowns_v2!$B$2:$B$248,""),0))</f>
        <v>#N/A</v>
      </c>
      <c r="H232" s="511" t="e" cm="1">
        <f t="array" ref="H232">INDEX(Dropdowns_v2!$D$2:$D$248, MATCH(REDiTool!H$25, IF(Dropdowns_v2!$C$2:$C$248=REDiTool!$C$232,Dropdowns_v2!$B$2:$B$248,""),0))</f>
        <v>#N/A</v>
      </c>
      <c r="I232" s="511" t="e" cm="1">
        <f t="array" ref="I232">INDEX(Dropdowns_v2!$D$2:$D$248, MATCH(REDiTool!I$25, IF(Dropdowns_v2!$C$2:$C$248=REDiTool!$C$232,Dropdowns_v2!$B$2:$B$248,""),0))</f>
        <v>#N/A</v>
      </c>
      <c r="J232" s="511" t="e" cm="1">
        <f t="array" ref="J232">INDEX(Dropdowns_v2!$D$2:$D$248, MATCH(REDiTool!J$25, IF(Dropdowns_v2!$C$2:$C$248=REDiTool!$C$232,Dropdowns_v2!$B$2:$B$248,""),0))</f>
        <v>#N/A</v>
      </c>
      <c r="K232" s="511" t="e" cm="1">
        <f t="array" ref="K232">INDEX(Dropdowns_v2!$D$2:$D$248, MATCH(REDiTool!K$25, IF(Dropdowns_v2!$C$2:$C$248=REDiTool!$C$232,Dropdowns_v2!$B$2:$B$248,""),0))</f>
        <v>#N/A</v>
      </c>
      <c r="L232" s="511" t="e" cm="1">
        <f t="array" ref="L232">INDEX(Dropdowns_v2!$D$2:$D$248, MATCH(REDiTool!L$25, IF(Dropdowns_v2!$C$2:$C$248=REDiTool!$C$232,Dropdowns_v2!$B$2:$B$248,""),0))</f>
        <v>#N/A</v>
      </c>
      <c r="M232" s="511" t="e" cm="1">
        <f t="array" ref="M232">INDEX(Dropdowns_v2!$D$2:$D$248, MATCH(REDiTool!M$25, IF(Dropdowns_v2!$C$2:$C$248=REDiTool!$C$232,Dropdowns_v2!$B$2:$B$248,""),0))</f>
        <v>#N/A</v>
      </c>
      <c r="N232" s="511" t="e" cm="1">
        <f t="array" ref="N232">INDEX(Dropdowns_v2!$D$2:$D$248, MATCH(REDiTool!N$25, IF(Dropdowns_v2!$C$2:$C$248=REDiTool!$C$232,Dropdowns_v2!$B$2:$B$248,""),0))</f>
        <v>#N/A</v>
      </c>
      <c r="O232" s="511" t="e" cm="1">
        <f t="array" ref="O232">INDEX(Dropdowns_v2!$D$2:$D$248, MATCH(REDiTool!O$25, IF(Dropdowns_v2!$C$2:$C$248=REDiTool!$C$232,Dropdowns_v2!$B$2:$B$248,""),0))</f>
        <v>#N/A</v>
      </c>
      <c r="P232" s="30"/>
      <c r="Q232" s="246"/>
      <c r="R232" s="30"/>
      <c r="S232" s="511" cm="1">
        <f t="array" ref="S232">INDEX(Dropdowns_v2!$D$2:$D$248, MATCH(REDiTool!S$25, IF(Dropdowns_v2!$C$2:$C$248=REDiTool!$C$232,Dropdowns_v2!$B$2:$B$248,""),0))</f>
        <v>5.3109999999999998E-5</v>
      </c>
      <c r="T232" s="511" cm="1">
        <f t="array" ref="T232">INDEX(Dropdowns_v2!$D$2:$D$248, MATCH(REDiTool!T$25, IF(Dropdowns_v2!$C$2:$C$248=REDiTool!$C$232,Dropdowns_v2!$B$2:$B$248,""),0))</f>
        <v>5.3109999999999998E-5</v>
      </c>
      <c r="U232" s="511" cm="1">
        <f t="array" ref="U232">INDEX(Dropdowns_v2!$D$2:$D$248, MATCH(REDiTool!U$25, IF(Dropdowns_v2!$C$2:$C$248=REDiTool!$C$232,Dropdowns_v2!$B$2:$B$248,""),0))</f>
        <v>5.3109999999999998E-5</v>
      </c>
    </row>
    <row r="233" spans="1:21" ht="15" hidden="1" customHeight="1">
      <c r="A233" s="137"/>
      <c r="B233" s="310" t="s">
        <v>153</v>
      </c>
      <c r="C233" s="183" t="s">
        <v>558</v>
      </c>
      <c r="D233" s="57" t="s">
        <v>555</v>
      </c>
      <c r="E233" s="30"/>
      <c r="F233" s="47">
        <f t="shared" ref="F233:O233" si="105">F91</f>
        <v>0</v>
      </c>
      <c r="G233" s="47">
        <f t="shared" si="105"/>
        <v>0</v>
      </c>
      <c r="H233" s="47">
        <f t="shared" si="105"/>
        <v>0</v>
      </c>
      <c r="I233" s="47">
        <f t="shared" si="105"/>
        <v>0</v>
      </c>
      <c r="J233" s="47">
        <f t="shared" si="105"/>
        <v>0</v>
      </c>
      <c r="K233" s="47" t="e">
        <f t="shared" si="105"/>
        <v>#N/A</v>
      </c>
      <c r="L233" s="47" t="e">
        <f t="shared" si="105"/>
        <v>#N/A</v>
      </c>
      <c r="M233" s="47" t="e">
        <f t="shared" si="105"/>
        <v>#N/A</v>
      </c>
      <c r="N233" s="47" t="e">
        <f t="shared" si="105"/>
        <v>#N/A</v>
      </c>
      <c r="O233" s="47" t="e">
        <f t="shared" si="105"/>
        <v>#N/A</v>
      </c>
      <c r="P233" s="30"/>
      <c r="Q233" s="246"/>
      <c r="R233" s="30"/>
      <c r="S233" s="47">
        <f>S91</f>
        <v>0</v>
      </c>
      <c r="T233" s="47">
        <f>T91</f>
        <v>0</v>
      </c>
      <c r="U233" s="47">
        <f>U91</f>
        <v>0</v>
      </c>
    </row>
    <row r="234" spans="1:21" ht="15.75" hidden="1" customHeight="1" thickBot="1">
      <c r="A234" s="137"/>
      <c r="B234" s="318" t="s">
        <v>153</v>
      </c>
      <c r="C234" s="185" t="s">
        <v>556</v>
      </c>
      <c r="D234" s="139" t="s">
        <v>559</v>
      </c>
      <c r="E234" s="30"/>
      <c r="F234" s="104" t="e">
        <f t="array" ref="F234">INDEX(Dropdowns_v2!$D$2:$D$248, MATCH(REDiTool!F$88, IF(Dropdowns_v2!$C$2:$C$248=REDiTool!$C$234,Dropdowns_v2!$B$2:$B$248,""),0))</f>
        <v>#N/A</v>
      </c>
      <c r="G234" s="104" t="e">
        <f t="array" ref="G234">INDEX(Dropdowns_v2!$D$2:$D$248, MATCH(REDiTool!G$88, IF(Dropdowns_v2!$C$2:$C$248=REDiTool!$C$234,Dropdowns_v2!$B$2:$B$248,""),0))</f>
        <v>#N/A</v>
      </c>
      <c r="H234" s="104" t="e">
        <f t="array" ref="H234">INDEX(Dropdowns_v2!$D$2:$D$248, MATCH(REDiTool!H$88, IF(Dropdowns_v2!$C$2:$C$248=REDiTool!$C$234,Dropdowns_v2!$B$2:$B$248,""),0))</f>
        <v>#N/A</v>
      </c>
      <c r="I234" s="104" t="e">
        <f t="array" ref="I234">INDEX(Dropdowns_v2!$D$2:$D$248, MATCH(REDiTool!I$88, IF(Dropdowns_v2!$C$2:$C$248=REDiTool!$C$234,Dropdowns_v2!$B$2:$B$248,""),0))</f>
        <v>#N/A</v>
      </c>
      <c r="J234" s="104" t="e">
        <f t="array" ref="J234">INDEX(Dropdowns_v2!$D$2:$D$248, MATCH(REDiTool!J$88, IF(Dropdowns_v2!$C$2:$C$248=REDiTool!$C$234,Dropdowns_v2!$B$2:$B$248,""),0))</f>
        <v>#N/A</v>
      </c>
      <c r="K234" s="104" t="e">
        <f t="array" ref="K234">INDEX(Dropdowns_v2!$D$2:$D$248, MATCH(REDiTool!K$88, IF(Dropdowns_v2!$C$2:$C$248=REDiTool!$C$234,Dropdowns_v2!$B$2:$B$248,""),0))</f>
        <v>#N/A</v>
      </c>
      <c r="L234" s="104" t="e">
        <f t="array" ref="L234">INDEX(Dropdowns_v2!$D$2:$D$248, MATCH(REDiTool!L$88, IF(Dropdowns_v2!$C$2:$C$248=REDiTool!$C$234,Dropdowns_v2!$B$2:$B$248,""),0))</f>
        <v>#N/A</v>
      </c>
      <c r="M234" s="104" t="e">
        <f t="array" ref="M234">INDEX(Dropdowns_v2!$D$2:$D$248, MATCH(REDiTool!M$88, IF(Dropdowns_v2!$C$2:$C$248=REDiTool!$C$234,Dropdowns_v2!$B$2:$B$248,""),0))</f>
        <v>#N/A</v>
      </c>
      <c r="N234" s="104" t="e">
        <f t="array" ref="N234">INDEX(Dropdowns_v2!$D$2:$D$248, MATCH(REDiTool!N$88, IF(Dropdowns_v2!$C$2:$C$248=REDiTool!$C$234,Dropdowns_v2!$B$2:$B$248,""),0))</f>
        <v>#N/A</v>
      </c>
      <c r="O234" s="104" t="e">
        <f t="array" ref="O234">INDEX(Dropdowns_v2!$D$2:$D$248, MATCH(REDiTool!O$88, IF(Dropdowns_v2!$C$2:$C$248=REDiTool!$C$234,Dropdowns_v2!$B$2:$B$248,""),0))</f>
        <v>#N/A</v>
      </c>
      <c r="P234" s="30"/>
      <c r="Q234" s="246"/>
      <c r="R234" s="30"/>
      <c r="S234" s="104">
        <f t="array" ref="S234">INDEX(Dropdowns_v2!$D$2:$D$248, MATCH(REDiTool!S$88, IF(Dropdowns_v2!$C$2:$C$248=REDiTool!$C$234,Dropdowns_v2!$B$2:$B$248,""),0))</f>
        <v>7.4209999999999996E-5</v>
      </c>
      <c r="T234" s="104">
        <f t="array" ref="T234">INDEX(Dropdowns_v2!$D$2:$D$248, MATCH(REDiTool!T$88, IF(Dropdowns_v2!$C$2:$C$248=REDiTool!$C$234,Dropdowns_v2!$B$2:$B$248,""),0))</f>
        <v>7.4209999999999996E-5</v>
      </c>
      <c r="U234" s="104">
        <f t="array" ref="U234">INDEX(Dropdowns_v2!$D$2:$D$248, MATCH(REDiTool!U$88, IF(Dropdowns_v2!$C$2:$C$248=REDiTool!$C$234,Dropdowns_v2!$B$2:$B$248,""),0))</f>
        <v>7.4209999999999996E-5</v>
      </c>
    </row>
    <row r="235" spans="1:21" ht="15" hidden="1" customHeight="1">
      <c r="A235" s="137"/>
      <c r="B235" s="313" t="s">
        <v>153</v>
      </c>
      <c r="C235" s="186" t="s">
        <v>560</v>
      </c>
      <c r="D235" s="145"/>
      <c r="E235" s="30"/>
      <c r="F235" s="131" t="e">
        <f t="shared" ref="F235:O235" si="106">(F231*F232*F95)+(F233*F234*F96)</f>
        <v>#N/A</v>
      </c>
      <c r="G235" s="131" t="e">
        <f t="shared" si="106"/>
        <v>#N/A</v>
      </c>
      <c r="H235" s="131" t="e">
        <f t="shared" si="106"/>
        <v>#N/A</v>
      </c>
      <c r="I235" s="131" t="e">
        <f t="shared" si="106"/>
        <v>#N/A</v>
      </c>
      <c r="J235" s="131" t="e">
        <f t="shared" si="106"/>
        <v>#N/A</v>
      </c>
      <c r="K235" s="131" t="e">
        <f t="shared" si="106"/>
        <v>#N/A</v>
      </c>
      <c r="L235" s="131" t="e">
        <f t="shared" si="106"/>
        <v>#N/A</v>
      </c>
      <c r="M235" s="131" t="e">
        <f t="shared" si="106"/>
        <v>#N/A</v>
      </c>
      <c r="N235" s="131" t="e">
        <f t="shared" si="106"/>
        <v>#N/A</v>
      </c>
      <c r="O235" s="131" t="e">
        <f t="shared" si="106"/>
        <v>#N/A</v>
      </c>
      <c r="P235" s="30"/>
      <c r="Q235" s="244"/>
      <c r="R235" s="30"/>
      <c r="S235" s="131">
        <f>(S231*S232*S95)+(S233*S234*S96)</f>
        <v>304.42784775000001</v>
      </c>
      <c r="T235" s="131">
        <f>(T231*T232*T95)+(T233*T234*T96)</f>
        <v>304.42784775000001</v>
      </c>
      <c r="U235" s="131">
        <f>(U231*U232*U95)+(U233*U234*U96)</f>
        <v>304.42784775000001</v>
      </c>
    </row>
    <row r="236" spans="1:21" ht="15" hidden="1" customHeight="1">
      <c r="A236" s="137"/>
      <c r="B236" s="310" t="s">
        <v>153</v>
      </c>
      <c r="C236" s="184" t="s">
        <v>561</v>
      </c>
      <c r="D236" s="59"/>
      <c r="E236" s="30"/>
      <c r="F236" s="414" t="e">
        <f t="shared" ref="F236:O236" si="107">(F231*F232*F100)+(F233*F234*F101)</f>
        <v>#N/A</v>
      </c>
      <c r="G236" s="414" t="e">
        <f t="shared" si="107"/>
        <v>#N/A</v>
      </c>
      <c r="H236" s="414" t="e">
        <f t="shared" si="107"/>
        <v>#N/A</v>
      </c>
      <c r="I236" s="414" t="e">
        <f t="shared" si="107"/>
        <v>#N/A</v>
      </c>
      <c r="J236" s="414" t="e">
        <f t="shared" si="107"/>
        <v>#N/A</v>
      </c>
      <c r="K236" s="414" t="e">
        <f t="shared" si="107"/>
        <v>#N/A</v>
      </c>
      <c r="L236" s="414" t="e">
        <f t="shared" si="107"/>
        <v>#N/A</v>
      </c>
      <c r="M236" s="414" t="e">
        <f t="shared" si="107"/>
        <v>#N/A</v>
      </c>
      <c r="N236" s="414" t="e">
        <f t="shared" si="107"/>
        <v>#N/A</v>
      </c>
      <c r="O236" s="414" t="e">
        <f t="shared" si="107"/>
        <v>#N/A</v>
      </c>
      <c r="P236" s="30"/>
      <c r="Q236" s="244"/>
      <c r="R236" s="30"/>
      <c r="S236" s="414">
        <f>(S231*S232*S100)+(S233*S234*S101)</f>
        <v>163.92268725</v>
      </c>
      <c r="T236" s="414">
        <f>(T231*T232*T100)+(T233*T234*T101)</f>
        <v>163.92268725</v>
      </c>
      <c r="U236" s="414">
        <f>(U231*U232*U100)+(U233*U234*U101)</f>
        <v>163.92268725</v>
      </c>
    </row>
    <row r="237" spans="1:21" s="49" customFormat="1" ht="15" hidden="1" customHeight="1">
      <c r="A237" s="149"/>
      <c r="B237" s="313" t="s">
        <v>153</v>
      </c>
      <c r="C237" s="187" t="s">
        <v>562</v>
      </c>
      <c r="D237" s="157" t="s">
        <v>563</v>
      </c>
      <c r="E237" s="55"/>
      <c r="F237" s="154" t="e">
        <f>F235+F236</f>
        <v>#N/A</v>
      </c>
      <c r="G237" s="154" t="e">
        <f t="shared" ref="G237:O237" si="108">G235+G236</f>
        <v>#N/A</v>
      </c>
      <c r="H237" s="154" t="e">
        <f t="shared" si="108"/>
        <v>#N/A</v>
      </c>
      <c r="I237" s="154" t="e">
        <f t="shared" si="108"/>
        <v>#N/A</v>
      </c>
      <c r="J237" s="154" t="e">
        <f t="shared" si="108"/>
        <v>#N/A</v>
      </c>
      <c r="K237" s="154" t="e">
        <f t="shared" si="108"/>
        <v>#N/A</v>
      </c>
      <c r="L237" s="154" t="e">
        <f t="shared" si="108"/>
        <v>#N/A</v>
      </c>
      <c r="M237" s="154" t="e">
        <f t="shared" ref="M237:N237" si="109">M235+M236</f>
        <v>#N/A</v>
      </c>
      <c r="N237" s="154" t="e">
        <f t="shared" si="109"/>
        <v>#N/A</v>
      </c>
      <c r="O237" s="154" t="e">
        <f t="shared" si="108"/>
        <v>#N/A</v>
      </c>
      <c r="P237" s="55"/>
      <c r="Q237" s="259"/>
      <c r="R237" s="55"/>
      <c r="S237" s="154">
        <f>S235+S236</f>
        <v>468.35053500000004</v>
      </c>
      <c r="T237" s="154">
        <f t="shared" ref="T237:U237" si="110">T235+T236</f>
        <v>468.35053500000004</v>
      </c>
      <c r="U237" s="154">
        <f t="shared" si="110"/>
        <v>468.35053500000004</v>
      </c>
    </row>
    <row r="238" spans="1:21" s="49" customFormat="1" ht="15" hidden="1" customHeight="1">
      <c r="A238" s="149"/>
      <c r="B238" s="310" t="s">
        <v>153</v>
      </c>
      <c r="C238" s="214" t="s">
        <v>564</v>
      </c>
      <c r="D238" s="145"/>
      <c r="E238" s="55"/>
      <c r="F238" s="215" t="e">
        <f t="shared" ref="F238:O238" si="111">F237/F56</f>
        <v>#N/A</v>
      </c>
      <c r="G238" s="215" t="e">
        <f t="shared" si="111"/>
        <v>#N/A</v>
      </c>
      <c r="H238" s="215" t="e">
        <f t="shared" si="111"/>
        <v>#N/A</v>
      </c>
      <c r="I238" s="215" t="e">
        <f t="shared" si="111"/>
        <v>#N/A</v>
      </c>
      <c r="J238" s="215" t="e">
        <f t="shared" si="111"/>
        <v>#N/A</v>
      </c>
      <c r="K238" s="215" t="e">
        <f t="shared" si="111"/>
        <v>#N/A</v>
      </c>
      <c r="L238" s="215" t="e">
        <f t="shared" si="111"/>
        <v>#N/A</v>
      </c>
      <c r="M238" s="215" t="e">
        <f t="shared" si="111"/>
        <v>#N/A</v>
      </c>
      <c r="N238" s="215" t="e">
        <f t="shared" si="111"/>
        <v>#N/A</v>
      </c>
      <c r="O238" s="215" t="e">
        <f t="shared" si="111"/>
        <v>#N/A</v>
      </c>
      <c r="P238" s="55"/>
      <c r="Q238" s="259"/>
      <c r="R238" s="55"/>
      <c r="S238" s="215">
        <f>S237/S56</f>
        <v>3.2133827444253862E-3</v>
      </c>
      <c r="T238" s="215">
        <f>T237/T56</f>
        <v>3.2133827444253862E-3</v>
      </c>
      <c r="U238" s="215">
        <f>U237/U56</f>
        <v>3.2133827444253862E-3</v>
      </c>
    </row>
    <row r="239" spans="1:21" ht="15" hidden="1" customHeight="1">
      <c r="A239" s="137"/>
      <c r="B239" s="321" t="s">
        <v>153</v>
      </c>
      <c r="C239" s="200" t="s">
        <v>565</v>
      </c>
      <c r="D239" s="50"/>
      <c r="E239" s="30"/>
      <c r="F239" s="45" t="s">
        <v>566</v>
      </c>
      <c r="G239" s="45" t="s">
        <v>566</v>
      </c>
      <c r="H239" s="45" t="s">
        <v>566</v>
      </c>
      <c r="I239" s="45" t="s">
        <v>566</v>
      </c>
      <c r="J239" s="45" t="s">
        <v>566</v>
      </c>
      <c r="K239" s="45" t="s">
        <v>566</v>
      </c>
      <c r="L239" s="45" t="s">
        <v>566</v>
      </c>
      <c r="M239" s="45" t="s">
        <v>566</v>
      </c>
      <c r="N239" s="45" t="s">
        <v>566</v>
      </c>
      <c r="O239" s="45" t="s">
        <v>566</v>
      </c>
      <c r="P239" s="30"/>
      <c r="Q239" s="258"/>
      <c r="R239" s="30"/>
      <c r="S239" s="45" t="s">
        <v>566</v>
      </c>
      <c r="T239" s="45" t="s">
        <v>566</v>
      </c>
      <c r="U239" s="45" t="s">
        <v>566</v>
      </c>
    </row>
    <row r="240" spans="1:21" ht="15" hidden="1" customHeight="1">
      <c r="A240" s="137"/>
      <c r="B240" s="310" t="s">
        <v>153</v>
      </c>
      <c r="C240" s="175" t="s">
        <v>567</v>
      </c>
      <c r="D240" s="124"/>
      <c r="E240" s="30"/>
      <c r="F240" s="51" t="e">
        <f t="shared" ref="F240:O240" si="112">F121</f>
        <v>#N/A</v>
      </c>
      <c r="G240" s="51" t="e">
        <f t="shared" si="112"/>
        <v>#N/A</v>
      </c>
      <c r="H240" s="51" t="e">
        <f t="shared" si="112"/>
        <v>#N/A</v>
      </c>
      <c r="I240" s="51" t="e">
        <f t="shared" si="112"/>
        <v>#N/A</v>
      </c>
      <c r="J240" s="51" t="e">
        <f t="shared" si="112"/>
        <v>#N/A</v>
      </c>
      <c r="K240" s="51" t="e">
        <f t="shared" si="112"/>
        <v>#N/A</v>
      </c>
      <c r="L240" s="51" t="e">
        <f t="shared" si="112"/>
        <v>#N/A</v>
      </c>
      <c r="M240" s="51" t="e">
        <f t="shared" si="112"/>
        <v>#N/A</v>
      </c>
      <c r="N240" s="51" t="e">
        <f t="shared" si="112"/>
        <v>#N/A</v>
      </c>
      <c r="O240" s="51" t="e">
        <f t="shared" si="112"/>
        <v>#N/A</v>
      </c>
      <c r="P240" s="30"/>
      <c r="Q240" s="246"/>
      <c r="R240" s="30"/>
      <c r="S240" s="51">
        <f>S121</f>
        <v>151196.43903868698</v>
      </c>
      <c r="T240" s="51">
        <f>T121</f>
        <v>151196.43903868698</v>
      </c>
      <c r="U240" s="51">
        <f>U121</f>
        <v>188995.54879835874</v>
      </c>
    </row>
    <row r="241" spans="1:21" ht="15" hidden="1" customHeight="1">
      <c r="A241" s="80"/>
      <c r="B241" s="310" t="s">
        <v>153</v>
      </c>
      <c r="C241" s="175" t="s">
        <v>556</v>
      </c>
      <c r="D241" s="124" t="s">
        <v>371</v>
      </c>
      <c r="E241" s="30"/>
      <c r="F241" s="225">
        <f t="array" ref="F241">INDEX(Dropdowns_v2!$D$2:$D$248, MATCH(REDiTool!$D$241, IF(Dropdowns_v2!$C$2:$C$248=REDiTool!$C$241,Dropdowns_v2!$B$2:$B$248,""),0))</f>
        <v>1.45E-4</v>
      </c>
      <c r="G241" s="225">
        <f t="array" ref="G241">INDEX(Dropdowns_v2!$D$2:$D$248, MATCH(REDiTool!$D$241, IF(Dropdowns_v2!$C$2:$C$248=REDiTool!$C$241,Dropdowns_v2!$B$2:$B$248,""),0))</f>
        <v>1.45E-4</v>
      </c>
      <c r="H241" s="225">
        <f t="array" ref="H241">INDEX(Dropdowns_v2!$D$2:$D$248, MATCH(REDiTool!$D$241, IF(Dropdowns_v2!$C$2:$C$248=REDiTool!$C$241,Dropdowns_v2!$B$2:$B$248,""),0))</f>
        <v>1.45E-4</v>
      </c>
      <c r="I241" s="225">
        <f t="array" ref="I241">INDEX(Dropdowns_v2!$D$2:$D$248, MATCH(REDiTool!$D$241, IF(Dropdowns_v2!$C$2:$C$248=REDiTool!$C$241,Dropdowns_v2!$B$2:$B$248,""),0))</f>
        <v>1.45E-4</v>
      </c>
      <c r="J241" s="225">
        <f t="array" ref="J241">INDEX(Dropdowns_v2!$D$2:$D$248, MATCH(REDiTool!$D$241, IF(Dropdowns_v2!$C$2:$C$248=REDiTool!$C$241,Dropdowns_v2!$B$2:$B$248,""),0))</f>
        <v>1.45E-4</v>
      </c>
      <c r="K241" s="225">
        <f t="array" ref="K241">INDEX(Dropdowns_v2!$D$2:$D$248, MATCH(REDiTool!$D$241, IF(Dropdowns_v2!$C$2:$C$248=REDiTool!$C$241,Dropdowns_v2!$B$2:$B$248,""),0))</f>
        <v>1.45E-4</v>
      </c>
      <c r="L241" s="225">
        <f t="array" ref="L241">INDEX(Dropdowns_v2!$D$2:$D$248, MATCH(REDiTool!$D$241, IF(Dropdowns_v2!$C$2:$C$248=REDiTool!$C$241,Dropdowns_v2!$B$2:$B$248,""),0))</f>
        <v>1.45E-4</v>
      </c>
      <c r="M241" s="225">
        <f t="array" ref="M241">INDEX(Dropdowns_v2!$D$2:$D$248, MATCH(REDiTool!$D$241, IF(Dropdowns_v2!$C$2:$C$248=REDiTool!$C$241,Dropdowns_v2!$B$2:$B$248,""),0))</f>
        <v>1.45E-4</v>
      </c>
      <c r="N241" s="225">
        <f t="array" ref="N241">INDEX(Dropdowns_v2!$D$2:$D$248, MATCH(REDiTool!$D$241, IF(Dropdowns_v2!$C$2:$C$248=REDiTool!$C$241,Dropdowns_v2!$B$2:$B$248,""),0))</f>
        <v>1.45E-4</v>
      </c>
      <c r="O241" s="225">
        <f t="array" ref="O241">INDEX(Dropdowns_v2!$D$2:$D$248, MATCH(REDiTool!$D$241, IF(Dropdowns_v2!$C$2:$C$248=REDiTool!$C$241,Dropdowns_v2!$B$2:$B$248,""),0))</f>
        <v>1.45E-4</v>
      </c>
      <c r="P241" s="30"/>
      <c r="Q241" s="246"/>
      <c r="R241" s="30"/>
      <c r="S241" s="225">
        <f t="array" ref="S241">INDEX(Dropdowns_v2!$D$2:$D$248, MATCH(REDiTool!$D$241, IF(Dropdowns_v2!$C$2:$C$248=REDiTool!$C$241,Dropdowns_v2!$B$2:$B$248,""),0))</f>
        <v>1.45E-4</v>
      </c>
      <c r="T241" s="225">
        <f t="array" ref="T241">INDEX(Dropdowns_v2!$D$2:$D$248, MATCH(REDiTool!$D$241, IF(Dropdowns_v2!$C$2:$C$248=REDiTool!$C$241,Dropdowns_v2!$B$2:$B$248,""),0))</f>
        <v>1.45E-4</v>
      </c>
      <c r="U241" s="225">
        <f t="array" ref="U241">INDEX(Dropdowns_v2!$D$2:$D$248, MATCH(REDiTool!$D$241, IF(Dropdowns_v2!$C$2:$C$248=REDiTool!$C$241,Dropdowns_v2!$B$2:$B$248,""),0))</f>
        <v>1.45E-4</v>
      </c>
    </row>
    <row r="242" spans="1:21" ht="15" hidden="1" customHeight="1">
      <c r="A242" s="137"/>
      <c r="B242" s="322" t="s">
        <v>153</v>
      </c>
      <c r="C242" s="148" t="s">
        <v>568</v>
      </c>
      <c r="D242" s="132" t="s">
        <v>569</v>
      </c>
      <c r="E242" s="30"/>
      <c r="F242" s="134" t="e">
        <f t="shared" ref="F242:O242" si="113">IF(ISNUMBER(SEARCH("heat pump", F59)), F240*F241, F235)</f>
        <v>#N/A</v>
      </c>
      <c r="G242" s="134" t="e">
        <f t="shared" si="113"/>
        <v>#N/A</v>
      </c>
      <c r="H242" s="134" t="e">
        <f t="shared" si="113"/>
        <v>#N/A</v>
      </c>
      <c r="I242" s="134" t="e">
        <f t="shared" si="113"/>
        <v>#N/A</v>
      </c>
      <c r="J242" s="134" t="e">
        <f t="shared" si="113"/>
        <v>#N/A</v>
      </c>
      <c r="K242" s="134" t="e">
        <f t="shared" si="113"/>
        <v>#N/A</v>
      </c>
      <c r="L242" s="134" t="e">
        <f t="shared" si="113"/>
        <v>#N/A</v>
      </c>
      <c r="M242" s="134" t="e">
        <f t="shared" si="113"/>
        <v>#N/A</v>
      </c>
      <c r="N242" s="134" t="e">
        <f t="shared" si="113"/>
        <v>#N/A</v>
      </c>
      <c r="O242" s="134" t="e">
        <f t="shared" si="113"/>
        <v>#N/A</v>
      </c>
      <c r="P242" s="30"/>
      <c r="Q242" s="244"/>
      <c r="R242" s="30"/>
      <c r="S242" s="134">
        <f>IF(ISNUMBER(SEARCH("heat pump", S59)), S240*S241, S235)</f>
        <v>21.923483660609612</v>
      </c>
      <c r="T242" s="134">
        <f>IF(ISNUMBER(SEARCH("heat pump", T59)), T240*T241, T235)</f>
        <v>21.923483660609612</v>
      </c>
      <c r="U242" s="134">
        <f>IF(ISNUMBER(SEARCH("heat pump", U59)), U240*U241, U235)</f>
        <v>27.404354575762017</v>
      </c>
    </row>
    <row r="243" spans="1:21" s="202" customFormat="1" ht="15.75" customHeight="1" thickBot="1">
      <c r="A243" s="150"/>
      <c r="B243" s="333" t="s">
        <v>148</v>
      </c>
      <c r="C243" s="188" t="s">
        <v>570</v>
      </c>
      <c r="D243" s="140" t="s">
        <v>452</v>
      </c>
      <c r="E243" s="91"/>
      <c r="F243" s="135" t="e">
        <f t="shared" ref="F243:O243" si="114">IF(ISNUMBER(SEARCH("Not in Scope",F$59)),0, F$235-F$242)</f>
        <v>#N/A</v>
      </c>
      <c r="G243" s="135" t="e">
        <f t="shared" si="114"/>
        <v>#N/A</v>
      </c>
      <c r="H243" s="135" t="e">
        <f t="shared" si="114"/>
        <v>#N/A</v>
      </c>
      <c r="I243" s="135" t="e">
        <f t="shared" si="114"/>
        <v>#N/A</v>
      </c>
      <c r="J243" s="135" t="e">
        <f t="shared" si="114"/>
        <v>#N/A</v>
      </c>
      <c r="K243" s="135" t="e">
        <f t="shared" si="114"/>
        <v>#N/A</v>
      </c>
      <c r="L243" s="135" t="e">
        <f t="shared" si="114"/>
        <v>#N/A</v>
      </c>
      <c r="M243" s="135" t="e">
        <f t="shared" si="114"/>
        <v>#N/A</v>
      </c>
      <c r="N243" s="135" t="e">
        <f t="shared" si="114"/>
        <v>#N/A</v>
      </c>
      <c r="O243" s="135" t="e">
        <f t="shared" si="114"/>
        <v>#N/A</v>
      </c>
      <c r="P243" s="91"/>
      <c r="Q243" s="246"/>
      <c r="R243" s="91"/>
      <c r="S243" s="135">
        <f>IF(ISNUMBER(SEARCH("Not in Scope",S$59)),0, S$235-S$242)</f>
        <v>282.50436408939038</v>
      </c>
      <c r="T243" s="135">
        <f>IF(ISNUMBER(SEARCH("Not in Scope",T$59)),0, T$235-T$242)</f>
        <v>282.50436408939038</v>
      </c>
      <c r="U243" s="135">
        <f>IF(ISNUMBER(SEARCH("Not in Scope",U$59)),0, U$235-U$242)</f>
        <v>277.02349317423801</v>
      </c>
    </row>
    <row r="244" spans="1:21" ht="15" hidden="1" customHeight="1">
      <c r="A244" s="137"/>
      <c r="B244" s="321" t="s">
        <v>153</v>
      </c>
      <c r="C244" s="200" t="s">
        <v>571</v>
      </c>
      <c r="D244" s="141"/>
      <c r="E244" s="30"/>
      <c r="F244" s="45" t="s">
        <v>566</v>
      </c>
      <c r="G244" s="45" t="s">
        <v>566</v>
      </c>
      <c r="H244" s="45" t="s">
        <v>566</v>
      </c>
      <c r="I244" s="45" t="s">
        <v>566</v>
      </c>
      <c r="J244" s="45" t="s">
        <v>566</v>
      </c>
      <c r="K244" s="45" t="s">
        <v>566</v>
      </c>
      <c r="L244" s="45" t="s">
        <v>566</v>
      </c>
      <c r="M244" s="45" t="s">
        <v>566</v>
      </c>
      <c r="N244" s="45" t="s">
        <v>566</v>
      </c>
      <c r="O244" s="45" t="s">
        <v>566</v>
      </c>
      <c r="P244" s="30"/>
      <c r="Q244" s="258"/>
      <c r="R244" s="30"/>
      <c r="S244" s="45" t="s">
        <v>566</v>
      </c>
      <c r="T244" s="45" t="s">
        <v>566</v>
      </c>
      <c r="U244" s="45" t="s">
        <v>566</v>
      </c>
    </row>
    <row r="245" spans="1:21" ht="15" hidden="1" customHeight="1">
      <c r="A245" s="137"/>
      <c r="B245" s="313" t="s">
        <v>153</v>
      </c>
      <c r="C245" s="189" t="s">
        <v>572</v>
      </c>
      <c r="D245" s="142"/>
      <c r="E245" s="30"/>
      <c r="F245" s="146" t="e">
        <f t="shared" ref="F245:O245" si="115">F138</f>
        <v>#N/A</v>
      </c>
      <c r="G245" s="146" t="e">
        <f t="shared" si="115"/>
        <v>#N/A</v>
      </c>
      <c r="H245" s="146" t="e">
        <f t="shared" si="115"/>
        <v>#N/A</v>
      </c>
      <c r="I245" s="146" t="e">
        <f t="shared" si="115"/>
        <v>#N/A</v>
      </c>
      <c r="J245" s="146" t="e">
        <f t="shared" si="115"/>
        <v>#N/A</v>
      </c>
      <c r="K245" s="146" t="e">
        <f t="shared" si="115"/>
        <v>#N/A</v>
      </c>
      <c r="L245" s="146" t="e">
        <f t="shared" si="115"/>
        <v>#N/A</v>
      </c>
      <c r="M245" s="146" t="e">
        <f t="shared" si="115"/>
        <v>#N/A</v>
      </c>
      <c r="N245" s="146" t="e">
        <f t="shared" si="115"/>
        <v>#N/A</v>
      </c>
      <c r="O245" s="146" t="e">
        <f t="shared" si="115"/>
        <v>#N/A</v>
      </c>
      <c r="P245" s="30"/>
      <c r="Q245" s="246"/>
      <c r="R245" s="30"/>
      <c r="S245" s="146">
        <f>S138</f>
        <v>256986.95446552275</v>
      </c>
      <c r="T245" s="146">
        <f>T138</f>
        <v>128493.47723276138</v>
      </c>
      <c r="U245" s="146">
        <f>U138</f>
        <v>256986.95446552275</v>
      </c>
    </row>
    <row r="246" spans="1:21" ht="15" hidden="1" customHeight="1">
      <c r="A246" s="80"/>
      <c r="B246" s="310" t="s">
        <v>153</v>
      </c>
      <c r="C246" s="175" t="s">
        <v>556</v>
      </c>
      <c r="D246" s="124" t="s">
        <v>371</v>
      </c>
      <c r="E246" s="30"/>
      <c r="F246" s="225">
        <f t="array" ref="F246">INDEX(Dropdowns_v2!$D$2:$D$248, MATCH(REDiTool!$D$246, IF(Dropdowns_v2!$C$2:$C$248=REDiTool!$C$246,Dropdowns_v2!$B$2:$B$248,""),0))</f>
        <v>1.45E-4</v>
      </c>
      <c r="G246" s="225">
        <f t="array" ref="G246">INDEX(Dropdowns_v2!$D$2:$D$248, MATCH(REDiTool!$D$246, IF(Dropdowns_v2!$C$2:$C$248=REDiTool!$C$246,Dropdowns_v2!$B$2:$B$248,""),0))</f>
        <v>1.45E-4</v>
      </c>
      <c r="H246" s="225">
        <f t="array" ref="H246">INDEX(Dropdowns_v2!$D$2:$D$248, MATCH(REDiTool!$D$246, IF(Dropdowns_v2!$C$2:$C$248=REDiTool!$C$246,Dropdowns_v2!$B$2:$B$248,""),0))</f>
        <v>1.45E-4</v>
      </c>
      <c r="I246" s="225">
        <f t="array" ref="I246">INDEX(Dropdowns_v2!$D$2:$D$248, MATCH(REDiTool!$D$246, IF(Dropdowns_v2!$C$2:$C$248=REDiTool!$C$246,Dropdowns_v2!$B$2:$B$248,""),0))</f>
        <v>1.45E-4</v>
      </c>
      <c r="J246" s="225">
        <f t="array" ref="J246">INDEX(Dropdowns_v2!$D$2:$D$248, MATCH(REDiTool!$D$246, IF(Dropdowns_v2!$C$2:$C$248=REDiTool!$C$246,Dropdowns_v2!$B$2:$B$248,""),0))</f>
        <v>1.45E-4</v>
      </c>
      <c r="K246" s="225">
        <f t="array" ref="K246">INDEX(Dropdowns_v2!$D$2:$D$248, MATCH(REDiTool!$D$246, IF(Dropdowns_v2!$C$2:$C$248=REDiTool!$C$246,Dropdowns_v2!$B$2:$B$248,""),0))</f>
        <v>1.45E-4</v>
      </c>
      <c r="L246" s="225">
        <f t="array" ref="L246">INDEX(Dropdowns_v2!$D$2:$D$248, MATCH(REDiTool!$D$246, IF(Dropdowns_v2!$C$2:$C$248=REDiTool!$C$246,Dropdowns_v2!$B$2:$B$248,""),0))</f>
        <v>1.45E-4</v>
      </c>
      <c r="M246" s="225">
        <f t="array" ref="M246">INDEX(Dropdowns_v2!$D$2:$D$248, MATCH(REDiTool!$D$246, IF(Dropdowns_v2!$C$2:$C$248=REDiTool!$C$246,Dropdowns_v2!$B$2:$B$248,""),0))</f>
        <v>1.45E-4</v>
      </c>
      <c r="N246" s="225">
        <f t="array" ref="N246">INDEX(Dropdowns_v2!$D$2:$D$248, MATCH(REDiTool!$D$246, IF(Dropdowns_v2!$C$2:$C$248=REDiTool!$C$246,Dropdowns_v2!$B$2:$B$248,""),0))</f>
        <v>1.45E-4</v>
      </c>
      <c r="O246" s="225">
        <f t="array" ref="O246">INDEX(Dropdowns_v2!$D$2:$D$248, MATCH(REDiTool!$D$246, IF(Dropdowns_v2!$C$2:$C$248=REDiTool!$C$246,Dropdowns_v2!$B$2:$B$248,""),0))</f>
        <v>1.45E-4</v>
      </c>
      <c r="P246" s="30"/>
      <c r="Q246" s="246"/>
      <c r="R246" s="30"/>
      <c r="S246" s="225">
        <f t="array" ref="S246">INDEX(Dropdowns_v2!$D$2:$D$248, MATCH(REDiTool!$D$246, IF(Dropdowns_v2!$C$2:$C$248=REDiTool!$C$246,Dropdowns_v2!$B$2:$B$248,""),0))</f>
        <v>1.45E-4</v>
      </c>
      <c r="T246" s="225">
        <f t="array" ref="T246">INDEX(Dropdowns_v2!$D$2:$D$248, MATCH(REDiTool!$D$246, IF(Dropdowns_v2!$C$2:$C$248=REDiTool!$C$246,Dropdowns_v2!$B$2:$B$248,""),0))</f>
        <v>1.45E-4</v>
      </c>
      <c r="U246" s="225">
        <f t="array" ref="U246">INDEX(Dropdowns_v2!$D$2:$D$248, MATCH(REDiTool!$D$246, IF(Dropdowns_v2!$C$2:$C$248=REDiTool!$C$246,Dropdowns_v2!$B$2:$B$248,""),0))</f>
        <v>1.45E-4</v>
      </c>
    </row>
    <row r="247" spans="1:21" ht="15" hidden="1" customHeight="1">
      <c r="A247" s="424" t="s">
        <v>431</v>
      </c>
      <c r="B247" s="322" t="s">
        <v>153</v>
      </c>
      <c r="C247" s="148" t="s">
        <v>573</v>
      </c>
      <c r="D247" s="132" t="s">
        <v>574</v>
      </c>
      <c r="E247" s="30"/>
      <c r="F247" s="143">
        <f t="shared" ref="F247:O247" si="116">IF(ISNUMBER(SEARCH("heat pump", F63)), F245*F246,0)</f>
        <v>0</v>
      </c>
      <c r="G247" s="143">
        <f t="shared" si="116"/>
        <v>0</v>
      </c>
      <c r="H247" s="143">
        <f t="shared" si="116"/>
        <v>0</v>
      </c>
      <c r="I247" s="143">
        <f t="shared" si="116"/>
        <v>0</v>
      </c>
      <c r="J247" s="143">
        <f t="shared" si="116"/>
        <v>0</v>
      </c>
      <c r="K247" s="143">
        <f t="shared" si="116"/>
        <v>0</v>
      </c>
      <c r="L247" s="143">
        <f t="shared" si="116"/>
        <v>0</v>
      </c>
      <c r="M247" s="143">
        <f t="shared" si="116"/>
        <v>0</v>
      </c>
      <c r="N247" s="143">
        <f t="shared" si="116"/>
        <v>0</v>
      </c>
      <c r="O247" s="143">
        <f t="shared" si="116"/>
        <v>0</v>
      </c>
      <c r="P247" s="30"/>
      <c r="Q247" s="244"/>
      <c r="R247" s="30"/>
      <c r="S247" s="143">
        <f>IF(ISNUMBER(SEARCH("heat pump", S63)), S245*S246,0)</f>
        <v>37.263108397500801</v>
      </c>
      <c r="T247" s="143">
        <f>IF(ISNUMBER(SEARCH("heat pump", T63)), T245*T246,0)</f>
        <v>18.631554198750401</v>
      </c>
      <c r="U247" s="143">
        <f>IF(ISNUMBER(SEARCH("heat pump", U63)), U245*U246,0)</f>
        <v>37.263108397500801</v>
      </c>
    </row>
    <row r="248" spans="1:21" ht="15" hidden="1" customHeight="1">
      <c r="A248" s="424" t="s">
        <v>431</v>
      </c>
      <c r="B248" s="328" t="s">
        <v>153</v>
      </c>
      <c r="C248" s="190" t="s">
        <v>575</v>
      </c>
      <c r="D248" s="136" t="s">
        <v>576</v>
      </c>
      <c r="E248" s="30"/>
      <c r="F248" s="144" t="e">
        <f t="shared" ref="F248:O248" si="117">F236*(1-F136)</f>
        <v>#N/A</v>
      </c>
      <c r="G248" s="144" t="e">
        <f t="shared" si="117"/>
        <v>#N/A</v>
      </c>
      <c r="H248" s="144" t="e">
        <f t="shared" si="117"/>
        <v>#N/A</v>
      </c>
      <c r="I248" s="144" t="e">
        <f t="shared" si="117"/>
        <v>#N/A</v>
      </c>
      <c r="J248" s="144" t="e">
        <f t="shared" si="117"/>
        <v>#N/A</v>
      </c>
      <c r="K248" s="144" t="e">
        <f t="shared" si="117"/>
        <v>#N/A</v>
      </c>
      <c r="L248" s="144" t="e">
        <f t="shared" si="117"/>
        <v>#N/A</v>
      </c>
      <c r="M248" s="144" t="e">
        <f t="shared" si="117"/>
        <v>#N/A</v>
      </c>
      <c r="N248" s="144" t="e">
        <f t="shared" si="117"/>
        <v>#N/A</v>
      </c>
      <c r="O248" s="144" t="e">
        <f t="shared" si="117"/>
        <v>#N/A</v>
      </c>
      <c r="P248" s="30"/>
      <c r="Q248" s="244"/>
      <c r="R248" s="30"/>
      <c r="S248" s="144">
        <f>S236*(1-S136)</f>
        <v>0</v>
      </c>
      <c r="T248" s="144">
        <f>T236*(1-T136)</f>
        <v>81.961343624999998</v>
      </c>
      <c r="U248" s="144">
        <f>U236*(1-U136)</f>
        <v>0</v>
      </c>
    </row>
    <row r="249" spans="1:21" s="202" customFormat="1" ht="15.75" customHeight="1" thickBot="1">
      <c r="A249" s="749" t="s">
        <v>431</v>
      </c>
      <c r="B249" s="333" t="s">
        <v>148</v>
      </c>
      <c r="C249" s="188" t="s">
        <v>577</v>
      </c>
      <c r="D249" s="140" t="s">
        <v>452</v>
      </c>
      <c r="E249" s="91"/>
      <c r="F249" s="135" t="e">
        <f>F236-(SUBTOTAL(9,F247:F248))</f>
        <v>#N/A</v>
      </c>
      <c r="G249" s="135" t="e">
        <f>G236-(SUBTOTAL(9,G247:G248))</f>
        <v>#N/A</v>
      </c>
      <c r="H249" s="135" t="e">
        <f>H236-(SUBTOTAL(9,H247:H248))</f>
        <v>#N/A</v>
      </c>
      <c r="I249" s="135" t="e">
        <f t="shared" ref="I249:O249" si="118">I236-(SUBTOTAL(9,I247:I248))</f>
        <v>#N/A</v>
      </c>
      <c r="J249" s="135" t="e">
        <f t="shared" si="118"/>
        <v>#N/A</v>
      </c>
      <c r="K249" s="135" t="e">
        <f t="shared" si="118"/>
        <v>#N/A</v>
      </c>
      <c r="L249" s="135" t="e">
        <f t="shared" si="118"/>
        <v>#N/A</v>
      </c>
      <c r="M249" s="135" t="e">
        <f t="shared" si="118"/>
        <v>#N/A</v>
      </c>
      <c r="N249" s="135" t="e">
        <f t="shared" si="118"/>
        <v>#N/A</v>
      </c>
      <c r="O249" s="135" t="e">
        <f t="shared" si="118"/>
        <v>#N/A</v>
      </c>
      <c r="P249" s="91"/>
      <c r="Q249" s="246"/>
      <c r="R249" s="91"/>
      <c r="S249" s="135">
        <f>S236-(SUBTOTAL(9,S247:S248))</f>
        <v>163.92268725</v>
      </c>
      <c r="T249" s="135">
        <f>T236-(SUBTOTAL(9,T247:T248))</f>
        <v>163.92268725</v>
      </c>
      <c r="U249" s="135">
        <f>U236-(SUBTOTAL(9,U247:U248))</f>
        <v>163.92268725</v>
      </c>
    </row>
    <row r="250" spans="1:21" ht="15" hidden="1" customHeight="1">
      <c r="A250" s="137"/>
      <c r="B250" s="321" t="s">
        <v>153</v>
      </c>
      <c r="C250" s="200" t="s">
        <v>578</v>
      </c>
      <c r="D250" s="50"/>
      <c r="E250" s="30"/>
      <c r="F250" s="45" t="s">
        <v>566</v>
      </c>
      <c r="G250" s="45" t="s">
        <v>566</v>
      </c>
      <c r="H250" s="45" t="s">
        <v>566</v>
      </c>
      <c r="I250" s="45" t="s">
        <v>566</v>
      </c>
      <c r="J250" s="45" t="s">
        <v>566</v>
      </c>
      <c r="K250" s="45" t="s">
        <v>566</v>
      </c>
      <c r="L250" s="45" t="s">
        <v>566</v>
      </c>
      <c r="M250" s="45" t="s">
        <v>566</v>
      </c>
      <c r="N250" s="45" t="s">
        <v>566</v>
      </c>
      <c r="O250" s="45" t="s">
        <v>566</v>
      </c>
      <c r="P250" s="30"/>
      <c r="Q250" s="258"/>
      <c r="R250" s="30"/>
      <c r="S250" s="45" t="s">
        <v>566</v>
      </c>
      <c r="T250" s="45" t="s">
        <v>566</v>
      </c>
      <c r="U250" s="45" t="s">
        <v>566</v>
      </c>
    </row>
    <row r="251" spans="1:21" s="49" customFormat="1" ht="15" hidden="1" customHeight="1">
      <c r="A251" s="149"/>
      <c r="B251" s="320" t="s">
        <v>153</v>
      </c>
      <c r="C251" s="191" t="s">
        <v>579</v>
      </c>
      <c r="D251" s="157" t="s">
        <v>563</v>
      </c>
      <c r="E251" s="55"/>
      <c r="F251" s="155" t="e">
        <f t="shared" ref="F251:O251" si="119">F242+F247+F248</f>
        <v>#N/A</v>
      </c>
      <c r="G251" s="155" t="e">
        <f t="shared" si="119"/>
        <v>#N/A</v>
      </c>
      <c r="H251" s="155" t="e">
        <f t="shared" si="119"/>
        <v>#N/A</v>
      </c>
      <c r="I251" s="155" t="e">
        <f t="shared" si="119"/>
        <v>#N/A</v>
      </c>
      <c r="J251" s="155" t="e">
        <f t="shared" si="119"/>
        <v>#N/A</v>
      </c>
      <c r="K251" s="155" t="e">
        <f t="shared" si="119"/>
        <v>#N/A</v>
      </c>
      <c r="L251" s="155" t="e">
        <f t="shared" si="119"/>
        <v>#N/A</v>
      </c>
      <c r="M251" s="155" t="e">
        <f t="shared" si="119"/>
        <v>#N/A</v>
      </c>
      <c r="N251" s="155" t="e">
        <f t="shared" si="119"/>
        <v>#N/A</v>
      </c>
      <c r="O251" s="155" t="e">
        <f t="shared" si="119"/>
        <v>#N/A</v>
      </c>
      <c r="P251" s="55"/>
      <c r="Q251" s="268"/>
      <c r="R251" s="55"/>
      <c r="S251" s="155">
        <f t="shared" ref="S251:U251" si="120">S242+S247+S248</f>
        <v>59.186592058110413</v>
      </c>
      <c r="T251" s="155">
        <f t="shared" si="120"/>
        <v>122.51638148436001</v>
      </c>
      <c r="U251" s="155">
        <f t="shared" si="120"/>
        <v>64.667462973262815</v>
      </c>
    </row>
    <row r="252" spans="1:21" s="203" customFormat="1" hidden="1">
      <c r="A252" s="150"/>
      <c r="B252" s="334" t="s">
        <v>151</v>
      </c>
      <c r="C252" s="192" t="s">
        <v>580</v>
      </c>
      <c r="D252" s="132" t="s">
        <v>563</v>
      </c>
      <c r="E252" s="91"/>
      <c r="F252" s="133" t="e">
        <f t="shared" ref="F252:L252" si="121">F237-F251</f>
        <v>#N/A</v>
      </c>
      <c r="G252" s="133" t="e">
        <f t="shared" si="121"/>
        <v>#N/A</v>
      </c>
      <c r="H252" s="133" t="e">
        <f t="shared" si="121"/>
        <v>#N/A</v>
      </c>
      <c r="I252" s="133" t="e">
        <f t="shared" si="121"/>
        <v>#N/A</v>
      </c>
      <c r="J252" s="133" t="e">
        <f t="shared" si="121"/>
        <v>#N/A</v>
      </c>
      <c r="K252" s="133" t="e">
        <f t="shared" si="121"/>
        <v>#N/A</v>
      </c>
      <c r="L252" s="133" t="e">
        <f t="shared" si="121"/>
        <v>#N/A</v>
      </c>
      <c r="M252" s="133" t="e">
        <f>M243+M249</f>
        <v>#N/A</v>
      </c>
      <c r="N252" s="133" t="e">
        <f>N243+N249</f>
        <v>#N/A</v>
      </c>
      <c r="O252" s="133" t="e">
        <f>O243+O249</f>
        <v>#N/A</v>
      </c>
      <c r="P252" s="91"/>
      <c r="Q252" s="269"/>
      <c r="R252" s="91"/>
      <c r="S252" s="133">
        <f t="shared" ref="S252:U252" si="122">S237-S251</f>
        <v>409.16394294188962</v>
      </c>
      <c r="T252" s="133">
        <f t="shared" si="122"/>
        <v>345.83415351564003</v>
      </c>
      <c r="U252" s="133">
        <f t="shared" si="122"/>
        <v>403.68307202673725</v>
      </c>
    </row>
    <row r="253" spans="1:21" s="203" customFormat="1" ht="15" hidden="1" customHeight="1">
      <c r="A253" s="149"/>
      <c r="B253" s="335" t="s">
        <v>153</v>
      </c>
      <c r="C253" s="216" t="s">
        <v>581</v>
      </c>
      <c r="D253" s="217" t="s">
        <v>582</v>
      </c>
      <c r="E253" s="91"/>
      <c r="F253" s="218" t="e">
        <f t="shared" ref="F253:O253" si="123">F252/F45</f>
        <v>#N/A</v>
      </c>
      <c r="G253" s="218" t="e">
        <f t="shared" si="123"/>
        <v>#N/A</v>
      </c>
      <c r="H253" s="218" t="e">
        <f t="shared" si="123"/>
        <v>#N/A</v>
      </c>
      <c r="I253" s="218" t="e">
        <f t="shared" si="123"/>
        <v>#N/A</v>
      </c>
      <c r="J253" s="218" t="e">
        <f t="shared" si="123"/>
        <v>#N/A</v>
      </c>
      <c r="K253" s="218" t="e">
        <f t="shared" si="123"/>
        <v>#N/A</v>
      </c>
      <c r="L253" s="218" t="e">
        <f t="shared" si="123"/>
        <v>#N/A</v>
      </c>
      <c r="M253" s="218" t="e">
        <f t="shared" si="123"/>
        <v>#N/A</v>
      </c>
      <c r="N253" s="218" t="e">
        <f t="shared" si="123"/>
        <v>#N/A</v>
      </c>
      <c r="O253" s="218" t="e">
        <f t="shared" si="123"/>
        <v>#N/A</v>
      </c>
      <c r="P253" s="91"/>
      <c r="Q253" s="269"/>
      <c r="R253" s="91"/>
      <c r="S253" s="218">
        <f>S252/S45</f>
        <v>3.0308440217917751</v>
      </c>
      <c r="T253" s="218">
        <f>T252/T45</f>
        <v>2.5617344704862224</v>
      </c>
      <c r="U253" s="218">
        <f>U252/U45</f>
        <v>2.9902449779758316</v>
      </c>
    </row>
    <row r="254" spans="1:21" s="203" customFormat="1" ht="15" hidden="1" customHeight="1">
      <c r="A254" s="149"/>
      <c r="B254" s="335" t="s">
        <v>153</v>
      </c>
      <c r="C254" s="216" t="s">
        <v>583</v>
      </c>
      <c r="D254" s="217"/>
      <c r="E254" s="91"/>
      <c r="F254" s="219" t="e">
        <f t="shared" ref="F254:O254" si="124">F252/F56</f>
        <v>#N/A</v>
      </c>
      <c r="G254" s="219" t="e">
        <f t="shared" si="124"/>
        <v>#N/A</v>
      </c>
      <c r="H254" s="219" t="e">
        <f t="shared" si="124"/>
        <v>#N/A</v>
      </c>
      <c r="I254" s="219" t="e">
        <f t="shared" si="124"/>
        <v>#N/A</v>
      </c>
      <c r="J254" s="219" t="e">
        <f t="shared" si="124"/>
        <v>#N/A</v>
      </c>
      <c r="K254" s="219" t="e">
        <f t="shared" si="124"/>
        <v>#N/A</v>
      </c>
      <c r="L254" s="219" t="e">
        <f t="shared" si="124"/>
        <v>#N/A</v>
      </c>
      <c r="M254" s="219" t="e">
        <f t="shared" si="124"/>
        <v>#N/A</v>
      </c>
      <c r="N254" s="219" t="e">
        <f t="shared" si="124"/>
        <v>#N/A</v>
      </c>
      <c r="O254" s="219" t="e">
        <f t="shared" si="124"/>
        <v>#N/A</v>
      </c>
      <c r="P254" s="91"/>
      <c r="Q254" s="269"/>
      <c r="R254" s="91"/>
      <c r="S254" s="219">
        <f>S252/S56</f>
        <v>2.8072997800472699E-3</v>
      </c>
      <c r="T254" s="219">
        <f>T252/T56</f>
        <v>2.3727900755790053E-3</v>
      </c>
      <c r="U254" s="219">
        <f>U252/U56</f>
        <v>2.7696951768558303E-3</v>
      </c>
    </row>
    <row r="255" spans="1:21" s="202" customFormat="1" ht="16.5" hidden="1" customHeight="1" thickBot="1">
      <c r="A255" s="163"/>
      <c r="B255" s="336" t="s">
        <v>153</v>
      </c>
      <c r="C255" s="222" t="s">
        <v>584</v>
      </c>
      <c r="D255" s="158" t="s">
        <v>563</v>
      </c>
      <c r="E255" s="164"/>
      <c r="F255" s="348" t="e">
        <f t="shared" ref="F255:O255" si="125">F252/F237</f>
        <v>#N/A</v>
      </c>
      <c r="G255" s="348" t="e">
        <f t="shared" si="125"/>
        <v>#N/A</v>
      </c>
      <c r="H255" s="348" t="e">
        <f t="shared" si="125"/>
        <v>#N/A</v>
      </c>
      <c r="I255" s="348" t="e">
        <f t="shared" si="125"/>
        <v>#N/A</v>
      </c>
      <c r="J255" s="348" t="e">
        <f t="shared" si="125"/>
        <v>#N/A</v>
      </c>
      <c r="K255" s="348" t="e">
        <f t="shared" si="125"/>
        <v>#N/A</v>
      </c>
      <c r="L255" s="348" t="e">
        <f t="shared" si="125"/>
        <v>#N/A</v>
      </c>
      <c r="M255" s="348" t="e">
        <f t="shared" si="125"/>
        <v>#N/A</v>
      </c>
      <c r="N255" s="348" t="e">
        <f t="shared" si="125"/>
        <v>#N/A</v>
      </c>
      <c r="O255" s="348" t="e">
        <f t="shared" si="125"/>
        <v>#N/A</v>
      </c>
      <c r="P255" s="165"/>
      <c r="Q255" s="270"/>
      <c r="R255" s="165"/>
      <c r="S255" s="348">
        <f t="shared" ref="S255:U255" si="126">S252/S237</f>
        <v>0.87362757670788094</v>
      </c>
      <c r="T255" s="348">
        <f t="shared" si="126"/>
        <v>0.73840879356663913</v>
      </c>
      <c r="U255" s="348">
        <f t="shared" si="126"/>
        <v>0.86192507931423035</v>
      </c>
    </row>
    <row r="256" spans="1:21" ht="13.15" hidden="1" customHeight="1">
      <c r="A256" s="391"/>
      <c r="B256" s="392" t="s">
        <v>153</v>
      </c>
      <c r="C256" s="393"/>
      <c r="D256" s="117"/>
      <c r="E256" s="30"/>
      <c r="F256" s="394"/>
      <c r="G256" s="394"/>
      <c r="H256" s="394"/>
      <c r="I256" s="394"/>
      <c r="J256" s="394"/>
      <c r="K256" s="394"/>
      <c r="L256" s="394"/>
      <c r="M256" s="394"/>
      <c r="N256" s="394"/>
      <c r="O256" s="394"/>
      <c r="P256" s="30"/>
      <c r="Q256" s="729"/>
      <c r="R256" s="30"/>
      <c r="S256" s="394"/>
      <c r="T256" s="394"/>
      <c r="U256" s="394"/>
    </row>
    <row r="257" spans="1:24" s="31" customFormat="1" ht="13.5" hidden="1" customHeight="1">
      <c r="A257" s="137"/>
      <c r="B257" s="321" t="s">
        <v>153</v>
      </c>
      <c r="C257" s="201" t="s">
        <v>585</v>
      </c>
      <c r="D257" s="43"/>
      <c r="E257" s="52"/>
      <c r="F257" s="138"/>
      <c r="G257" s="138"/>
      <c r="H257" s="138"/>
      <c r="I257" s="138"/>
      <c r="J257" s="138"/>
      <c r="K257" s="138"/>
      <c r="L257" s="138"/>
      <c r="M257" s="138"/>
      <c r="N257" s="138"/>
      <c r="O257" s="138"/>
      <c r="P257" s="52"/>
      <c r="Q257" s="271" t="s">
        <v>166</v>
      </c>
      <c r="R257" s="52"/>
      <c r="S257" s="138"/>
      <c r="T257" s="138"/>
      <c r="U257" s="138"/>
    </row>
    <row r="258" spans="1:24" s="31" customFormat="1" ht="13.5" hidden="1" customHeight="1">
      <c r="A258" s="149"/>
      <c r="B258" s="313"/>
      <c r="C258" s="1062" t="s">
        <v>586</v>
      </c>
      <c r="D258" s="157"/>
      <c r="E258" s="89"/>
      <c r="F258" s="1063" t="e">
        <f t="shared" ref="F258:O258" si="127">((F87*F95)+(F91*F96))/1000</f>
        <v>#N/A</v>
      </c>
      <c r="G258" s="1063" t="e">
        <f t="shared" si="127"/>
        <v>#N/A</v>
      </c>
      <c r="H258" s="1063" t="e">
        <f t="shared" si="127"/>
        <v>#N/A</v>
      </c>
      <c r="I258" s="1063" t="e">
        <f t="shared" si="127"/>
        <v>#N/A</v>
      </c>
      <c r="J258" s="1063" t="e">
        <f t="shared" si="127"/>
        <v>#N/A</v>
      </c>
      <c r="K258" s="1063" t="e">
        <f t="shared" si="127"/>
        <v>#N/A</v>
      </c>
      <c r="L258" s="1063" t="e">
        <f t="shared" si="127"/>
        <v>#N/A</v>
      </c>
      <c r="M258" s="1063" t="e">
        <f t="shared" si="127"/>
        <v>#N/A</v>
      </c>
      <c r="N258" s="1063" t="e">
        <f t="shared" si="127"/>
        <v>#N/A</v>
      </c>
      <c r="O258" s="1063" t="e">
        <f t="shared" si="127"/>
        <v>#N/A</v>
      </c>
      <c r="P258" s="89"/>
      <c r="Q258" s="272"/>
      <c r="R258" s="89"/>
      <c r="S258" s="1063">
        <f>((S87*S95)+(S91*S96))/1000</f>
        <v>5732.0249999999996</v>
      </c>
      <c r="T258" s="1063">
        <f>((T87*T95)+(T91*T96))/1000</f>
        <v>5732.0249999999996</v>
      </c>
      <c r="U258" s="1063">
        <f>((U87*U95)+(U91*U96))/1000</f>
        <v>5732.0249999999996</v>
      </c>
      <c r="V258" s="49"/>
      <c r="W258" s="49"/>
      <c r="X258" s="49"/>
    </row>
    <row r="259" spans="1:24" s="31" customFormat="1" ht="13.5" hidden="1" customHeight="1">
      <c r="A259" s="149"/>
      <c r="B259" s="313"/>
      <c r="C259" s="1062" t="s">
        <v>587</v>
      </c>
      <c r="D259" s="157"/>
      <c r="E259" s="89"/>
      <c r="F259" s="1063" t="e">
        <f t="shared" ref="F259:O259" si="128">((F87*F100)+(F91*F101))/1000</f>
        <v>#N/A</v>
      </c>
      <c r="G259" s="1063" t="e">
        <f t="shared" si="128"/>
        <v>#N/A</v>
      </c>
      <c r="H259" s="1063" t="e">
        <f t="shared" si="128"/>
        <v>#N/A</v>
      </c>
      <c r="I259" s="1063" t="e">
        <f t="shared" si="128"/>
        <v>#N/A</v>
      </c>
      <c r="J259" s="1063" t="e">
        <f t="shared" si="128"/>
        <v>#N/A</v>
      </c>
      <c r="K259" s="1063" t="e">
        <f t="shared" si="128"/>
        <v>#N/A</v>
      </c>
      <c r="L259" s="1063" t="e">
        <f t="shared" si="128"/>
        <v>#N/A</v>
      </c>
      <c r="M259" s="1063" t="e">
        <f t="shared" si="128"/>
        <v>#N/A</v>
      </c>
      <c r="N259" s="1063" t="e">
        <f t="shared" si="128"/>
        <v>#N/A</v>
      </c>
      <c r="O259" s="1063" t="e">
        <f t="shared" si="128"/>
        <v>#N/A</v>
      </c>
      <c r="P259" s="89"/>
      <c r="Q259" s="272"/>
      <c r="R259" s="89"/>
      <c r="S259" s="1063">
        <f>((S87*S100)+(S91*S101))/1000</f>
        <v>3086.4749999999999</v>
      </c>
      <c r="T259" s="1063">
        <f>((T87*T100)+(T91*T101))/1000</f>
        <v>3086.4749999999999</v>
      </c>
      <c r="U259" s="1063">
        <f>((U87*U100)+(U91*U101))/1000</f>
        <v>3086.4749999999999</v>
      </c>
      <c r="V259" s="49"/>
      <c r="W259" s="49"/>
      <c r="X259" s="49"/>
    </row>
    <row r="260" spans="1:24" s="49" customFormat="1" ht="15.75" hidden="1" customHeight="1">
      <c r="A260" s="149"/>
      <c r="B260" s="313" t="s">
        <v>153</v>
      </c>
      <c r="C260" s="187" t="s">
        <v>588</v>
      </c>
      <c r="D260" s="157" t="s">
        <v>563</v>
      </c>
      <c r="E260" s="89"/>
      <c r="F260" s="156" t="e">
        <f t="shared" ref="F260:O260" si="129">(F231+F233)/1000</f>
        <v>#N/A</v>
      </c>
      <c r="G260" s="156" t="e">
        <f t="shared" si="129"/>
        <v>#N/A</v>
      </c>
      <c r="H260" s="156" t="e">
        <f t="shared" si="129"/>
        <v>#N/A</v>
      </c>
      <c r="I260" s="156" t="e">
        <f t="shared" si="129"/>
        <v>#N/A</v>
      </c>
      <c r="J260" s="156" t="e">
        <f>(J231+J233)/1000</f>
        <v>#N/A</v>
      </c>
      <c r="K260" s="156" t="e">
        <f t="shared" si="129"/>
        <v>#N/A</v>
      </c>
      <c r="L260" s="156" t="e">
        <f t="shared" si="129"/>
        <v>#N/A</v>
      </c>
      <c r="M260" s="156" t="e">
        <f t="shared" ref="M260:N260" si="130">(M231+M233)/1000</f>
        <v>#N/A</v>
      </c>
      <c r="N260" s="156" t="e">
        <f t="shared" si="130"/>
        <v>#N/A</v>
      </c>
      <c r="O260" s="156" t="e">
        <f t="shared" si="129"/>
        <v>#N/A</v>
      </c>
      <c r="P260" s="89"/>
      <c r="Q260" s="272"/>
      <c r="R260" s="89"/>
      <c r="S260" s="156">
        <f t="shared" ref="S260:U260" si="131">(S231+S233)/1000</f>
        <v>8818.5</v>
      </c>
      <c r="T260" s="156">
        <f t="shared" si="131"/>
        <v>8818.5</v>
      </c>
      <c r="U260" s="156">
        <f t="shared" si="131"/>
        <v>8818.5</v>
      </c>
    </row>
    <row r="261" spans="1:24" ht="15.75" hidden="1" customHeight="1">
      <c r="A261" s="137" t="s">
        <v>589</v>
      </c>
      <c r="B261" s="310" t="s">
        <v>153</v>
      </c>
      <c r="C261" s="184" t="s">
        <v>590</v>
      </c>
      <c r="D261" s="53" t="s">
        <v>591</v>
      </c>
      <c r="E261" s="30"/>
      <c r="F261" s="46" t="e" cm="1">
        <f t="array" ref="F261">IF(ISNUMBER(SEARCH("heat pump", F59)), F240*INDEX(Dropdowns_v2!$D$2:$D$248, MATCH(REDiTool!$D$261, IF(Dropdowns_v2!$C$2:$C$248=REDiTool!$D$261,Dropdowns_v2!$B$2:$B$248,""),0)), F240*Dropdowns_v2!$D$189/F94/F93/1000)</f>
        <v>#N/A</v>
      </c>
      <c r="G261" s="46" t="e" cm="1">
        <f t="array" ref="G261">IF(ISNUMBER(SEARCH("heat pump", G59)), G240*INDEX(Dropdowns_v2!$D$2:$D$248, MATCH(REDiTool!$D$261, IF(Dropdowns_v2!$C$2:$C$248=REDiTool!$D$261,Dropdowns_v2!$B$2:$B$248,""),0)), G117/G94/G93/1000)</f>
        <v>#N/A</v>
      </c>
      <c r="H261" s="46" t="e" cm="1">
        <f t="array" ref="H261">IF(ISNUMBER(SEARCH("heat pump", H59)), H240*INDEX(Dropdowns_v2!$D$2:$D$248, MATCH(REDiTool!$D$261, IF(Dropdowns_v2!$C$2:$C$248=REDiTool!$D$261,Dropdowns_v2!$B$2:$B$248,""),0)), H117/H94/H93/1000)</f>
        <v>#N/A</v>
      </c>
      <c r="I261" s="46" t="e" cm="1">
        <f t="array" ref="I261">IF(ISNUMBER(SEARCH("heat pump", I59)), I240*INDEX(Dropdowns_v2!$D$2:$D$248, MATCH(REDiTool!$D$261, IF(Dropdowns_v2!$C$2:$C$248=REDiTool!$D$261,Dropdowns_v2!$B$2:$B$248,""),0)), I117/I94/I93/1000)</f>
        <v>#N/A</v>
      </c>
      <c r="J261" s="46" t="e" cm="1">
        <f t="array" ref="J261">IF(ISNUMBER(SEARCH("heat pump", J59)), J240*INDEX(Dropdowns_v2!$D$2:$D$248, MATCH(REDiTool!$D$261, IF(Dropdowns_v2!$C$2:$C$248=REDiTool!$D$261,Dropdowns_v2!$B$2:$B$248,""),0)), J117/J94/J93/1000)</f>
        <v>#N/A</v>
      </c>
      <c r="K261" s="46" t="e" cm="1">
        <f t="array" ref="K261">IF(ISNUMBER(SEARCH("heat pump", K59)), K240*INDEX(Dropdowns_v2!$D$2:$D$248, MATCH(REDiTool!$D$261, IF(Dropdowns_v2!$C$2:$C$248=REDiTool!$D$261,Dropdowns_v2!$B$2:$B$248,""),0)), K117/K94/K93/1000)</f>
        <v>#N/A</v>
      </c>
      <c r="L261" s="46" t="e" cm="1">
        <f t="array" ref="L261">IF(ISNUMBER(SEARCH("heat pump", L59)), L240*INDEX(Dropdowns_v2!$D$2:$D$248, MATCH(REDiTool!$D$261, IF(Dropdowns_v2!$C$2:$C$248=REDiTool!$D$261,Dropdowns_v2!$B$2:$B$248,""),0)), L117/L94/L93/1000)</f>
        <v>#N/A</v>
      </c>
      <c r="M261" s="46" t="e" cm="1">
        <f t="array" ref="M261">IF(ISNUMBER(SEARCH("heat pump", M59)), M240*INDEX(Dropdowns_v2!$D$2:$D$248, MATCH(REDiTool!$D$261, IF(Dropdowns_v2!$C$2:$C$248=REDiTool!$D$261,Dropdowns_v2!$B$2:$B$248,""),0)), M117/M94/M93/1000)</f>
        <v>#N/A</v>
      </c>
      <c r="N261" s="46" t="e" cm="1">
        <f t="array" ref="N261">IF(ISNUMBER(SEARCH("heat pump", N59)), N240*INDEX(Dropdowns_v2!$D$2:$D$248, MATCH(REDiTool!$D$261, IF(Dropdowns_v2!$C$2:$C$248=REDiTool!$D$261,Dropdowns_v2!$B$2:$B$248,""),0)), N117/N94/N93/1000)</f>
        <v>#N/A</v>
      </c>
      <c r="O261" s="46" t="e" cm="1">
        <f t="array" ref="O261">IF(ISNUMBER(SEARCH("heat pump", O59)), O240*INDEX(Dropdowns_v2!$D$2:$D$248, MATCH(REDiTool!$D$261, IF(Dropdowns_v2!$C$2:$C$248=REDiTool!$D$261,Dropdowns_v2!$B$2:$B$248,""),0)), O117/O94/O93/1000)</f>
        <v>#N/A</v>
      </c>
      <c r="P261" s="30"/>
      <c r="Q261" s="272"/>
      <c r="R261" s="30"/>
      <c r="S261" s="46" cm="1">
        <f t="array" ref="S261">IF(ISNUMBER(SEARCH("heat pump", S59)), S240*INDEX(Dropdowns_v2!$D$2:$D$248, MATCH(REDiTool!$D$261, IF(Dropdowns_v2!$C$2:$C$248=REDiTool!$D$261,Dropdowns_v2!$B$2:$B$248,""),0)), S240*Dropdowns_v2!$D$189/S94/S93/1000)</f>
        <v>515.50586771030521</v>
      </c>
      <c r="T261" s="46" cm="1">
        <f t="array" ref="T261">IF(ISNUMBER(SEARCH("heat pump", T59)), T240*INDEX(Dropdowns_v2!$D$2:$D$248, MATCH(REDiTool!$D$261, IF(Dropdowns_v2!$C$2:$C$248=REDiTool!$D$261,Dropdowns_v2!$B$2:$B$248,""),0)), T117/T94/T93/1000)</f>
        <v>515.50586771030521</v>
      </c>
      <c r="U261" s="46" cm="1">
        <f t="array" ref="U261">IF(ISNUMBER(SEARCH("heat pump", U59)), U240*INDEX(Dropdowns_v2!$D$2:$D$248, MATCH(REDiTool!$D$261, IF(Dropdowns_v2!$C$2:$C$248=REDiTool!$D$261,Dropdowns_v2!$B$2:$B$248,""),0)), U117/U94/U93/1000)</f>
        <v>644.38233463788151</v>
      </c>
    </row>
    <row r="262" spans="1:24" ht="15.75" hidden="1" customHeight="1">
      <c r="A262" s="137" t="s">
        <v>589</v>
      </c>
      <c r="B262" s="310" t="s">
        <v>153</v>
      </c>
      <c r="C262" s="184" t="s">
        <v>592</v>
      </c>
      <c r="D262" s="53" t="s">
        <v>591</v>
      </c>
      <c r="E262" s="30"/>
      <c r="F262" s="47" cm="1">
        <f t="array" ref="F262">IF(ISNUMBER(SEARCH("heat pump", F63)), F245*INDEX(Dropdowns_v2!$D$2:$D$248, MATCH(REDiTool!$D$262, IF(Dropdowns_v2!$C$2:$C$248=REDiTool!$D$262,Dropdowns_v2!$B$2:$B$248,""),0)),0)</f>
        <v>0</v>
      </c>
      <c r="G262" s="47" cm="1">
        <f t="array" ref="G262">IF(ISNUMBER(SEARCH("heat pump", G63)), G245*INDEX(Dropdowns_v2!$D$2:$D$248, MATCH(REDiTool!$D$262, IF(Dropdowns_v2!$C$2:$C$248=REDiTool!$D$262,Dropdowns_v2!$B$2:$B$248,""),0)),0)</f>
        <v>0</v>
      </c>
      <c r="H262" s="47" cm="1">
        <f t="array" ref="H262">IF(ISNUMBER(SEARCH("heat pump", H63)), H245*INDEX(Dropdowns_v2!$D$2:$D$248, MATCH(REDiTool!$D$262, IF(Dropdowns_v2!$C$2:$C$248=REDiTool!$D$262,Dropdowns_v2!$B$2:$B$248,""),0)),0)</f>
        <v>0</v>
      </c>
      <c r="I262" s="47" cm="1">
        <f t="array" ref="I262">IF(ISNUMBER(SEARCH("heat pump", I63)), I245*INDEX(Dropdowns_v2!$D$2:$D$248, MATCH(REDiTool!$D$262, IF(Dropdowns_v2!$C$2:$C$248=REDiTool!$D$262,Dropdowns_v2!$B$2:$B$248,""),0)),0)</f>
        <v>0</v>
      </c>
      <c r="J262" s="47" cm="1">
        <f t="array" ref="J262">IF(ISNUMBER(SEARCH("heat pump", J63)), J245*INDEX(Dropdowns_v2!$D$2:$D$248, MATCH(REDiTool!$D$262, IF(Dropdowns_v2!$C$2:$C$248=REDiTool!$D$262,Dropdowns_v2!$B$2:$B$248,""),0)),0)</f>
        <v>0</v>
      </c>
      <c r="K262" s="47" cm="1">
        <f t="array" ref="K262">IF(ISNUMBER(SEARCH("heat pump", K63)), K245*INDEX(Dropdowns_v2!$D$2:$D$248, MATCH(REDiTool!$D$262, IF(Dropdowns_v2!$C$2:$C$248=REDiTool!$D$262,Dropdowns_v2!$B$2:$B$248,""),0)),0)</f>
        <v>0</v>
      </c>
      <c r="L262" s="47" cm="1">
        <f t="array" ref="L262">IF(ISNUMBER(SEARCH("heat pump", L63)), L245*INDEX(Dropdowns_v2!$D$2:$D$248, MATCH(REDiTool!$D$262, IF(Dropdowns_v2!$C$2:$C$248=REDiTool!$D$262,Dropdowns_v2!$B$2:$B$248,""),0)),0)</f>
        <v>0</v>
      </c>
      <c r="M262" s="47" cm="1">
        <f t="array" ref="M262">IF(ISNUMBER(SEARCH("heat pump", M63)), M245*INDEX(Dropdowns_v2!$D$2:$D$248, MATCH(REDiTool!$D$262, IF(Dropdowns_v2!$C$2:$C$248=REDiTool!$D$262,Dropdowns_v2!$B$2:$B$248,""),0)),0)</f>
        <v>0</v>
      </c>
      <c r="N262" s="47" cm="1">
        <f t="array" ref="N262">IF(ISNUMBER(SEARCH("heat pump", N63)), N245*INDEX(Dropdowns_v2!$D$2:$D$248, MATCH(REDiTool!$D$262, IF(Dropdowns_v2!$C$2:$C$248=REDiTool!$D$262,Dropdowns_v2!$B$2:$B$248,""),0)),0)</f>
        <v>0</v>
      </c>
      <c r="O262" s="47" cm="1">
        <f t="array" ref="O262">IF(ISNUMBER(SEARCH("heat pump", O63)), O245*INDEX(Dropdowns_v2!$D$2:$D$248, MATCH(REDiTool!$D$262, IF(Dropdowns_v2!$C$2:$C$248=REDiTool!$D$262,Dropdowns_v2!$B$2:$B$248,""),0)),0)</f>
        <v>0</v>
      </c>
      <c r="P262" s="30"/>
      <c r="Q262" s="272"/>
      <c r="R262" s="30"/>
      <c r="S262" s="47" cm="1">
        <f t="array" ref="S262">IF(ISNUMBER(SEARCH("heat pump", S63)), S245*INDEX(Dropdowns_v2!$D$2:$D$248, MATCH(REDiTool!$D$262, IF(Dropdowns_v2!$C$2:$C$248=REDiTool!$D$262,Dropdowns_v2!$B$2:$B$248,""),0)),0)</f>
        <v>876.19975572361511</v>
      </c>
      <c r="T262" s="47" cm="1">
        <f t="array" ref="T262">IF(ISNUMBER(SEARCH("heat pump", T63)), T245*INDEX(Dropdowns_v2!$D$2:$D$248, MATCH(REDiTool!$D$262, IF(Dropdowns_v2!$C$2:$C$248=REDiTool!$D$262,Dropdowns_v2!$B$2:$B$248,""),0)),0)</f>
        <v>438.09987786180756</v>
      </c>
      <c r="U262" s="47" cm="1">
        <f t="array" ref="U262">IF(ISNUMBER(SEARCH("heat pump", U63)), U245*INDEX(Dropdowns_v2!$D$2:$D$248, MATCH(REDiTool!$D$262, IF(Dropdowns_v2!$C$2:$C$248=REDiTool!$D$262,Dropdowns_v2!$B$2:$B$248,""),0)),0)</f>
        <v>876.19975572361511</v>
      </c>
    </row>
    <row r="263" spans="1:24" ht="15.75" hidden="1" customHeight="1">
      <c r="A263" s="137" t="s">
        <v>431</v>
      </c>
      <c r="B263" s="314" t="s">
        <v>153</v>
      </c>
      <c r="C263" s="352" t="s">
        <v>593</v>
      </c>
      <c r="D263" s="136" t="s">
        <v>576</v>
      </c>
      <c r="E263" s="30"/>
      <c r="F263" s="353" t="e">
        <f>(F133*(1-F135)*(1-F137)/1000/F99)*(1-F136)</f>
        <v>#N/A</v>
      </c>
      <c r="G263" s="353" t="e">
        <f t="shared" ref="G263:O263" si="132">(G133/1000/G99)*(1-G136)</f>
        <v>#N/A</v>
      </c>
      <c r="H263" s="353" t="e">
        <f t="shared" si="132"/>
        <v>#N/A</v>
      </c>
      <c r="I263" s="353" t="e">
        <f t="shared" si="132"/>
        <v>#N/A</v>
      </c>
      <c r="J263" s="353" t="e">
        <f t="shared" si="132"/>
        <v>#N/A</v>
      </c>
      <c r="K263" s="353" t="e">
        <f t="shared" si="132"/>
        <v>#N/A</v>
      </c>
      <c r="L263" s="353" t="e">
        <f t="shared" si="132"/>
        <v>#N/A</v>
      </c>
      <c r="M263" s="353" t="e">
        <f t="shared" si="132"/>
        <v>#N/A</v>
      </c>
      <c r="N263" s="353" t="e">
        <f t="shared" si="132"/>
        <v>#N/A</v>
      </c>
      <c r="O263" s="353" t="e">
        <f t="shared" si="132"/>
        <v>#N/A</v>
      </c>
      <c r="P263" s="30"/>
      <c r="Q263" s="272"/>
      <c r="R263" s="30"/>
      <c r="S263" s="353">
        <f>(S133*(1-S135)*(1-S137)/1000/S99)*(1-S136)</f>
        <v>0</v>
      </c>
      <c r="T263" s="353">
        <f>(T133/1000/T99)*(1-T136)</f>
        <v>1543.2375</v>
      </c>
      <c r="U263" s="353">
        <f>(U133/1000/U99)*(1-U136)</f>
        <v>0</v>
      </c>
    </row>
    <row r="264" spans="1:24" s="49" customFormat="1" ht="15.75" hidden="1" customHeight="1">
      <c r="A264" s="149"/>
      <c r="B264" s="310" t="s">
        <v>153</v>
      </c>
      <c r="C264" s="187" t="s">
        <v>594</v>
      </c>
      <c r="D264" s="157" t="s">
        <v>563</v>
      </c>
      <c r="E264" s="89"/>
      <c r="F264" s="156" t="e">
        <f t="shared" ref="F264:O264" si="133">SUM(F261:F263)</f>
        <v>#N/A</v>
      </c>
      <c r="G264" s="156" t="e">
        <f t="shared" si="133"/>
        <v>#N/A</v>
      </c>
      <c r="H264" s="156" t="e">
        <f t="shared" si="133"/>
        <v>#N/A</v>
      </c>
      <c r="I264" s="156" t="e">
        <f t="shared" si="133"/>
        <v>#N/A</v>
      </c>
      <c r="J264" s="156" t="e">
        <f t="shared" si="133"/>
        <v>#N/A</v>
      </c>
      <c r="K264" s="156" t="e">
        <f t="shared" si="133"/>
        <v>#N/A</v>
      </c>
      <c r="L264" s="156" t="e">
        <f t="shared" si="133"/>
        <v>#N/A</v>
      </c>
      <c r="M264" s="156" t="e">
        <f t="shared" ref="M264:N264" si="134">SUM(M261:M263)</f>
        <v>#N/A</v>
      </c>
      <c r="N264" s="156" t="e">
        <f t="shared" si="134"/>
        <v>#N/A</v>
      </c>
      <c r="O264" s="156" t="e">
        <f t="shared" si="133"/>
        <v>#N/A</v>
      </c>
      <c r="P264" s="89"/>
      <c r="Q264" s="272"/>
      <c r="R264" s="89"/>
      <c r="S264" s="156">
        <f t="shared" ref="S264:U264" si="135">SUM(S261:S263)</f>
        <v>1391.7056234339202</v>
      </c>
      <c r="T264" s="156">
        <f t="shared" si="135"/>
        <v>2496.8432455721127</v>
      </c>
      <c r="U264" s="156">
        <f t="shared" si="135"/>
        <v>1520.5820903614967</v>
      </c>
    </row>
    <row r="265" spans="1:24" ht="15.75" customHeight="1">
      <c r="A265" s="137"/>
      <c r="B265" s="335" t="s">
        <v>148</v>
      </c>
      <c r="C265" s="1062" t="s">
        <v>595</v>
      </c>
      <c r="D265" s="157" t="s">
        <v>452</v>
      </c>
      <c r="E265" s="30"/>
      <c r="F265" s="1063" t="e">
        <f>(F258-F261)</f>
        <v>#N/A</v>
      </c>
      <c r="G265" s="1063" t="e">
        <f t="shared" ref="G265:O265" si="136">(G258-G261)</f>
        <v>#N/A</v>
      </c>
      <c r="H265" s="1063" t="e">
        <f t="shared" si="136"/>
        <v>#N/A</v>
      </c>
      <c r="I265" s="1063" t="e">
        <f t="shared" si="136"/>
        <v>#N/A</v>
      </c>
      <c r="J265" s="1063" t="e">
        <f t="shared" si="136"/>
        <v>#N/A</v>
      </c>
      <c r="K265" s="1063" t="e">
        <f t="shared" si="136"/>
        <v>#N/A</v>
      </c>
      <c r="L265" s="1063" t="e">
        <f t="shared" si="136"/>
        <v>#N/A</v>
      </c>
      <c r="M265" s="1063" t="e">
        <f t="shared" si="136"/>
        <v>#N/A</v>
      </c>
      <c r="N265" s="1063" t="e">
        <f t="shared" si="136"/>
        <v>#N/A</v>
      </c>
      <c r="O265" s="1063" t="e">
        <f t="shared" si="136"/>
        <v>#N/A</v>
      </c>
      <c r="P265" s="30"/>
      <c r="Q265" s="1064"/>
      <c r="R265" s="30"/>
      <c r="S265" s="1063">
        <f>(S258-S261)</f>
        <v>5216.5191322896944</v>
      </c>
      <c r="T265" s="1063">
        <f>(T117/1000)-T261</f>
        <v>2063.9053822896949</v>
      </c>
      <c r="U265" s="1063">
        <f>(U117/1000)-U261</f>
        <v>1935.0289153621186</v>
      </c>
    </row>
    <row r="266" spans="1:24" ht="15.75" customHeight="1">
      <c r="A266" s="137"/>
      <c r="B266" s="335" t="s">
        <v>148</v>
      </c>
      <c r="C266" s="1062" t="s">
        <v>596</v>
      </c>
      <c r="D266" s="157" t="s">
        <v>452</v>
      </c>
      <c r="E266" s="30"/>
      <c r="F266" s="1063" t="e">
        <f>(F259-(F262+F263))</f>
        <v>#N/A</v>
      </c>
      <c r="G266" s="1063" t="e">
        <f t="shared" ref="G266:O266" si="137">G259-(G262+G263)</f>
        <v>#N/A</v>
      </c>
      <c r="H266" s="1063" t="e">
        <f t="shared" si="137"/>
        <v>#N/A</v>
      </c>
      <c r="I266" s="1063" t="e">
        <f t="shared" si="137"/>
        <v>#N/A</v>
      </c>
      <c r="J266" s="1063" t="e">
        <f t="shared" si="137"/>
        <v>#N/A</v>
      </c>
      <c r="K266" s="1063" t="e">
        <f t="shared" si="137"/>
        <v>#N/A</v>
      </c>
      <c r="L266" s="1063" t="e">
        <f t="shared" si="137"/>
        <v>#N/A</v>
      </c>
      <c r="M266" s="1063" t="e">
        <f t="shared" si="137"/>
        <v>#N/A</v>
      </c>
      <c r="N266" s="1063" t="e">
        <f t="shared" si="137"/>
        <v>#N/A</v>
      </c>
      <c r="O266" s="1063" t="e">
        <f t="shared" si="137"/>
        <v>#N/A</v>
      </c>
      <c r="P266" s="30"/>
      <c r="Q266" s="1064"/>
      <c r="R266" s="30"/>
      <c r="S266" s="1063">
        <f>S259-(S262+S263)</f>
        <v>2210.2752442763849</v>
      </c>
      <c r="T266" s="1063">
        <f>T259-(T262+T263)</f>
        <v>1105.1376221381925</v>
      </c>
      <c r="U266" s="1063">
        <f>U259-(U262+U263)</f>
        <v>2210.2752442763849</v>
      </c>
    </row>
    <row r="267" spans="1:24" s="31" customFormat="1" ht="28.5" hidden="1" customHeight="1">
      <c r="A267" s="137" t="s">
        <v>597</v>
      </c>
      <c r="B267" s="322" t="s">
        <v>153</v>
      </c>
      <c r="C267" s="587" t="s">
        <v>598</v>
      </c>
      <c r="D267" s="132" t="s">
        <v>599</v>
      </c>
      <c r="E267" s="52"/>
      <c r="F267" s="47" t="e">
        <f t="shared" ref="F267:O267" si="138">F260-F264</f>
        <v>#N/A</v>
      </c>
      <c r="G267" s="47" t="e">
        <f t="shared" si="138"/>
        <v>#N/A</v>
      </c>
      <c r="H267" s="47" t="e">
        <f t="shared" si="138"/>
        <v>#N/A</v>
      </c>
      <c r="I267" s="47" t="e">
        <f t="shared" si="138"/>
        <v>#N/A</v>
      </c>
      <c r="J267" s="47" t="e">
        <f t="shared" si="138"/>
        <v>#N/A</v>
      </c>
      <c r="K267" s="47" t="e">
        <f t="shared" si="138"/>
        <v>#N/A</v>
      </c>
      <c r="L267" s="47" t="e">
        <f t="shared" si="138"/>
        <v>#N/A</v>
      </c>
      <c r="M267" s="47" t="e">
        <f t="shared" si="138"/>
        <v>#N/A</v>
      </c>
      <c r="N267" s="47" t="e">
        <f t="shared" si="138"/>
        <v>#N/A</v>
      </c>
      <c r="O267" s="47" t="e">
        <f t="shared" si="138"/>
        <v>#N/A</v>
      </c>
      <c r="P267" s="52"/>
      <c r="Q267" s="273"/>
      <c r="R267" s="52"/>
      <c r="S267" s="47">
        <f>S260-S264</f>
        <v>7426.7943765660802</v>
      </c>
      <c r="T267" s="47">
        <f>T260-T264</f>
        <v>6321.6567544278878</v>
      </c>
      <c r="U267" s="47">
        <f>U260-U264</f>
        <v>7297.9179096385033</v>
      </c>
    </row>
    <row r="268" spans="1:24" s="31" customFormat="1" ht="13.5" hidden="1" customHeight="1">
      <c r="A268" s="137"/>
      <c r="B268" s="322" t="s">
        <v>153</v>
      </c>
      <c r="C268" s="193" t="s">
        <v>600</v>
      </c>
      <c r="D268" s="132" t="s">
        <v>599</v>
      </c>
      <c r="E268" s="91"/>
      <c r="F268" s="349" t="e">
        <f t="shared" ref="F268:O268" si="139">F267/F260</f>
        <v>#N/A</v>
      </c>
      <c r="G268" s="349" t="e">
        <f t="shared" si="139"/>
        <v>#N/A</v>
      </c>
      <c r="H268" s="349" t="e">
        <f t="shared" si="139"/>
        <v>#N/A</v>
      </c>
      <c r="I268" s="349" t="e">
        <f t="shared" si="139"/>
        <v>#N/A</v>
      </c>
      <c r="J268" s="349" t="e">
        <f t="shared" si="139"/>
        <v>#N/A</v>
      </c>
      <c r="K268" s="349" t="e">
        <f t="shared" si="139"/>
        <v>#N/A</v>
      </c>
      <c r="L268" s="349" t="e">
        <f t="shared" si="139"/>
        <v>#N/A</v>
      </c>
      <c r="M268" s="349" t="e">
        <f t="shared" si="139"/>
        <v>#N/A</v>
      </c>
      <c r="N268" s="349" t="e">
        <f t="shared" si="139"/>
        <v>#N/A</v>
      </c>
      <c r="O268" s="349" t="e">
        <f t="shared" si="139"/>
        <v>#N/A</v>
      </c>
      <c r="P268" s="52"/>
      <c r="Q268" s="274"/>
      <c r="R268" s="52"/>
      <c r="S268" s="349">
        <f>S267/S260</f>
        <v>0.84218340721960427</v>
      </c>
      <c r="T268" s="349">
        <f>T267/T260</f>
        <v>0.716863044103633</v>
      </c>
      <c r="U268" s="349">
        <f>U267/U260</f>
        <v>0.82756907746651964</v>
      </c>
    </row>
    <row r="269" spans="1:24" ht="13.15" hidden="1" customHeight="1">
      <c r="A269" s="391"/>
      <c r="B269" s="392" t="s">
        <v>153</v>
      </c>
      <c r="C269" s="393"/>
      <c r="D269" s="117"/>
      <c r="E269" s="30"/>
      <c r="F269" s="394"/>
      <c r="G269" s="394"/>
      <c r="H269" s="394"/>
      <c r="I269" s="394"/>
      <c r="J269" s="394"/>
      <c r="K269" s="394"/>
      <c r="L269" s="394"/>
      <c r="M269" s="394"/>
      <c r="N269" s="394"/>
      <c r="O269" s="394"/>
      <c r="P269" s="30"/>
      <c r="Q269" s="729"/>
      <c r="R269" s="30"/>
      <c r="S269" s="394"/>
      <c r="T269" s="394"/>
      <c r="U269" s="394"/>
    </row>
    <row r="270" spans="1:24" ht="31.5" hidden="1" customHeight="1">
      <c r="A270" s="80"/>
      <c r="B270" s="332" t="s">
        <v>153</v>
      </c>
      <c r="C270" s="107" t="s">
        <v>601</v>
      </c>
      <c r="D270" s="56"/>
      <c r="E270" s="612"/>
      <c r="F270" s="528"/>
      <c r="G270" s="79"/>
      <c r="H270" s="79"/>
      <c r="I270" s="79"/>
      <c r="J270" s="79"/>
      <c r="K270" s="79"/>
      <c r="L270" s="79"/>
      <c r="M270" s="79"/>
      <c r="N270" s="79"/>
      <c r="O270" s="79"/>
      <c r="P270" s="77"/>
      <c r="Q270" s="736" t="s">
        <v>166</v>
      </c>
      <c r="R270" s="77"/>
      <c r="S270" s="528"/>
      <c r="T270" s="79"/>
      <c r="U270" s="79"/>
      <c r="V270" s="48"/>
    </row>
    <row r="271" spans="1:24" ht="15" hidden="1" customHeight="1">
      <c r="A271" s="529"/>
      <c r="B271" s="524" t="s">
        <v>153</v>
      </c>
      <c r="C271" s="530" t="s">
        <v>602</v>
      </c>
      <c r="D271" s="531" t="s">
        <v>555</v>
      </c>
      <c r="E271" s="612"/>
      <c r="F271" s="532" t="e">
        <f t="shared" ref="F271:N271" si="140">((F87*F95)+(F91*F96))*1000</f>
        <v>#N/A</v>
      </c>
      <c r="G271" s="532" t="e">
        <f t="shared" si="140"/>
        <v>#N/A</v>
      </c>
      <c r="H271" s="532" t="e">
        <f t="shared" si="140"/>
        <v>#N/A</v>
      </c>
      <c r="I271" s="532" t="e">
        <f t="shared" si="140"/>
        <v>#N/A</v>
      </c>
      <c r="J271" s="532" t="e">
        <f t="shared" si="140"/>
        <v>#N/A</v>
      </c>
      <c r="K271" s="532" t="e">
        <f t="shared" si="140"/>
        <v>#N/A</v>
      </c>
      <c r="L271" s="532" t="e">
        <f t="shared" si="140"/>
        <v>#N/A</v>
      </c>
      <c r="M271" s="532" t="e">
        <f t="shared" si="140"/>
        <v>#N/A</v>
      </c>
      <c r="N271" s="532" t="e">
        <f t="shared" si="140"/>
        <v>#N/A</v>
      </c>
      <c r="O271" s="532" t="e">
        <f t="shared" ref="O271" si="141">O254*1000000</f>
        <v>#N/A</v>
      </c>
      <c r="P271" s="533"/>
      <c r="Q271" s="745"/>
      <c r="R271" s="533"/>
      <c r="S271" s="532">
        <f>((S87*S95)+(S91*S96))*1000</f>
        <v>5732025000</v>
      </c>
      <c r="T271" s="532">
        <f>((T87*T95)+(T91*T96))*1000</f>
        <v>5732025000</v>
      </c>
      <c r="U271" s="532">
        <f>((U87*U95)+(U91*U96))*1000</f>
        <v>5732025000</v>
      </c>
      <c r="V271" s="31"/>
    </row>
    <row r="272" spans="1:24" ht="15" hidden="1" customHeight="1">
      <c r="A272" s="529"/>
      <c r="B272" s="524" t="s">
        <v>153</v>
      </c>
      <c r="C272" s="530" t="s">
        <v>603</v>
      </c>
      <c r="D272" s="531" t="s">
        <v>555</v>
      </c>
      <c r="E272" s="612"/>
      <c r="F272" s="534">
        <f t="shared" ref="F272:O272" si="142">F56</f>
        <v>0</v>
      </c>
      <c r="G272" s="534">
        <f t="shared" si="142"/>
        <v>0</v>
      </c>
      <c r="H272" s="534">
        <f t="shared" si="142"/>
        <v>0</v>
      </c>
      <c r="I272" s="534">
        <f t="shared" si="142"/>
        <v>0</v>
      </c>
      <c r="J272" s="534">
        <f t="shared" si="142"/>
        <v>0</v>
      </c>
      <c r="K272" s="534">
        <f t="shared" si="142"/>
        <v>0</v>
      </c>
      <c r="L272" s="534">
        <f t="shared" si="142"/>
        <v>0</v>
      </c>
      <c r="M272" s="534">
        <f t="shared" si="142"/>
        <v>0</v>
      </c>
      <c r="N272" s="534">
        <f t="shared" si="142"/>
        <v>0</v>
      </c>
      <c r="O272" s="534">
        <f t="shared" si="142"/>
        <v>0</v>
      </c>
      <c r="P272" s="533"/>
      <c r="Q272" s="745"/>
      <c r="R272" s="533"/>
      <c r="S272" s="534">
        <f>S56</f>
        <v>145750</v>
      </c>
      <c r="T272" s="534">
        <f>T56</f>
        <v>145750</v>
      </c>
      <c r="U272" s="534">
        <f>U56</f>
        <v>145750</v>
      </c>
      <c r="V272" s="31"/>
    </row>
    <row r="273" spans="1:22" ht="48.75" hidden="1" customHeight="1" thickBot="1">
      <c r="A273" s="529"/>
      <c r="B273" s="525" t="s">
        <v>153</v>
      </c>
      <c r="C273" s="590" t="s">
        <v>604</v>
      </c>
      <c r="D273" s="526" t="s">
        <v>605</v>
      </c>
      <c r="E273" s="612"/>
      <c r="F273" s="591">
        <v>3984.4</v>
      </c>
      <c r="G273" s="591">
        <v>3984.4</v>
      </c>
      <c r="H273" s="591">
        <v>3984.4</v>
      </c>
      <c r="I273" s="591">
        <v>3984.4</v>
      </c>
      <c r="J273" s="591">
        <v>3984.4</v>
      </c>
      <c r="K273" s="591">
        <v>3984.4</v>
      </c>
      <c r="L273" s="591">
        <v>3984.4</v>
      </c>
      <c r="M273" s="591">
        <v>3984.4</v>
      </c>
      <c r="N273" s="591">
        <v>3984.4</v>
      </c>
      <c r="O273" s="591">
        <v>3984.4</v>
      </c>
      <c r="P273" s="533"/>
      <c r="Q273" s="745"/>
      <c r="R273" s="533"/>
      <c r="S273" s="591">
        <v>3984.4</v>
      </c>
      <c r="T273" s="591">
        <v>3984.4</v>
      </c>
      <c r="U273" s="591">
        <v>3984.4</v>
      </c>
      <c r="V273" s="31"/>
    </row>
    <row r="274" spans="1:22" ht="15" hidden="1" customHeight="1">
      <c r="A274" s="529"/>
      <c r="B274" s="589" t="s">
        <v>153</v>
      </c>
      <c r="C274" s="535" t="s">
        <v>606</v>
      </c>
      <c r="D274" s="655" t="s">
        <v>607</v>
      </c>
      <c r="E274" s="612"/>
      <c r="F274" s="537" t="e">
        <f>F$271/F$272/'Heating Degree Days'!$E$22</f>
        <v>#N/A</v>
      </c>
      <c r="G274" s="537" t="e">
        <f>G$271/G$272/'Heating Degree Days'!$E$22</f>
        <v>#N/A</v>
      </c>
      <c r="H274" s="537" t="e">
        <f>H$271/H$272/'Heating Degree Days'!$E$22</f>
        <v>#N/A</v>
      </c>
      <c r="I274" s="537" t="e">
        <f>I$271/I$272/'Heating Degree Days'!$E$22</f>
        <v>#N/A</v>
      </c>
      <c r="J274" s="537" t="e">
        <f>J$271/J$272/'Heating Degree Days'!$E$22</f>
        <v>#N/A</v>
      </c>
      <c r="K274" s="537" t="e">
        <f>K$271/K$272/'Heating Degree Days'!$E$22</f>
        <v>#N/A</v>
      </c>
      <c r="L274" s="537" t="e">
        <f>L$271/L$272/'Heating Degree Days'!$E$22</f>
        <v>#N/A</v>
      </c>
      <c r="M274" s="537" t="e">
        <f>M$271/M$272/'Heating Degree Days'!$E$22</f>
        <v>#N/A</v>
      </c>
      <c r="N274" s="537" t="e">
        <f>N$271/N$272/'Heating Degree Days'!$E$22</f>
        <v>#N/A</v>
      </c>
      <c r="O274" s="537" t="e">
        <f>O$271/O$272/'Heating Degree Days'!$E$22</f>
        <v>#N/A</v>
      </c>
      <c r="P274" s="533"/>
      <c r="Q274" s="745"/>
      <c r="R274" s="533"/>
      <c r="S274" s="537">
        <f>S$271/S$272/'Heating Degree Days'!$E$22</f>
        <v>7.9643149669972839</v>
      </c>
      <c r="T274" s="537">
        <f>T$271/T$272/'Heating Degree Days'!$E$22</f>
        <v>7.9643149669972839</v>
      </c>
      <c r="U274" s="537">
        <f>U$271/U$272/'Heating Degree Days'!$E$22</f>
        <v>7.9643149669972839</v>
      </c>
      <c r="V274" s="31"/>
    </row>
    <row r="275" spans="1:22" ht="15" hidden="1" customHeight="1">
      <c r="A275" s="529"/>
      <c r="B275" s="527" t="s">
        <v>153</v>
      </c>
      <c r="C275" s="535" t="s">
        <v>608</v>
      </c>
      <c r="D275" s="656"/>
      <c r="E275" s="612"/>
      <c r="F275" s="537" t="e">
        <f>F$271/F$272/'Heating Degree Days'!$E$21</f>
        <v>#N/A</v>
      </c>
      <c r="G275" s="537" t="e">
        <f>G$271/G$272/'Heating Degree Days'!$E$21</f>
        <v>#N/A</v>
      </c>
      <c r="H275" s="537" t="e">
        <f>H$271/H$272/'Heating Degree Days'!$E$21</f>
        <v>#N/A</v>
      </c>
      <c r="I275" s="537" t="e">
        <f>I$271/I$272/'Heating Degree Days'!$E$21</f>
        <v>#N/A</v>
      </c>
      <c r="J275" s="537" t="e">
        <f>J$271/J$272/'Heating Degree Days'!$E$21</f>
        <v>#N/A</v>
      </c>
      <c r="K275" s="537" t="e">
        <f>K$271/K$272/'Heating Degree Days'!$E$21</f>
        <v>#N/A</v>
      </c>
      <c r="L275" s="537" t="e">
        <f>L$271/L$272/'Heating Degree Days'!$E$21</f>
        <v>#N/A</v>
      </c>
      <c r="M275" s="537" t="e">
        <f>M$271/M$272/'Heating Degree Days'!$E$21</f>
        <v>#N/A</v>
      </c>
      <c r="N275" s="537" t="e">
        <f>N$271/N$272/'Heating Degree Days'!$E$21</f>
        <v>#N/A</v>
      </c>
      <c r="O275" s="537" t="e">
        <f>O$271/O$272/'Heating Degree Days'!$E$21</f>
        <v>#N/A</v>
      </c>
      <c r="P275" s="533"/>
      <c r="Q275" s="745"/>
      <c r="R275" s="533"/>
      <c r="S275" s="537">
        <f>S$271/S$272/'Heating Degree Days'!$E$21</f>
        <v>10.490207337165268</v>
      </c>
      <c r="T275" s="537">
        <f>T$271/T$272/'Heating Degree Days'!$E$21</f>
        <v>10.490207337165268</v>
      </c>
      <c r="U275" s="537">
        <f>U$271/U$272/'Heating Degree Days'!$E$21</f>
        <v>10.490207337165268</v>
      </c>
      <c r="V275" s="31"/>
    </row>
    <row r="276" spans="1:22" s="31" customFormat="1" ht="15" hidden="1" customHeight="1">
      <c r="A276" s="529"/>
      <c r="B276" s="524" t="s">
        <v>153</v>
      </c>
      <c r="C276" s="530" t="s">
        <v>609</v>
      </c>
      <c r="D276" s="531" t="s">
        <v>555</v>
      </c>
      <c r="E276" s="612"/>
      <c r="F276" s="532" t="str">
        <f t="shared" ref="F276:M276" si="143">IF(ISNUMBER(SEARCH("Heat Pump", F59)), (F261*1000000), "N/A, Not in Scope")</f>
        <v>N/A, Not in Scope</v>
      </c>
      <c r="G276" s="532" t="str">
        <f t="shared" si="143"/>
        <v>N/A, Not in Scope</v>
      </c>
      <c r="H276" s="532" t="str">
        <f t="shared" si="143"/>
        <v>N/A, Not in Scope</v>
      </c>
      <c r="I276" s="532" t="str">
        <f t="shared" si="143"/>
        <v>N/A, Not in Scope</v>
      </c>
      <c r="J276" s="532" t="str">
        <f t="shared" si="143"/>
        <v>N/A, Not in Scope</v>
      </c>
      <c r="K276" s="532" t="str">
        <f t="shared" si="143"/>
        <v>N/A, Not in Scope</v>
      </c>
      <c r="L276" s="532" t="str">
        <f t="shared" si="143"/>
        <v>N/A, Not in Scope</v>
      </c>
      <c r="M276" s="532" t="str">
        <f t="shared" si="143"/>
        <v>N/A, Not in Scope</v>
      </c>
      <c r="N276" s="532" t="e">
        <f>N261*1000000</f>
        <v>#N/A</v>
      </c>
      <c r="O276" s="532" t="e">
        <f>O261*1000000</f>
        <v>#N/A</v>
      </c>
      <c r="P276" s="533"/>
      <c r="Q276" s="745"/>
      <c r="R276" s="533"/>
      <c r="S276" s="532">
        <f>IF(ISNUMBER(SEARCH("Heat Pump", S59)), (S261*1000000), "N/A, Not in Scope")</f>
        <v>515505867.71030521</v>
      </c>
      <c r="T276" s="532">
        <f>IF(ISNUMBER(SEARCH("Heat Pump", T59)), (T261*1000000), "N/A, Not in Scope")</f>
        <v>515505867.71030521</v>
      </c>
      <c r="U276" s="532">
        <f>IF(ISNUMBER(SEARCH("Heat Pump", U59)), (U261*1000000), "N/A, Not in Scope")</f>
        <v>644382334.63788152</v>
      </c>
    </row>
    <row r="277" spans="1:22" s="31" customFormat="1" ht="15" hidden="1" customHeight="1">
      <c r="A277" s="529"/>
      <c r="B277" s="524" t="s">
        <v>153</v>
      </c>
      <c r="C277" s="530" t="s">
        <v>603</v>
      </c>
      <c r="D277" s="531" t="s">
        <v>555</v>
      </c>
      <c r="E277" s="612"/>
      <c r="F277" s="534">
        <f t="shared" ref="F277:O277" si="144">F56</f>
        <v>0</v>
      </c>
      <c r="G277" s="534">
        <f t="shared" si="144"/>
        <v>0</v>
      </c>
      <c r="H277" s="534">
        <f t="shared" si="144"/>
        <v>0</v>
      </c>
      <c r="I277" s="534">
        <f t="shared" si="144"/>
        <v>0</v>
      </c>
      <c r="J277" s="534">
        <f t="shared" si="144"/>
        <v>0</v>
      </c>
      <c r="K277" s="534">
        <f t="shared" si="144"/>
        <v>0</v>
      </c>
      <c r="L277" s="534">
        <f t="shared" si="144"/>
        <v>0</v>
      </c>
      <c r="M277" s="534">
        <f t="shared" si="144"/>
        <v>0</v>
      </c>
      <c r="N277" s="534">
        <f t="shared" si="144"/>
        <v>0</v>
      </c>
      <c r="O277" s="534">
        <f t="shared" si="144"/>
        <v>0</v>
      </c>
      <c r="P277" s="533"/>
      <c r="Q277" s="745"/>
      <c r="R277" s="533"/>
      <c r="S277" s="534">
        <f>S56</f>
        <v>145750</v>
      </c>
      <c r="T277" s="534">
        <f>T56</f>
        <v>145750</v>
      </c>
      <c r="U277" s="534">
        <f>U56</f>
        <v>145750</v>
      </c>
    </row>
    <row r="278" spans="1:22" s="31" customFormat="1" ht="48.75" hidden="1" customHeight="1" thickBot="1">
      <c r="A278" s="529"/>
      <c r="B278" s="525" t="s">
        <v>153</v>
      </c>
      <c r="C278" s="590" t="s">
        <v>604</v>
      </c>
      <c r="D278" s="526" t="s">
        <v>605</v>
      </c>
      <c r="E278" s="612"/>
      <c r="F278" s="591">
        <v>3984.4</v>
      </c>
      <c r="G278" s="591">
        <v>3984.4</v>
      </c>
      <c r="H278" s="591">
        <v>3984.4</v>
      </c>
      <c r="I278" s="591">
        <v>3984.4</v>
      </c>
      <c r="J278" s="591">
        <v>3984.4</v>
      </c>
      <c r="K278" s="591">
        <v>3984.4</v>
      </c>
      <c r="L278" s="591">
        <v>3984.4</v>
      </c>
      <c r="M278" s="591">
        <v>3984.4</v>
      </c>
      <c r="N278" s="591">
        <v>3984.4</v>
      </c>
      <c r="O278" s="591">
        <v>3984.4</v>
      </c>
      <c r="P278" s="533"/>
      <c r="Q278" s="745"/>
      <c r="R278" s="533"/>
      <c r="S278" s="591">
        <v>3984.4</v>
      </c>
      <c r="T278" s="591">
        <v>3984.4</v>
      </c>
      <c r="U278" s="591">
        <v>3984.4</v>
      </c>
    </row>
    <row r="279" spans="1:22" s="31" customFormat="1" ht="15" hidden="1" customHeight="1">
      <c r="A279" s="529"/>
      <c r="B279" s="589" t="s">
        <v>153</v>
      </c>
      <c r="C279" s="535" t="s">
        <v>606</v>
      </c>
      <c r="D279" s="653" t="s">
        <v>607</v>
      </c>
      <c r="E279" s="612"/>
      <c r="F279" s="537" t="str">
        <f>IFERROR(F$276/F$277/'Heating Degree Days'!$E$22, "Not in Scope")</f>
        <v>Not in Scope</v>
      </c>
      <c r="G279" s="537" t="str">
        <f>IFERROR(G$276/G$277/'Heating Degree Days'!$E$22, "Not in Scope")</f>
        <v>Not in Scope</v>
      </c>
      <c r="H279" s="537" t="str">
        <f>IFERROR(H$276/H$277/'Heating Degree Days'!$E$22, "Not in Scope")</f>
        <v>Not in Scope</v>
      </c>
      <c r="I279" s="537" t="str">
        <f>IFERROR(I$276/I$277/'Heating Degree Days'!$E$22, "Not in Scope")</f>
        <v>Not in Scope</v>
      </c>
      <c r="J279" s="537" t="str">
        <f>IFERROR(J$276/J$277/'Heating Degree Days'!$E$22, "Not in Scope")</f>
        <v>Not in Scope</v>
      </c>
      <c r="K279" s="537" t="str">
        <f>IFERROR(K$276/K$277/'Heating Degree Days'!$E$22, "Not in Scope")</f>
        <v>Not in Scope</v>
      </c>
      <c r="L279" s="537" t="str">
        <f>IFERROR(L$276/L$277/'Heating Degree Days'!$E$22, "Not in Scope")</f>
        <v>Not in Scope</v>
      </c>
      <c r="M279" s="537" t="str">
        <f>IFERROR(M$276/M$277/'Heating Degree Days'!$E$22, "Not in Scope")</f>
        <v>Not in Scope</v>
      </c>
      <c r="N279" s="537" t="str">
        <f>IFERROR(N$276/N$277/'Heating Degree Days'!$E$22, "Not in Scope")</f>
        <v>Not in Scope</v>
      </c>
      <c r="O279" s="537" t="str">
        <f>IFERROR(O$276/O$277/'Heating Degree Days'!$E$22, "Not in Scope")</f>
        <v>Not in Scope</v>
      </c>
      <c r="P279" s="533"/>
      <c r="Q279" s="745"/>
      <c r="R279" s="533"/>
      <c r="S279" s="537">
        <f>IFERROR(S$276/S$277/'Heating Degree Days'!$E$22, "Not in Scope")</f>
        <v>0.71626538575461651</v>
      </c>
      <c r="T279" s="537">
        <f>IFERROR(T$276/T$277/'Heating Degree Days'!$E$22, "Not in Scope")</f>
        <v>0.71626538575461651</v>
      </c>
      <c r="U279" s="537">
        <f>IFERROR(U$276/U$277/'Heating Degree Days'!$E$22, "Not in Scope")</f>
        <v>0.89533173219327067</v>
      </c>
    </row>
    <row r="280" spans="1:22" s="31" customFormat="1" ht="13.5" hidden="1">
      <c r="A280" s="592"/>
      <c r="B280" s="527"/>
      <c r="C280" s="535" t="s">
        <v>608</v>
      </c>
      <c r="D280" s="654"/>
      <c r="E280" s="536"/>
      <c r="F280" s="537" t="str">
        <f>IFERROR(F$276/F$277/'Heating Degree Days'!$E$21, "Not in Scope")</f>
        <v>Not in Scope</v>
      </c>
      <c r="G280" s="537" t="str">
        <f>IFERROR(G$276/G$277/'Heating Degree Days'!$E$21, "Not in Scope")</f>
        <v>Not in Scope</v>
      </c>
      <c r="H280" s="537" t="str">
        <f>IFERROR(H$276/H$277/'Heating Degree Days'!$E$21, "Not in Scope")</f>
        <v>Not in Scope</v>
      </c>
      <c r="I280" s="537" t="str">
        <f>IFERROR(I$276/I$277/'Heating Degree Days'!$E$21, "Not in Scope")</f>
        <v>Not in Scope</v>
      </c>
      <c r="J280" s="537" t="str">
        <f>IFERROR(J$276/J$277/'Heating Degree Days'!$E$21, "Not in Scope")</f>
        <v>Not in Scope</v>
      </c>
      <c r="K280" s="537" t="str">
        <f>IFERROR(K$276/K$277/'Heating Degree Days'!$E$21, "Not in Scope")</f>
        <v>Not in Scope</v>
      </c>
      <c r="L280" s="537" t="str">
        <f>IFERROR(L$276/L$277/'Heating Degree Days'!$E$21, "Not in Scope")</f>
        <v>Not in Scope</v>
      </c>
      <c r="M280" s="537" t="str">
        <f>IFERROR(M$276/M$277/'Heating Degree Days'!$E$21, "Not in Scope")</f>
        <v>Not in Scope</v>
      </c>
      <c r="N280" s="537" t="str">
        <f>IFERROR(N$276/N$277/'Heating Degree Days'!$E$21, "Not in Scope")</f>
        <v>Not in Scope</v>
      </c>
      <c r="O280" s="537" t="str">
        <f>IFERROR(O$276/O$277/'Heating Degree Days'!$E$21, "Not in Scope")</f>
        <v>Not in Scope</v>
      </c>
      <c r="P280" s="533"/>
      <c r="Q280" s="741"/>
      <c r="R280" s="533"/>
      <c r="S280" s="537">
        <f>IFERROR(S$276/S$277/'Heating Degree Days'!$E$21, "Not in Scope")</f>
        <v>0.94342984125267981</v>
      </c>
      <c r="T280" s="537">
        <f>IFERROR(T$276/T$277/'Heating Degree Days'!$E$21, "Not in Scope")</f>
        <v>0.94342984125267981</v>
      </c>
      <c r="U280" s="537">
        <f>IFERROR(U$276/U$277/'Heating Degree Days'!$E$21, "Not in Scope")</f>
        <v>1.1792873015658496</v>
      </c>
    </row>
    <row r="281" spans="1:22">
      <c r="A281" s="80"/>
      <c r="B281" s="904" t="s">
        <v>148</v>
      </c>
      <c r="C281" s="80"/>
      <c r="D281" s="80"/>
      <c r="E281" s="612"/>
      <c r="F281" s="80"/>
      <c r="G281" s="80"/>
      <c r="H281" s="80"/>
      <c r="I281" s="80"/>
      <c r="J281" s="80"/>
      <c r="K281" s="80"/>
      <c r="L281" s="80"/>
      <c r="M281" s="80"/>
      <c r="N281" s="80"/>
      <c r="O281" s="80"/>
      <c r="P281" s="80"/>
      <c r="Q281" s="80"/>
      <c r="R281" s="80"/>
      <c r="S281" s="80"/>
      <c r="T281" s="80"/>
      <c r="U281" s="80"/>
    </row>
    <row r="282" spans="1:22" ht="15.75">
      <c r="A282" s="80"/>
      <c r="B282" s="903" t="s">
        <v>148</v>
      </c>
      <c r="C282" s="915" t="s">
        <v>610</v>
      </c>
      <c r="D282" s="56"/>
      <c r="E282" s="612"/>
      <c r="F282" s="479" t="s">
        <v>611</v>
      </c>
      <c r="G282" s="79"/>
      <c r="H282" s="79"/>
      <c r="I282" s="79"/>
      <c r="J282" s="79"/>
      <c r="K282" s="79"/>
      <c r="L282" s="79"/>
      <c r="M282" s="79"/>
      <c r="N282" s="79"/>
      <c r="O282" s="79"/>
      <c r="P282" s="77"/>
      <c r="Q282" s="242" t="s">
        <v>166</v>
      </c>
      <c r="R282" s="77"/>
      <c r="S282" s="528"/>
      <c r="T282" s="79"/>
      <c r="U282" s="79"/>
      <c r="V282" s="48"/>
    </row>
    <row r="283" spans="1:22" hidden="1">
      <c r="A283" s="137"/>
      <c r="B283" s="321" t="s">
        <v>153</v>
      </c>
      <c r="C283" s="197" t="s">
        <v>612</v>
      </c>
      <c r="D283" s="83"/>
      <c r="E283" s="612"/>
      <c r="F283" s="710" t="s">
        <v>613</v>
      </c>
      <c r="G283" s="317"/>
      <c r="H283" s="317"/>
      <c r="I283" s="317"/>
      <c r="J283" s="317"/>
      <c r="K283" s="317"/>
      <c r="L283" s="317"/>
      <c r="M283" s="317"/>
      <c r="N283" s="317"/>
      <c r="O283" s="317"/>
      <c r="P283" s="30"/>
      <c r="Q283" s="258"/>
      <c r="R283" s="30"/>
      <c r="S283" s="710" t="s">
        <v>613</v>
      </c>
      <c r="T283" s="317"/>
      <c r="U283" s="317"/>
    </row>
    <row r="284" spans="1:22" hidden="1">
      <c r="A284" s="509" t="s">
        <v>614</v>
      </c>
      <c r="B284" s="322" t="s">
        <v>153</v>
      </c>
      <c r="C284" s="175" t="s">
        <v>615</v>
      </c>
      <c r="D284" s="220" t="s">
        <v>613</v>
      </c>
      <c r="E284" s="508"/>
      <c r="F284" s="364" t="str">
        <f>IF(ISNUMBER(SEARCH("oil", F8)), Dropdowns_v2!$D$180, IF(ISNUMBER(SEARCH("gas",F8 )),Dropdowns_v2!$D$181, IF(ISNUMBER(SEARCH("electric", F8)), Dropdowns_v2!$D$182, "")))</f>
        <v/>
      </c>
      <c r="G284" s="364" t="str">
        <f>IF(ISNUMBER(SEARCH("oil", G8)), Dropdowns_v2!$D$180, IF(ISNUMBER(SEARCH("gas",G8 )),Dropdowns_v2!$D$181, IF(ISNUMBER(SEARCH("electric", G8)), Dropdowns_v2!$D$182, "")))</f>
        <v/>
      </c>
      <c r="H284" s="364" t="str">
        <f>IF(ISNUMBER(SEARCH("oil", H8)), Dropdowns_v2!$D$180, IF(ISNUMBER(SEARCH("gas",H8 )),Dropdowns_v2!$D$181, IF(ISNUMBER(SEARCH("electric", H8)), Dropdowns_v2!$D$182, "")))</f>
        <v/>
      </c>
      <c r="I284" s="364" t="str">
        <f>IF(ISNUMBER(SEARCH("oil", I8)), Dropdowns_v2!$D$180, IF(ISNUMBER(SEARCH("gas",I8 )),Dropdowns_v2!$D$181, IF(ISNUMBER(SEARCH("electric", I8)), Dropdowns_v2!$D$182, "")))</f>
        <v/>
      </c>
      <c r="J284" s="364" t="str">
        <f>IF(ISNUMBER(SEARCH("oil", J8)), Dropdowns_v2!$D$180, IF(ISNUMBER(SEARCH("gas",J8 )),Dropdowns_v2!$D$181, IF(ISNUMBER(SEARCH("electric", J8)), Dropdowns_v2!$D$182, "")))</f>
        <v/>
      </c>
      <c r="K284" s="364" t="str">
        <f>IF(ISNUMBER(SEARCH("oil", K8)), Dropdowns_v2!$D$180, IF(ISNUMBER(SEARCH("gas",K8 )),Dropdowns_v2!$D$181, IF(ISNUMBER(SEARCH("electric", K8)), Dropdowns_v2!$D$182, "")))</f>
        <v/>
      </c>
      <c r="L284" s="364" t="str">
        <f>IF(ISNUMBER(SEARCH("oil", L8)), Dropdowns_v2!$D$180, IF(ISNUMBER(SEARCH("gas",L8 )),Dropdowns_v2!$D$181, IF(ISNUMBER(SEARCH("electric", L8)), Dropdowns_v2!$D$182, "")))</f>
        <v/>
      </c>
      <c r="M284" s="364" t="str">
        <f>IF(ISNUMBER(SEARCH("oil", M8)), Dropdowns_v2!$D$180, IF(ISNUMBER(SEARCH("gas",M8 )),Dropdowns_v2!$D$181, IF(ISNUMBER(SEARCH("electric", M8)), Dropdowns_v2!$D$182, "")))</f>
        <v/>
      </c>
      <c r="N284" s="364" t="str">
        <f>IF(ISNUMBER(SEARCH("oil", N8)), Dropdowns_v2!$D$180, IF(ISNUMBER(SEARCH("gas",N8 )),Dropdowns_v2!$D$181, IF(ISNUMBER(SEARCH("electric", N8)), Dropdowns_v2!$D$182, "")))</f>
        <v/>
      </c>
      <c r="O284" s="364" t="str">
        <f>IF(ISNUMBER(SEARCH("oil", O8)), Dropdowns_v2!$D$180, IF(ISNUMBER(SEARCH("gas",O8 )),Dropdowns_v2!$D$181, IF(ISNUMBER(SEARCH("electric", O8)), Dropdowns_v2!$D$182, "")))</f>
        <v/>
      </c>
      <c r="P284" s="402"/>
      <c r="Q284" s="246"/>
      <c r="R284" s="402"/>
      <c r="S284" s="364">
        <f>IF(ISNUMBER(SEARCH("oil", S8)), Dropdowns_v2!$D$180, IF(ISNUMBER(SEARCH("gas",S8 )),Dropdowns_v2!$D$181, IF(ISNUMBER(SEARCH("electric", S8)), Dropdowns_v2!$D$182, "")))</f>
        <v>221</v>
      </c>
      <c r="T284" s="364">
        <f>IF(ISNUMBER(SEARCH("oil", T8)), Dropdowns_v2!$D$180, IF(ISNUMBER(SEARCH("gas",T8 )),Dropdowns_v2!$D$181, IF(ISNUMBER(SEARCH("electric", T8)), Dropdowns_v2!$D$182, "")))</f>
        <v>221</v>
      </c>
      <c r="U284" s="364">
        <f>IF(ISNUMBER(SEARCH("oil", U8)), Dropdowns_v2!$D$180, IF(ISNUMBER(SEARCH("gas",U8 )),Dropdowns_v2!$D$181, IF(ISNUMBER(SEARCH("electric", U8)), Dropdowns_v2!$D$182, "")))</f>
        <v>221</v>
      </c>
      <c r="V284" s="205"/>
    </row>
    <row r="285" spans="1:22" hidden="1">
      <c r="A285" s="509"/>
      <c r="B285" s="322" t="s">
        <v>153</v>
      </c>
      <c r="C285" s="175" t="s">
        <v>616</v>
      </c>
      <c r="D285" s="220" t="s">
        <v>617</v>
      </c>
      <c r="E285" s="508"/>
      <c r="F285" s="364">
        <v>0</v>
      </c>
      <c r="G285" s="364">
        <v>0</v>
      </c>
      <c r="H285" s="364">
        <v>0</v>
      </c>
      <c r="I285" s="364">
        <v>0</v>
      </c>
      <c r="J285" s="364">
        <v>0</v>
      </c>
      <c r="K285" s="364">
        <v>0</v>
      </c>
      <c r="L285" s="364">
        <v>0</v>
      </c>
      <c r="M285" s="364"/>
      <c r="N285" s="364"/>
      <c r="O285" s="364"/>
      <c r="P285" s="402"/>
      <c r="Q285" s="246"/>
      <c r="R285" s="402"/>
      <c r="S285" s="364">
        <v>0</v>
      </c>
      <c r="T285" s="364">
        <v>0</v>
      </c>
      <c r="U285" s="364">
        <v>0</v>
      </c>
      <c r="V285" s="205"/>
    </row>
    <row r="286" spans="1:22" ht="15.75" hidden="1" customHeight="1" thickBot="1">
      <c r="A286" s="509"/>
      <c r="B286" s="699" t="s">
        <v>153</v>
      </c>
      <c r="C286" s="700" t="s">
        <v>618</v>
      </c>
      <c r="D286" s="701" t="s">
        <v>613</v>
      </c>
      <c r="E286" s="508"/>
      <c r="F286" s="364" t="str">
        <f>IF(ISNUMBER(SEARCH("oil", F8)), Dropdowns_v2!$D$183, IF(ISNUMBER(SEARCH("gas",F8 )),Dropdowns_v2!$D$184, IF(ISNUMBER(SEARCH("electric", F8)), Dropdowns_v2!$D$185, "")))</f>
        <v/>
      </c>
      <c r="G286" s="364" t="str">
        <f>IF(ISNUMBER(SEARCH("oil", G8)), Dropdowns_v2!$D$183, IF(ISNUMBER(SEARCH("gas",G8 )),Dropdowns_v2!$D$184, IF(ISNUMBER(SEARCH("electric", G8)), Dropdowns_v2!$D$185, "")))</f>
        <v/>
      </c>
      <c r="H286" s="364" t="str">
        <f>IF(ISNUMBER(SEARCH("oil", H8)), Dropdowns_v2!$D$183, IF(ISNUMBER(SEARCH("gas",H8 )),Dropdowns_v2!$D$184, IF(ISNUMBER(SEARCH("electric", H8)), Dropdowns_v2!$D$185, "")))</f>
        <v/>
      </c>
      <c r="I286" s="364" t="str">
        <f>IF(ISNUMBER(SEARCH("oil", I8)), Dropdowns_v2!$D$183, IF(ISNUMBER(SEARCH("gas",I8 )),Dropdowns_v2!$D$184, IF(ISNUMBER(SEARCH("electric", I8)), Dropdowns_v2!$D$185, "")))</f>
        <v/>
      </c>
      <c r="J286" s="364" t="str">
        <f>IF(ISNUMBER(SEARCH("oil", J8)), Dropdowns_v2!$D$183, IF(ISNUMBER(SEARCH("gas",J8 )),Dropdowns_v2!$D$184, IF(ISNUMBER(SEARCH("electric", J8)), Dropdowns_v2!$D$185, "")))</f>
        <v/>
      </c>
      <c r="K286" s="364" t="str">
        <f>IF(ISNUMBER(SEARCH("oil", K8)), Dropdowns_v2!$D$183, IF(ISNUMBER(SEARCH("gas",K8 )),Dropdowns_v2!$D$184, IF(ISNUMBER(SEARCH("electric", K8)), Dropdowns_v2!$D$185, "")))</f>
        <v/>
      </c>
      <c r="L286" s="364" t="str">
        <f>IF(ISNUMBER(SEARCH("oil", L8)), Dropdowns_v2!$D$183, IF(ISNUMBER(SEARCH("gas",L8 )),Dropdowns_v2!$D$184, IF(ISNUMBER(SEARCH("electric", L8)), Dropdowns_v2!$D$185, "")))</f>
        <v/>
      </c>
      <c r="M286" s="364" t="str">
        <f>IF(ISNUMBER(SEARCH("oil", M8)), Dropdowns_v2!$D$183, IF(ISNUMBER(SEARCH("gas",M8 )),Dropdowns_v2!$D$184, IF(ISNUMBER(SEARCH("electric", M8)), Dropdowns_v2!$D$185, "")))</f>
        <v/>
      </c>
      <c r="N286" s="364" t="str">
        <f>IF(ISNUMBER(SEARCH("oil", N8)), Dropdowns_v2!$D$183, IF(ISNUMBER(SEARCH("gas",N8 )),Dropdowns_v2!$D$184, IF(ISNUMBER(SEARCH("electric", N8)), Dropdowns_v2!$D$185, "")))</f>
        <v/>
      </c>
      <c r="O286" s="364" t="str">
        <f>IF(ISNUMBER(SEARCH("oil", O8)), Dropdowns_v2!$D$183, IF(ISNUMBER(SEARCH("gas",O8 )),Dropdowns_v2!$D$184, IF(ISNUMBER(SEARCH("electric", O8)), Dropdowns_v2!$D$185, "")))</f>
        <v/>
      </c>
      <c r="P286" s="402"/>
      <c r="Q286" s="246"/>
      <c r="R286" s="402"/>
      <c r="S286" s="364">
        <f>IF(ISNUMBER(SEARCH("oil", S8)), Dropdowns_v2!$D$183, IF(ISNUMBER(SEARCH("gas",S8 )),Dropdowns_v2!$D$184, IF(ISNUMBER(SEARCH("electric", S8)), Dropdowns_v2!$D$185, "")))</f>
        <v>119</v>
      </c>
      <c r="T286" s="364">
        <f>IF(ISNUMBER(SEARCH("oil", T8)), Dropdowns_v2!$D$183, IF(ISNUMBER(SEARCH("gas",T8 )),Dropdowns_v2!$D$184, IF(ISNUMBER(SEARCH("electric", T8)), Dropdowns_v2!$D$185, "")))</f>
        <v>119</v>
      </c>
      <c r="U286" s="364">
        <f>IF(ISNUMBER(SEARCH("oil", U8)), Dropdowns_v2!$D$183, IF(ISNUMBER(SEARCH("gas",U8 )),Dropdowns_v2!$D$184, IF(ISNUMBER(SEARCH("electric", U8)), Dropdowns_v2!$D$185, "")))</f>
        <v>119</v>
      </c>
      <c r="V286" s="205"/>
    </row>
    <row r="287" spans="1:22" s="49" customFormat="1" hidden="1">
      <c r="A287" s="695"/>
      <c r="B287" s="390"/>
      <c r="C287" s="214" t="s">
        <v>619</v>
      </c>
      <c r="D287" s="702"/>
      <c r="E287" s="696"/>
      <c r="F287" s="697" t="e">
        <f t="shared" ref="F287:O287" si="145">(F284+F285+F286)*F52</f>
        <v>#VALUE!</v>
      </c>
      <c r="G287" s="697" t="e">
        <f t="shared" si="145"/>
        <v>#VALUE!</v>
      </c>
      <c r="H287" s="697" t="e">
        <f t="shared" si="145"/>
        <v>#VALUE!</v>
      </c>
      <c r="I287" s="697" t="e">
        <f t="shared" si="145"/>
        <v>#VALUE!</v>
      </c>
      <c r="J287" s="697" t="e">
        <f t="shared" si="145"/>
        <v>#VALUE!</v>
      </c>
      <c r="K287" s="697" t="e">
        <f t="shared" si="145"/>
        <v>#VALUE!</v>
      </c>
      <c r="L287" s="697" t="e">
        <f t="shared" si="145"/>
        <v>#VALUE!</v>
      </c>
      <c r="M287" s="697" t="e">
        <f t="shared" si="145"/>
        <v>#VALUE!</v>
      </c>
      <c r="N287" s="697" t="e">
        <f t="shared" si="145"/>
        <v>#VALUE!</v>
      </c>
      <c r="O287" s="697" t="e">
        <f t="shared" si="145"/>
        <v>#VALUE!</v>
      </c>
      <c r="P287" s="404"/>
      <c r="Q287" s="698"/>
      <c r="R287" s="404"/>
      <c r="S287" s="697">
        <f>(S284+S285+S286)*S52</f>
        <v>162520</v>
      </c>
      <c r="T287" s="697">
        <f>(T284+T285+T286)*T52</f>
        <v>162520</v>
      </c>
      <c r="U287" s="697">
        <f>(U284+U285+U286)*U52</f>
        <v>162520</v>
      </c>
      <c r="V287" s="223"/>
    </row>
    <row r="288" spans="1:22" ht="15.75" hidden="1">
      <c r="A288" s="80"/>
      <c r="B288" s="332"/>
      <c r="C288" s="615" t="s">
        <v>620</v>
      </c>
      <c r="D288" s="56"/>
      <c r="E288" s="612"/>
      <c r="F288" s="692" t="str">
        <f>IF(ISNUMBER(SEARCH("oil", F7)), G25, IF(ISNUMBER(SEARCH("gas", F7)), G26, IF(ISNUMBER(SEARCH("electric", F7)), "TBD", "")))</f>
        <v/>
      </c>
      <c r="G288" s="693"/>
      <c r="H288" s="693"/>
      <c r="I288" s="693"/>
      <c r="J288" s="693"/>
      <c r="K288" s="693"/>
      <c r="L288" s="693"/>
      <c r="M288" s="693"/>
      <c r="N288" s="693"/>
      <c r="O288" s="693"/>
      <c r="P288" s="77"/>
      <c r="Q288" s="694"/>
      <c r="R288" s="77"/>
      <c r="S288" s="692" t="str">
        <f>IF(ISNUMBER(SEARCH("oil", S7)), T25, IF(ISNUMBER(SEARCH("gas", S7)), T26, IF(ISNUMBER(SEARCH("electric", S7)), "TBD", "")))</f>
        <v/>
      </c>
      <c r="T288" s="693"/>
      <c r="U288" s="693"/>
      <c r="V288" s="48"/>
    </row>
    <row r="289" spans="1:22" ht="15.75" hidden="1">
      <c r="A289" s="137"/>
      <c r="B289" s="321" t="s">
        <v>153</v>
      </c>
      <c r="C289" s="197" t="s">
        <v>621</v>
      </c>
      <c r="D289" s="83"/>
      <c r="E289" s="612"/>
      <c r="F289" s="83" t="s">
        <v>622</v>
      </c>
      <c r="G289" s="317"/>
      <c r="H289" s="317"/>
      <c r="I289" s="317"/>
      <c r="J289" s="317"/>
      <c r="K289" s="317"/>
      <c r="L289" s="317"/>
      <c r="M289" s="317"/>
      <c r="N289" s="317"/>
      <c r="O289" s="317"/>
      <c r="P289" s="30"/>
      <c r="Q289" s="317"/>
      <c r="R289" s="30"/>
      <c r="S289" s="83" t="s">
        <v>622</v>
      </c>
      <c r="T289" s="317"/>
      <c r="U289" s="317"/>
      <c r="V289" s="48"/>
    </row>
    <row r="290" spans="1:22" hidden="1">
      <c r="A290" s="137"/>
      <c r="B290" s="321" t="s">
        <v>151</v>
      </c>
      <c r="C290" s="197" t="s">
        <v>623</v>
      </c>
      <c r="D290" s="83"/>
      <c r="E290" s="612"/>
      <c r="F290" s="317" t="s">
        <v>624</v>
      </c>
      <c r="G290" s="317" t="s">
        <v>624</v>
      </c>
      <c r="H290" s="317" t="s">
        <v>624</v>
      </c>
      <c r="I290" s="317" t="s">
        <v>624</v>
      </c>
      <c r="J290" s="317" t="s">
        <v>624</v>
      </c>
      <c r="K290" s="317" t="s">
        <v>624</v>
      </c>
      <c r="L290" s="317" t="s">
        <v>624</v>
      </c>
      <c r="M290" s="317" t="s">
        <v>624</v>
      </c>
      <c r="N290" s="317" t="s">
        <v>624</v>
      </c>
      <c r="O290" s="317" t="s">
        <v>624</v>
      </c>
      <c r="P290" s="30"/>
      <c r="Q290" s="258"/>
      <c r="R290" s="30"/>
      <c r="S290" s="317" t="s">
        <v>624</v>
      </c>
      <c r="T290" s="317" t="s">
        <v>624</v>
      </c>
      <c r="U290" s="317" t="s">
        <v>624</v>
      </c>
    </row>
    <row r="291" spans="1:22" s="205" customFormat="1" ht="15" hidden="1" customHeight="1">
      <c r="A291" s="509" t="s">
        <v>614</v>
      </c>
      <c r="B291" s="322" t="s">
        <v>153</v>
      </c>
      <c r="C291" s="175" t="s">
        <v>625</v>
      </c>
      <c r="D291" s="220" t="s">
        <v>626</v>
      </c>
      <c r="E291" s="508"/>
      <c r="F291" s="364">
        <f>IF(ISNUMBER(SEARCH("3", F7)), Dropdowns_v2!$D$26, Dropdowns_v2!$D$25)</f>
        <v>256</v>
      </c>
      <c r="G291" s="364">
        <f>IF(ISNUMBER(SEARCH("3", G7)), Dropdowns_v2!$D$26, Dropdowns_v2!$D$25)</f>
        <v>256</v>
      </c>
      <c r="H291" s="364">
        <f>IF(ISNUMBER(SEARCH("3", H7)), Dropdowns_v2!$D$26, Dropdowns_v2!$D$25)</f>
        <v>256</v>
      </c>
      <c r="I291" s="364">
        <f>IF(ISNUMBER(SEARCH("3", I7)), Dropdowns_v2!$D$26, Dropdowns_v2!$D$25)</f>
        <v>256</v>
      </c>
      <c r="J291" s="364">
        <f>IF(ISNUMBER(SEARCH("3", J7)), Dropdowns_v2!$D$26, Dropdowns_v2!$D$25)</f>
        <v>256</v>
      </c>
      <c r="K291" s="364">
        <f>IF(ISNUMBER(SEARCH("3", K7)), Dropdowns_v2!$D$26, Dropdowns_v2!$D$25)</f>
        <v>256</v>
      </c>
      <c r="L291" s="364">
        <f>IF(ISNUMBER(SEARCH("3", L7)), Dropdowns_v2!$D$26, Dropdowns_v2!$D$25)</f>
        <v>256</v>
      </c>
      <c r="M291" s="364">
        <f>IF(ISNUMBER(SEARCH("3", M7)), Dropdowns_v2!$D$26, Dropdowns_v2!$D$25)</f>
        <v>256</v>
      </c>
      <c r="N291" s="364">
        <f>IF(ISNUMBER(SEARCH("3", N7)), Dropdowns_v2!$D$26, Dropdowns_v2!$D$25)</f>
        <v>256</v>
      </c>
      <c r="O291" s="364">
        <f>IF(ISNUMBER(SEARCH("3", O7)), Dropdowns_v2!$D$26, Dropdowns_v2!$D$25)</f>
        <v>256</v>
      </c>
      <c r="P291" s="402"/>
      <c r="Q291" s="246"/>
      <c r="R291" s="402"/>
      <c r="S291" s="364">
        <f>IF(ISNUMBER(SEARCH("3", S7)), Dropdowns_v2!$D$26, Dropdowns_v2!$D$25)</f>
        <v>204.8</v>
      </c>
      <c r="T291" s="364">
        <f>IF(ISNUMBER(SEARCH("3", T7)), Dropdowns_v2!$D$26, Dropdowns_v2!$D$25)</f>
        <v>204.8</v>
      </c>
      <c r="U291" s="364">
        <f>IF(ISNUMBER(SEARCH("3", U7)), Dropdowns_v2!$D$26, Dropdowns_v2!$D$25)</f>
        <v>204.8</v>
      </c>
    </row>
    <row r="292" spans="1:22" s="205" customFormat="1">
      <c r="A292" s="509" t="s">
        <v>614</v>
      </c>
      <c r="B292" s="334" t="s">
        <v>148</v>
      </c>
      <c r="C292" s="172" t="s">
        <v>615</v>
      </c>
      <c r="D292" s="220" t="s">
        <v>627</v>
      </c>
      <c r="E292" s="508"/>
      <c r="F292" s="364">
        <f t="shared" ref="F292:O292" si="146">IF(F60="Owner",F291,0)</f>
        <v>0</v>
      </c>
      <c r="G292" s="364">
        <f t="shared" si="146"/>
        <v>0</v>
      </c>
      <c r="H292" s="364">
        <f t="shared" si="146"/>
        <v>0</v>
      </c>
      <c r="I292" s="364">
        <f t="shared" si="146"/>
        <v>0</v>
      </c>
      <c r="J292" s="364">
        <f t="shared" si="146"/>
        <v>0</v>
      </c>
      <c r="K292" s="364">
        <f t="shared" si="146"/>
        <v>0</v>
      </c>
      <c r="L292" s="364">
        <f t="shared" si="146"/>
        <v>0</v>
      </c>
      <c r="M292" s="364">
        <f t="shared" si="146"/>
        <v>0</v>
      </c>
      <c r="N292" s="364">
        <f t="shared" si="146"/>
        <v>0</v>
      </c>
      <c r="O292" s="364">
        <f t="shared" si="146"/>
        <v>0</v>
      </c>
      <c r="P292" s="402"/>
      <c r="Q292" s="246"/>
      <c r="R292" s="402"/>
      <c r="S292" s="364">
        <f>IF(S60="Owner",S291,0)</f>
        <v>204.8</v>
      </c>
      <c r="T292" s="364">
        <f>IF(T60="Owner",T291,0)</f>
        <v>204.8</v>
      </c>
      <c r="U292" s="364">
        <f>IF(U60="Owner",U291,0)</f>
        <v>204.8</v>
      </c>
    </row>
    <row r="293" spans="1:22" ht="15" hidden="1" customHeight="1">
      <c r="A293" s="150"/>
      <c r="B293" s="322" t="s">
        <v>153</v>
      </c>
      <c r="C293" s="178" t="s">
        <v>628</v>
      </c>
      <c r="D293" s="97" t="s">
        <v>629</v>
      </c>
      <c r="E293" s="612"/>
      <c r="F293" s="364">
        <f t="shared" ref="F293:O293" si="147">IF(F291=0, "Not in Scope", F52*F292)</f>
        <v>0</v>
      </c>
      <c r="G293" s="364">
        <f t="shared" si="147"/>
        <v>0</v>
      </c>
      <c r="H293" s="364">
        <f t="shared" si="147"/>
        <v>0</v>
      </c>
      <c r="I293" s="364">
        <f t="shared" si="147"/>
        <v>0</v>
      </c>
      <c r="J293" s="364">
        <f t="shared" si="147"/>
        <v>0</v>
      </c>
      <c r="K293" s="364">
        <f t="shared" si="147"/>
        <v>0</v>
      </c>
      <c r="L293" s="364">
        <f t="shared" si="147"/>
        <v>0</v>
      </c>
      <c r="M293" s="364">
        <f t="shared" si="147"/>
        <v>0</v>
      </c>
      <c r="N293" s="364">
        <f t="shared" si="147"/>
        <v>0</v>
      </c>
      <c r="O293" s="364">
        <f t="shared" si="147"/>
        <v>0</v>
      </c>
      <c r="P293" s="52"/>
      <c r="Q293" s="261"/>
      <c r="R293" s="52"/>
      <c r="S293" s="364">
        <f>IF(S291=0, "Not in Scope", S52*S292)</f>
        <v>97894.400000000009</v>
      </c>
      <c r="T293" s="364">
        <f>IF(T291=0, "Not in Scope", T52*T292)</f>
        <v>97894.400000000009</v>
      </c>
      <c r="U293" s="364">
        <f>IF(U291=0, "Not in Scope", U52*U292)</f>
        <v>97894.400000000009</v>
      </c>
    </row>
    <row r="294" spans="1:22" ht="27" hidden="1" customHeight="1">
      <c r="A294" s="448"/>
      <c r="B294" s="322" t="s">
        <v>153</v>
      </c>
      <c r="C294" s="178" t="s">
        <v>630</v>
      </c>
      <c r="D294" s="398" t="s">
        <v>631</v>
      </c>
      <c r="E294" s="612"/>
      <c r="F294" s="364" t="str">
        <f t="shared" ref="F294:O294" si="148">IFERROR(F293*(F54/F53),"-")</f>
        <v>-</v>
      </c>
      <c r="G294" s="364" t="str">
        <f t="shared" si="148"/>
        <v>-</v>
      </c>
      <c r="H294" s="364" t="str">
        <f t="shared" si="148"/>
        <v>-</v>
      </c>
      <c r="I294" s="364" t="str">
        <f t="shared" si="148"/>
        <v>-</v>
      </c>
      <c r="J294" s="364" t="str">
        <f t="shared" si="148"/>
        <v>-</v>
      </c>
      <c r="K294" s="364" t="str">
        <f t="shared" si="148"/>
        <v>-</v>
      </c>
      <c r="L294" s="364" t="str">
        <f t="shared" si="148"/>
        <v>-</v>
      </c>
      <c r="M294" s="364" t="str">
        <f t="shared" si="148"/>
        <v>-</v>
      </c>
      <c r="N294" s="364" t="str">
        <f t="shared" si="148"/>
        <v>-</v>
      </c>
      <c r="O294" s="364" t="str">
        <f t="shared" si="148"/>
        <v>-</v>
      </c>
      <c r="P294" s="52"/>
      <c r="Q294" s="262"/>
      <c r="R294" s="52"/>
      <c r="S294" s="364">
        <f>IFERROR(S293*(S54/S53),"-")</f>
        <v>0</v>
      </c>
      <c r="T294" s="364">
        <f>IFERROR(T293*(T54/T53),"-")</f>
        <v>0</v>
      </c>
      <c r="U294" s="364">
        <f>IFERROR(U293*(U54/U53),"-")</f>
        <v>0</v>
      </c>
    </row>
    <row r="295" spans="1:22" hidden="1">
      <c r="A295" s="150"/>
      <c r="B295" s="321" t="s">
        <v>151</v>
      </c>
      <c r="C295" s="197" t="s">
        <v>632</v>
      </c>
      <c r="D295" s="45"/>
      <c r="E295" s="612"/>
      <c r="F295" s="45" t="s">
        <v>624</v>
      </c>
      <c r="G295" s="45" t="s">
        <v>624</v>
      </c>
      <c r="H295" s="45" t="s">
        <v>624</v>
      </c>
      <c r="I295" s="45" t="s">
        <v>624</v>
      </c>
      <c r="J295" s="45" t="s">
        <v>624</v>
      </c>
      <c r="K295" s="45" t="s">
        <v>624</v>
      </c>
      <c r="L295" s="45" t="s">
        <v>624</v>
      </c>
      <c r="M295" s="45" t="s">
        <v>624</v>
      </c>
      <c r="N295" s="45" t="s">
        <v>624</v>
      </c>
      <c r="O295" s="45" t="s">
        <v>624</v>
      </c>
      <c r="P295" s="85"/>
      <c r="Q295" s="263"/>
      <c r="R295" s="85"/>
      <c r="S295" s="45" t="s">
        <v>624</v>
      </c>
      <c r="T295" s="45" t="s">
        <v>624</v>
      </c>
      <c r="U295" s="45" t="s">
        <v>624</v>
      </c>
    </row>
    <row r="296" spans="1:22" s="207" customFormat="1" ht="15.4" customHeight="1">
      <c r="A296" s="705"/>
      <c r="B296" s="334" t="s">
        <v>148</v>
      </c>
      <c r="C296" s="178" t="s">
        <v>633</v>
      </c>
      <c r="D296" s="220" t="s">
        <v>634</v>
      </c>
      <c r="E296" s="706"/>
      <c r="F296" s="364">
        <f t="shared" ref="F296:O296" si="149">IF(AND(ISNUMBER(SEARCH("Heat Pump", F59)), ISNUMBER(SEARCH("Owner", F61))), 108, 0)</f>
        <v>0</v>
      </c>
      <c r="G296" s="364">
        <f t="shared" si="149"/>
        <v>0</v>
      </c>
      <c r="H296" s="364">
        <f t="shared" si="149"/>
        <v>0</v>
      </c>
      <c r="I296" s="364">
        <f t="shared" si="149"/>
        <v>0</v>
      </c>
      <c r="J296" s="364">
        <f t="shared" si="149"/>
        <v>0</v>
      </c>
      <c r="K296" s="364">
        <f t="shared" si="149"/>
        <v>0</v>
      </c>
      <c r="L296" s="364">
        <f t="shared" si="149"/>
        <v>0</v>
      </c>
      <c r="M296" s="364">
        <f t="shared" si="149"/>
        <v>0</v>
      </c>
      <c r="N296" s="364">
        <f t="shared" si="149"/>
        <v>0</v>
      </c>
      <c r="O296" s="364">
        <f t="shared" si="149"/>
        <v>0</v>
      </c>
      <c r="P296" s="707"/>
      <c r="Q296" s="261"/>
      <c r="R296" s="707"/>
      <c r="S296" s="364">
        <f>IF(AND(ISNUMBER(SEARCH("Heat Pump", S59)), ISNUMBER(SEARCH("Owner", S61))), 108, 0)</f>
        <v>108</v>
      </c>
      <c r="T296" s="364">
        <f>IF(AND(ISNUMBER(SEARCH("Heat Pump", T59)), ISNUMBER(SEARCH("Owner", T61))), 108, 0)</f>
        <v>108</v>
      </c>
      <c r="U296" s="364">
        <f>IF(AND(ISNUMBER(SEARCH("Heat Pump", U59)), ISNUMBER(SEARCH("Owner", U61))), 108, 0)</f>
        <v>108</v>
      </c>
    </row>
    <row r="297" spans="1:22" ht="15" hidden="1" customHeight="1">
      <c r="A297" s="150"/>
      <c r="B297" s="395" t="s">
        <v>153</v>
      </c>
      <c r="C297" s="396" t="s">
        <v>635</v>
      </c>
      <c r="D297" s="397" t="s">
        <v>636</v>
      </c>
      <c r="E297" s="612"/>
      <c r="F297" s="364" t="str">
        <f t="shared" ref="F297:K297" si="150">IF(ISNUMBER(SEARCH("heat pump", F59)),(F52*F296), "Not In Scope")</f>
        <v>Not In Scope</v>
      </c>
      <c r="G297" s="364" t="str">
        <f t="shared" si="150"/>
        <v>Not In Scope</v>
      </c>
      <c r="H297" s="364" t="str">
        <f t="shared" si="150"/>
        <v>Not In Scope</v>
      </c>
      <c r="I297" s="364" t="str">
        <f t="shared" si="150"/>
        <v>Not In Scope</v>
      </c>
      <c r="J297" s="364" t="str">
        <f t="shared" si="150"/>
        <v>Not In Scope</v>
      </c>
      <c r="K297" s="364" t="str">
        <f t="shared" si="150"/>
        <v>Not In Scope</v>
      </c>
      <c r="L297" s="364">
        <f>IF(ISNUMBER(SEARCH("heat pump", L59)),(L52*L296), 0)</f>
        <v>0</v>
      </c>
      <c r="M297" s="364" t="str">
        <f>IF(ISNUMBER(SEARCH("heat pump", M59)),(M52*M296), "Not In Scope")</f>
        <v>Not In Scope</v>
      </c>
      <c r="N297" s="364" t="str">
        <f>IF(ISNUMBER(SEARCH("heat pump", N59)),(N52*N296), "Not In Scope")</f>
        <v>Not In Scope</v>
      </c>
      <c r="O297" s="364" t="str">
        <f>IF(ISNUMBER(SEARCH("heat pump", O59)),(O52*O296), "Not In Scope")</f>
        <v>Not In Scope</v>
      </c>
      <c r="P297" s="91"/>
      <c r="Q297" s="264"/>
      <c r="R297" s="91"/>
      <c r="S297" s="364">
        <f>IF(ISNUMBER(SEARCH("heat pump", S59)),(S52*S296), "Not In Scope")</f>
        <v>51624</v>
      </c>
      <c r="T297" s="364">
        <f>IF(ISNUMBER(SEARCH("heat pump", T59)),(T52*T296), "Not In Scope")</f>
        <v>51624</v>
      </c>
      <c r="U297" s="364">
        <f>IF(ISNUMBER(SEARCH("heat pump", U59)),(U52*U296), "Not In Scope")</f>
        <v>51624</v>
      </c>
    </row>
    <row r="298" spans="1:22" hidden="1">
      <c r="A298" s="80"/>
      <c r="B298" s="321" t="s">
        <v>151</v>
      </c>
      <c r="C298" s="197" t="s">
        <v>637</v>
      </c>
      <c r="D298" s="100"/>
      <c r="E298" s="612"/>
      <c r="F298" s="45" t="s">
        <v>624</v>
      </c>
      <c r="G298" s="45" t="s">
        <v>624</v>
      </c>
      <c r="H298" s="45" t="s">
        <v>624</v>
      </c>
      <c r="I298" s="45" t="s">
        <v>624</v>
      </c>
      <c r="J298" s="45" t="s">
        <v>624</v>
      </c>
      <c r="K298" s="45" t="s">
        <v>624</v>
      </c>
      <c r="L298" s="45" t="s">
        <v>624</v>
      </c>
      <c r="M298" s="45" t="s">
        <v>624</v>
      </c>
      <c r="N298" s="45" t="s">
        <v>624</v>
      </c>
      <c r="O298" s="45" t="s">
        <v>624</v>
      </c>
      <c r="P298" s="30"/>
      <c r="Q298" s="258"/>
      <c r="R298" s="30"/>
      <c r="S298" s="45" t="s">
        <v>624</v>
      </c>
      <c r="T298" s="45" t="s">
        <v>624</v>
      </c>
      <c r="U298" s="45" t="s">
        <v>624</v>
      </c>
    </row>
    <row r="299" spans="1:22" s="205" customFormat="1">
      <c r="A299" s="703"/>
      <c r="B299" s="334" t="s">
        <v>148</v>
      </c>
      <c r="C299" s="175" t="s">
        <v>638</v>
      </c>
      <c r="D299" s="220" t="s">
        <v>639</v>
      </c>
      <c r="E299" s="508"/>
      <c r="F299" s="62" t="e">
        <f t="array" ref="F299">INDEX(Dropdowns_v2!$D$2:$D$248, MATCH(REDiTool!F$63, IF(Dropdowns_v2!$C$2:$C$248=REDiTool!$C$299,Dropdowns_v2!$B$2:$B$248,""),0))</f>
        <v>#N/A</v>
      </c>
      <c r="G299" s="62" t="e">
        <f t="array" ref="G299">INDEX(Dropdowns_v2!$D$2:$D$248, MATCH(REDiTool!G$63, IF(Dropdowns_v2!$C$2:$C$248=REDiTool!$C$299,Dropdowns_v2!$B$2:$B$248,""),0))</f>
        <v>#N/A</v>
      </c>
      <c r="H299" s="62" t="e">
        <f t="array" ref="H299">INDEX(Dropdowns_v2!$D$2:$D$248, MATCH(REDiTool!H$63, IF(Dropdowns_v2!$C$2:$C$248=REDiTool!$C$299,Dropdowns_v2!$B$2:$B$248,""),0))</f>
        <v>#N/A</v>
      </c>
      <c r="I299" s="62" t="e">
        <f t="array" ref="I299">INDEX(Dropdowns_v2!$D$2:$D$248, MATCH(REDiTool!I$63, IF(Dropdowns_v2!$C$2:$C$248=REDiTool!$C$299,Dropdowns_v2!$B$2:$B$248,""),0))</f>
        <v>#N/A</v>
      </c>
      <c r="J299" s="62" t="e">
        <f t="array" ref="J299">INDEX(Dropdowns_v2!$D$2:$D$248, MATCH(REDiTool!J$63, IF(Dropdowns_v2!$C$2:$C$248=REDiTool!$C$299,Dropdowns_v2!$B$2:$B$248,""),0))</f>
        <v>#N/A</v>
      </c>
      <c r="K299" s="62" t="e">
        <f t="array" ref="K299">INDEX(Dropdowns_v2!$D$2:$D$248, MATCH(REDiTool!K$63, IF(Dropdowns_v2!$C$2:$C$248=REDiTool!$C$299,Dropdowns_v2!$B$2:$B$248,""),0))</f>
        <v>#N/A</v>
      </c>
      <c r="L299" s="62" t="e">
        <f t="array" ref="L299">INDEX(Dropdowns_v2!$D$2:$D$248, MATCH(REDiTool!L$63, IF(Dropdowns_v2!$C$2:$C$248=REDiTool!$C$299,Dropdowns_v2!$B$2:$B$248,""),0))</f>
        <v>#N/A</v>
      </c>
      <c r="M299" s="62" t="e">
        <f t="array" ref="M299">INDEX(Dropdowns_v2!$D$2:$D$248, MATCH(REDiTool!M$63, IF(Dropdowns_v2!$C$2:$C$248=REDiTool!$C$299,Dropdowns_v2!$B$2:$B$248,""),0))</f>
        <v>#N/A</v>
      </c>
      <c r="N299" s="62" t="e">
        <f t="array" ref="N299">INDEX(Dropdowns_v2!$D$2:$D$248, MATCH(REDiTool!N$63, IF(Dropdowns_v2!$C$2:$C$248=REDiTool!$C$299,Dropdowns_v2!$B$2:$B$248,""),0))</f>
        <v>#N/A</v>
      </c>
      <c r="O299" s="62" t="e">
        <f t="array" ref="O299">INDEX(Dropdowns_v2!$D$2:$D$248, MATCH(REDiTool!O$63, IF(Dropdowns_v2!$C$2:$C$248=REDiTool!$C$299,Dropdowns_v2!$B$2:$B$248,""),0))</f>
        <v>#N/A</v>
      </c>
      <c r="P299" s="402"/>
      <c r="Q299" s="246"/>
      <c r="R299" s="402"/>
      <c r="S299" s="62">
        <f t="array" ref="S299">INDEX(Dropdowns_v2!$D$2:$D$248, MATCH(REDiTool!S$63, IF(Dropdowns_v2!$C$2:$C$248=REDiTool!$C$299,Dropdowns_v2!$B$2:$B$248,""),0))</f>
        <v>187</v>
      </c>
      <c r="T299" s="62">
        <f t="array" ref="T299">INDEX(Dropdowns_v2!$D$2:$D$248, MATCH(REDiTool!T$63, IF(Dropdowns_v2!$C$2:$C$248=REDiTool!$C$299,Dropdowns_v2!$B$2:$B$248,""),0))</f>
        <v>153</v>
      </c>
      <c r="U299" s="62">
        <f t="array" ref="U299">INDEX(Dropdowns_v2!$D$2:$D$248, MATCH(REDiTool!U$63, IF(Dropdowns_v2!$C$2:$C$248=REDiTool!$C$299,Dropdowns_v2!$B$2:$B$248,""),0))</f>
        <v>187</v>
      </c>
    </row>
    <row r="300" spans="1:22" s="205" customFormat="1" ht="15" hidden="1" customHeight="1">
      <c r="A300" s="401"/>
      <c r="B300" s="329" t="s">
        <v>153</v>
      </c>
      <c r="C300" s="182" t="s">
        <v>640</v>
      </c>
      <c r="D300" s="220" t="s">
        <v>629</v>
      </c>
      <c r="E300" s="704"/>
      <c r="F300" s="162" t="str">
        <f>IF(ISNUMBER(SEARCH("heat pump", F63)),((F45*F299)), "Not In Scope")</f>
        <v>Not In Scope</v>
      </c>
      <c r="G300" s="162" t="str">
        <f>IF(ISNUMBER(SEARCH("heat pump", G63)),((G45*G299)), "Not In Scope")</f>
        <v>Not In Scope</v>
      </c>
      <c r="H300" s="162" t="str">
        <f>IF(ISNUMBER(SEARCH("heat pump", H63)),((H45*H299)), "Not In Scope")</f>
        <v>Not In Scope</v>
      </c>
      <c r="I300" s="162" t="str">
        <f>IF(ISNUMBER(SEARCH("heat pump", I63)),((I52*#REF!)+(I52*#REF!)), "Not In Scope")</f>
        <v>Not In Scope</v>
      </c>
      <c r="J300" s="162" t="str">
        <f>IF(ISNUMBER(SEARCH("heat pump", J63)),((J52*#REF!)+(J52*#REF!)), "Not In Scope")</f>
        <v>Not In Scope</v>
      </c>
      <c r="K300" s="162" t="str">
        <f>IF(ISNUMBER(SEARCH("heat pump", K63)),((K52*#REF!)+(K52*#REF!)), "Not In Scope")</f>
        <v>Not In Scope</v>
      </c>
      <c r="L300" s="162" t="str">
        <f>IF(ISNUMBER(SEARCH("heat pump", L63)),((L52*#REF!)+(L52*#REF!)), "Not In Scope")</f>
        <v>Not In Scope</v>
      </c>
      <c r="M300" s="162" t="str">
        <f>IF(ISNUMBER(SEARCH("heat pump", M63)),((M52*#REF!)+(M52*#REF!)), "Not In Scope")</f>
        <v>Not In Scope</v>
      </c>
      <c r="N300" s="162" t="str">
        <f>IF(ISNUMBER(SEARCH("heat pump", N63)),((N52*#REF!)+(N52*#REF!)), "Not In Scope")</f>
        <v>Not In Scope</v>
      </c>
      <c r="O300" s="162" t="str">
        <f>IF(ISNUMBER(SEARCH("heat pump", O63)),((O52*#REF!)+(O52*#REF!)), "Not In Scope")</f>
        <v>Not In Scope</v>
      </c>
      <c r="P300" s="704"/>
      <c r="Q300" s="266"/>
      <c r="R300" s="704"/>
      <c r="S300" s="162">
        <f>IF(ISNUMBER(SEARCH("heat pump", S63)),((S45*S299)), "Not In Scope")</f>
        <v>25245</v>
      </c>
      <c r="T300" s="162">
        <f>IF(ISNUMBER(SEARCH("heat pump", T63)),((T45*T299)), "Not In Scope")</f>
        <v>20655</v>
      </c>
      <c r="U300" s="162">
        <f>IF(ISNUMBER(SEARCH("heat pump", U63)),((U45*U299)), "Not In Scope")</f>
        <v>25245</v>
      </c>
    </row>
    <row r="301" spans="1:22" s="205" customFormat="1" ht="24.75" hidden="1" customHeight="1" thickBot="1">
      <c r="A301" s="401"/>
      <c r="B301" s="330" t="s">
        <v>153</v>
      </c>
      <c r="C301" s="179" t="s">
        <v>641</v>
      </c>
      <c r="D301" s="410" t="s">
        <v>642</v>
      </c>
      <c r="E301" s="704"/>
      <c r="F301" s="364" t="e">
        <f t="shared" ref="F301:O301" si="151">F142*(F54/F56)</f>
        <v>#N/A</v>
      </c>
      <c r="G301" s="364" t="e">
        <f t="shared" si="151"/>
        <v>#N/A</v>
      </c>
      <c r="H301" s="364" t="e">
        <f t="shared" si="151"/>
        <v>#N/A</v>
      </c>
      <c r="I301" s="364" t="e">
        <f t="shared" si="151"/>
        <v>#N/A</v>
      </c>
      <c r="J301" s="364" t="e">
        <f t="shared" si="151"/>
        <v>#N/A</v>
      </c>
      <c r="K301" s="364" t="e">
        <f t="shared" si="151"/>
        <v>#N/A</v>
      </c>
      <c r="L301" s="364" t="e">
        <f t="shared" si="151"/>
        <v>#N/A</v>
      </c>
      <c r="M301" s="364" t="e">
        <f t="shared" si="151"/>
        <v>#N/A</v>
      </c>
      <c r="N301" s="364" t="e">
        <f t="shared" si="151"/>
        <v>#N/A</v>
      </c>
      <c r="O301" s="364" t="e">
        <f t="shared" si="151"/>
        <v>#N/A</v>
      </c>
      <c r="P301" s="704"/>
      <c r="Q301" s="266"/>
      <c r="R301" s="704"/>
      <c r="S301" s="364">
        <f t="shared" ref="S301:U301" si="152">S142*(S54/S56)</f>
        <v>0</v>
      </c>
      <c r="T301" s="364">
        <f t="shared" si="152"/>
        <v>0</v>
      </c>
      <c r="U301" s="364">
        <f t="shared" si="152"/>
        <v>0</v>
      </c>
    </row>
    <row r="302" spans="1:22">
      <c r="A302" s="80"/>
      <c r="B302" s="905" t="s">
        <v>162</v>
      </c>
      <c r="C302" s="80"/>
      <c r="D302" s="80"/>
      <c r="E302" s="80"/>
      <c r="F302" s="80"/>
      <c r="G302" s="80"/>
      <c r="H302" s="80"/>
      <c r="I302" s="80"/>
      <c r="J302" s="80"/>
      <c r="K302" s="80"/>
      <c r="L302" s="80"/>
      <c r="M302" s="80"/>
      <c r="N302" s="80"/>
      <c r="O302" s="80"/>
      <c r="P302" s="80"/>
      <c r="Q302" s="80"/>
      <c r="R302" s="80"/>
      <c r="S302" s="80"/>
      <c r="T302" s="80"/>
      <c r="U302" s="80"/>
    </row>
    <row r="304" spans="1:22">
      <c r="B304" s="1061" t="s">
        <v>148</v>
      </c>
      <c r="C304" s="1060" t="s">
        <v>643</v>
      </c>
      <c r="D304" s="1080"/>
    </row>
    <row r="305" spans="1:18" s="38" customFormat="1" ht="33.75" customHeight="1">
      <c r="A305" s="938"/>
      <c r="B305" s="933" t="s">
        <v>148</v>
      </c>
      <c r="C305" s="1262" t="s">
        <v>644</v>
      </c>
      <c r="D305" s="1262"/>
      <c r="Q305" s="939"/>
      <c r="R305" s="939"/>
    </row>
    <row r="306" spans="1:18" s="38" customFormat="1" ht="34.5" customHeight="1">
      <c r="A306" s="938"/>
      <c r="B306" s="933" t="s">
        <v>148</v>
      </c>
      <c r="C306" s="1262" t="s">
        <v>645</v>
      </c>
      <c r="D306" s="1262"/>
      <c r="Q306" s="939"/>
      <c r="R306" s="939"/>
    </row>
    <row r="307" spans="1:18">
      <c r="B307" s="931"/>
      <c r="C307" s="940"/>
    </row>
    <row r="308" spans="1:18">
      <c r="B308" s="931"/>
      <c r="C308" s="940"/>
    </row>
    <row r="309" spans="1:18" ht="21.4" customHeight="1">
      <c r="B309" s="931"/>
      <c r="C309" s="932"/>
    </row>
    <row r="310" spans="1:18" ht="409.5" customHeight="1">
      <c r="B310" s="933"/>
      <c r="C310"/>
    </row>
    <row r="757" spans="4:4">
      <c r="D757" s="33" t="s">
        <v>19</v>
      </c>
    </row>
  </sheetData>
  <sheetProtection formatColumns="0" autoFilter="0"/>
  <autoFilter ref="A1:D302" xr:uid="{00000000-0009-0000-0000-000002000000}">
    <filterColumn colId="1">
      <filters>
        <filter val="P"/>
      </filters>
    </filterColumn>
    <filterColumn colId="2" showButton="0"/>
    <filterColumn colId="3" showButton="0"/>
  </autoFilter>
  <mergeCells count="23">
    <mergeCell ref="C305:D305"/>
    <mergeCell ref="C306:D306"/>
    <mergeCell ref="F188:H188"/>
    <mergeCell ref="P149:Q149"/>
    <mergeCell ref="F187:H187"/>
    <mergeCell ref="F189:H189"/>
    <mergeCell ref="F191:H191"/>
    <mergeCell ref="F165:H165"/>
    <mergeCell ref="F150:H150"/>
    <mergeCell ref="F208:H208"/>
    <mergeCell ref="C1:D1"/>
    <mergeCell ref="F211:O211"/>
    <mergeCell ref="F190:H190"/>
    <mergeCell ref="F192:H192"/>
    <mergeCell ref="F194:H194"/>
    <mergeCell ref="F186:H186"/>
    <mergeCell ref="F183:H183"/>
    <mergeCell ref="F184:H184"/>
    <mergeCell ref="F207:H207"/>
    <mergeCell ref="F209:H209"/>
    <mergeCell ref="F185:H185"/>
    <mergeCell ref="F193:H193"/>
    <mergeCell ref="F204:H204"/>
  </mergeCells>
  <phoneticPr fontId="58" type="noConversion"/>
  <conditionalFormatting sqref="E103:P103">
    <cfRule type="cellIs" dxfId="80" priority="375" operator="greaterThan">
      <formula>55</formula>
    </cfRule>
  </conditionalFormatting>
  <conditionalFormatting sqref="F194 J194:O194">
    <cfRule type="cellIs" dxfId="79" priority="214" operator="greaterThan">
      <formula>10000</formula>
    </cfRule>
  </conditionalFormatting>
  <conditionalFormatting sqref="F188:H188 F191 S191">
    <cfRule type="cellIs" dxfId="78" priority="209" operator="lessThan">
      <formula>0</formula>
    </cfRule>
  </conditionalFormatting>
  <conditionalFormatting sqref="F188:H188">
    <cfRule type="cellIs" dxfId="77" priority="1" operator="lessThan">
      <formula>$F$185</formula>
    </cfRule>
  </conditionalFormatting>
  <conditionalFormatting sqref="F204:H204">
    <cfRule type="cellIs" dxfId="76" priority="206" operator="greaterThan">
      <formula>10000</formula>
    </cfRule>
  </conditionalFormatting>
  <conditionalFormatting sqref="F22:I22 K22:N22">
    <cfRule type="containsText" dxfId="75" priority="413" operator="containsText" text="mod">
      <formula>NOT(ISERROR(SEARCH("mod",F22)))</formula>
    </cfRule>
  </conditionalFormatting>
  <conditionalFormatting sqref="F146:M147">
    <cfRule type="cellIs" dxfId="74" priority="404" operator="lessThan">
      <formula>0</formula>
    </cfRule>
  </conditionalFormatting>
  <conditionalFormatting sqref="F27:O28">
    <cfRule type="containsText" dxfId="73" priority="834" operator="containsText" text="hydronic">
      <formula>NOT(ISERROR(SEARCH("hydronic",F27)))</formula>
    </cfRule>
  </conditionalFormatting>
  <conditionalFormatting sqref="F59:O59">
    <cfRule type="containsText" dxfId="72" priority="192" operator="containsText" text="Geothermal">
      <formula>NOT(ISERROR(SEARCH("Geothermal",F59)))</formula>
    </cfRule>
  </conditionalFormatting>
  <conditionalFormatting sqref="F60:O61">
    <cfRule type="expression" dxfId="71" priority="183">
      <formula>AND(ISNUMBER(SEARCH("Rental", F58)), ISNUMBER(SEARCH("Resident", F60)))</formula>
    </cfRule>
  </conditionalFormatting>
  <conditionalFormatting sqref="F62:O62">
    <cfRule type="containsText" dxfId="70" priority="191" operator="containsText" text="Geothermal">
      <formula>NOT(ISERROR(SEARCH("Geothermal",F62)))</formula>
    </cfRule>
  </conditionalFormatting>
  <conditionalFormatting sqref="F65:O65">
    <cfRule type="expression" dxfId="69" priority="188">
      <formula>AND(ISNUMBER(SEARCH("Rental", F58)), ISNUMBER(SEARCH("Resident", F65)))</formula>
    </cfRule>
  </conditionalFormatting>
  <conditionalFormatting sqref="F66:O67">
    <cfRule type="containsText" dxfId="68" priority="193" operator="containsText" text="resident">
      <formula>NOT(ISERROR(SEARCH("resident",F66)))</formula>
    </cfRule>
  </conditionalFormatting>
  <conditionalFormatting sqref="F104:O104">
    <cfRule type="cellIs" dxfId="66" priority="376" operator="greaterThan">
      <formula>73.7</formula>
    </cfRule>
  </conditionalFormatting>
  <conditionalFormatting sqref="F125:O125">
    <cfRule type="cellIs" dxfId="65" priority="5" operator="lessThan">
      <formula>0</formula>
    </cfRule>
    <cfRule type="cellIs" dxfId="64" priority="6" operator="lessThan">
      <formula>0</formula>
    </cfRule>
  </conditionalFormatting>
  <conditionalFormatting sqref="F131:O131 F133:O133 F138:O138">
    <cfRule type="cellIs" dxfId="63" priority="9" operator="lessThan">
      <formula>0</formula>
    </cfRule>
    <cfRule type="cellIs" dxfId="62" priority="10" operator="lessThan">
      <formula>0</formula>
    </cfRule>
  </conditionalFormatting>
  <conditionalFormatting sqref="F142:O144">
    <cfRule type="cellIs" dxfId="61" priority="7" operator="lessThan">
      <formula>0</formula>
    </cfRule>
    <cfRule type="cellIs" dxfId="60" priority="8" operator="lessThan">
      <formula>0</formula>
    </cfRule>
  </conditionalFormatting>
  <conditionalFormatting sqref="F146:O146">
    <cfRule type="cellIs" dxfId="59" priority="226" operator="lessThan">
      <formula>0</formula>
    </cfRule>
    <cfRule type="cellIs" dxfId="58" priority="227" operator="lessThan">
      <formula>0</formula>
    </cfRule>
  </conditionalFormatting>
  <conditionalFormatting sqref="F147:O147">
    <cfRule type="cellIs" dxfId="57" priority="356" operator="lessThan">
      <formula>0</formula>
    </cfRule>
  </conditionalFormatting>
  <conditionalFormatting sqref="F181:O182">
    <cfRule type="cellIs" dxfId="56" priority="194" operator="lessThan">
      <formula>0</formula>
    </cfRule>
  </conditionalFormatting>
  <conditionalFormatting sqref="F200:O200">
    <cfRule type="containsText" dxfId="55" priority="205" operator="containsText" text="Potential">
      <formula>NOT(ISERROR(SEARCH("Potential",F200)))</formula>
    </cfRule>
  </conditionalFormatting>
  <conditionalFormatting sqref="F201:O202">
    <cfRule type="cellIs" dxfId="54" priority="207" operator="lessThan">
      <formula>0</formula>
    </cfRule>
  </conditionalFormatting>
  <conditionalFormatting sqref="F203:O203">
    <cfRule type="cellIs" dxfId="53" priority="204" operator="greaterThan">
      <formula>10000</formula>
    </cfRule>
  </conditionalFormatting>
  <conditionalFormatting sqref="F255:O255 Q258:Q266">
    <cfRule type="cellIs" dxfId="52" priority="374" operator="lessThan">
      <formula>0</formula>
    </cfRule>
  </conditionalFormatting>
  <conditionalFormatting sqref="F284:O286">
    <cfRule type="cellIs" dxfId="51" priority="198" operator="lessThan">
      <formula>0</formula>
    </cfRule>
    <cfRule type="cellIs" dxfId="50" priority="197" operator="lessThan">
      <formula>0</formula>
    </cfRule>
  </conditionalFormatting>
  <conditionalFormatting sqref="F291:O294">
    <cfRule type="cellIs" dxfId="49" priority="196" operator="lessThan">
      <formula>0</formula>
    </cfRule>
    <cfRule type="cellIs" dxfId="48" priority="195" operator="lessThan">
      <formula>0</formula>
    </cfRule>
  </conditionalFormatting>
  <conditionalFormatting sqref="F296:O297">
    <cfRule type="cellIs" dxfId="47" priority="234" operator="lessThan">
      <formula>0</formula>
    </cfRule>
    <cfRule type="cellIs" dxfId="46" priority="235" operator="lessThan">
      <formula>0</formula>
    </cfRule>
  </conditionalFormatting>
  <conditionalFormatting sqref="F300:O301">
    <cfRule type="cellIs" dxfId="45" priority="354" operator="lessThan">
      <formula>0</formula>
    </cfRule>
    <cfRule type="cellIs" dxfId="44" priority="355" operator="lessThan">
      <formula>0</formula>
    </cfRule>
  </conditionalFormatting>
  <conditionalFormatting sqref="G147:O147">
    <cfRule type="cellIs" dxfId="43" priority="357" operator="lessThan">
      <formula>0</formula>
    </cfRule>
  </conditionalFormatting>
  <conditionalFormatting sqref="J37:M37 O37">
    <cfRule type="containsText" dxfId="42" priority="365" operator="containsText" text="No">
      <formula>NOT(ISERROR(SEARCH("No",J37)))</formula>
    </cfRule>
  </conditionalFormatting>
  <conditionalFormatting sqref="Q102">
    <cfRule type="cellIs" dxfId="41" priority="820" operator="notEqual">
      <formula>#REF!</formula>
    </cfRule>
    <cfRule type="expression" dxfId="40" priority="821">
      <formula>"&lt;&gt;$D$85"</formula>
    </cfRule>
    <cfRule type="expression" dxfId="39" priority="822">
      <formula>"&lt;&gt;$D$85"</formula>
    </cfRule>
  </conditionalFormatting>
  <conditionalFormatting sqref="Q255">
    <cfRule type="cellIs" dxfId="38" priority="847" operator="lessThan">
      <formula>0</formula>
    </cfRule>
  </conditionalFormatting>
  <conditionalFormatting sqref="R103:U103">
    <cfRule type="cellIs" dxfId="37" priority="100" operator="greaterThan">
      <formula>55</formula>
    </cfRule>
  </conditionalFormatting>
  <conditionalFormatting sqref="S194">
    <cfRule type="cellIs" dxfId="36" priority="122" operator="greaterThan">
      <formula>10000</formula>
    </cfRule>
  </conditionalFormatting>
  <conditionalFormatting sqref="S22:U22">
    <cfRule type="containsText" dxfId="35" priority="103" operator="containsText" text="mod">
      <formula>NOT(ISERROR(SEARCH("mod",S22)))</formula>
    </cfRule>
  </conditionalFormatting>
  <conditionalFormatting sqref="S27:U28">
    <cfRule type="containsText" dxfId="34" priority="65" operator="containsText" text="hydronic">
      <formula>NOT(ISERROR(SEARCH("hydronic",S27)))</formula>
    </cfRule>
  </conditionalFormatting>
  <conditionalFormatting sqref="S59:U59">
    <cfRule type="containsText" dxfId="33" priority="73" operator="containsText" text="Geothermal">
      <formula>NOT(ISERROR(SEARCH("Geothermal",S59)))</formula>
    </cfRule>
  </conditionalFormatting>
  <conditionalFormatting sqref="S60:U61">
    <cfRule type="expression" dxfId="32" priority="69">
      <formula>AND(ISNUMBER(SEARCH("Rental", S58)), ISNUMBER(SEARCH("Resident", S60)))</formula>
    </cfRule>
  </conditionalFormatting>
  <conditionalFormatting sqref="S62:U62">
    <cfRule type="containsText" dxfId="31" priority="72" operator="containsText" text="Geothermal">
      <formula>NOT(ISERROR(SEARCH("Geothermal",S62)))</formula>
    </cfRule>
  </conditionalFormatting>
  <conditionalFormatting sqref="S65:U65">
    <cfRule type="expression" dxfId="30" priority="70">
      <formula>AND(ISNUMBER(SEARCH("Rental", S58)), ISNUMBER(SEARCH("Resident", S65)))</formula>
    </cfRule>
  </conditionalFormatting>
  <conditionalFormatting sqref="S66:U67">
    <cfRule type="containsText" dxfId="29" priority="74" operator="containsText" text="resident">
      <formula>NOT(ISERROR(SEARCH("resident",S66)))</formula>
    </cfRule>
  </conditionalFormatting>
  <conditionalFormatting sqref="S104:U104">
    <cfRule type="cellIs" dxfId="27" priority="101" operator="greaterThan">
      <formula>73.7</formula>
    </cfRule>
  </conditionalFormatting>
  <conditionalFormatting sqref="S125:U125">
    <cfRule type="cellIs" dxfId="26" priority="91" operator="lessThan">
      <formula>0</formula>
    </cfRule>
    <cfRule type="cellIs" dxfId="25" priority="90" operator="lessThan">
      <formula>0</formula>
    </cfRule>
  </conditionalFormatting>
  <conditionalFormatting sqref="S131:U131 S133:U133 S138:U138">
    <cfRule type="cellIs" dxfId="24" priority="98" operator="lessThan">
      <formula>0</formula>
    </cfRule>
    <cfRule type="cellIs" dxfId="23" priority="97" operator="lessThan">
      <formula>0</formula>
    </cfRule>
  </conditionalFormatting>
  <conditionalFormatting sqref="S142:U144">
    <cfRule type="cellIs" dxfId="22" priority="96" operator="lessThan">
      <formula>0</formula>
    </cfRule>
    <cfRule type="cellIs" dxfId="21" priority="95" operator="lessThan">
      <formula>0</formula>
    </cfRule>
  </conditionalFormatting>
  <conditionalFormatting sqref="S146:U146">
    <cfRule type="cellIs" dxfId="20" priority="86" operator="lessThan">
      <formula>0</formula>
    </cfRule>
  </conditionalFormatting>
  <conditionalFormatting sqref="S146:U147">
    <cfRule type="cellIs" dxfId="19" priority="3" operator="lessThan">
      <formula>0</formula>
    </cfRule>
  </conditionalFormatting>
  <conditionalFormatting sqref="S147:U147">
    <cfRule type="cellIs" dxfId="18" priority="2" operator="lessThan">
      <formula>0</formula>
    </cfRule>
  </conditionalFormatting>
  <conditionalFormatting sqref="S181:U182">
    <cfRule type="cellIs" dxfId="17" priority="75" operator="lessThan">
      <formula>0</formula>
    </cfRule>
  </conditionalFormatting>
  <conditionalFormatting sqref="S188:U188">
    <cfRule type="cellIs" dxfId="16" priority="84" operator="lessThan">
      <formula>0</formula>
    </cfRule>
  </conditionalFormatting>
  <conditionalFormatting sqref="S200:U200">
    <cfRule type="containsText" dxfId="15" priority="81" operator="containsText" text="Potential">
      <formula>NOT(ISERROR(SEARCH("Potential",S200)))</formula>
    </cfRule>
  </conditionalFormatting>
  <conditionalFormatting sqref="S201:U202">
    <cfRule type="cellIs" dxfId="14" priority="83" operator="lessThan">
      <formula>0</formula>
    </cfRule>
  </conditionalFormatting>
  <conditionalFormatting sqref="S203:U204">
    <cfRule type="cellIs" dxfId="13" priority="80" operator="greaterThan">
      <formula>10000</formula>
    </cfRule>
  </conditionalFormatting>
  <conditionalFormatting sqref="S255:U255">
    <cfRule type="cellIs" dxfId="12" priority="99" operator="lessThan">
      <formula>0</formula>
    </cfRule>
  </conditionalFormatting>
  <conditionalFormatting sqref="S284:U286">
    <cfRule type="cellIs" dxfId="11" priority="79" operator="lessThan">
      <formula>0</formula>
    </cfRule>
    <cfRule type="cellIs" dxfId="10" priority="78" operator="lessThan">
      <formula>0</formula>
    </cfRule>
  </conditionalFormatting>
  <conditionalFormatting sqref="S291:U294">
    <cfRule type="cellIs" dxfId="9" priority="77" operator="lessThan">
      <formula>0</formula>
    </cfRule>
    <cfRule type="cellIs" dxfId="8" priority="76" operator="lessThan">
      <formula>0</formula>
    </cfRule>
  </conditionalFormatting>
  <conditionalFormatting sqref="S296:U297">
    <cfRule type="cellIs" dxfId="7" priority="89" operator="lessThan">
      <formula>0</formula>
    </cfRule>
    <cfRule type="cellIs" dxfId="6" priority="88" operator="lessThan">
      <formula>0</formula>
    </cfRule>
  </conditionalFormatting>
  <conditionalFormatting sqref="S300:U301">
    <cfRule type="cellIs" dxfId="5" priority="93" operator="lessThan">
      <formula>0</formula>
    </cfRule>
    <cfRule type="cellIs" dxfId="4" priority="92" operator="lessThan">
      <formula>0</formula>
    </cfRule>
  </conditionalFormatting>
  <dataValidations count="25">
    <dataValidation allowBlank="1" showInputMessage="1" showErrorMessage="1" sqref="C218 C166 C170:C173 C63 C65:C67" xr:uid="{00000000-0002-0000-0200-000000000000}"/>
    <dataValidation type="list" allowBlank="1" showInputMessage="1" showErrorMessage="1" sqref="F97:J97 K98 L97:O97 S97:U97" xr:uid="{00000000-0002-0000-0200-000001000000}">
      <formula1>_Existing_DHW_System</formula1>
    </dataValidation>
    <dataValidation type="list" allowBlank="1" showInputMessage="1" showErrorMessage="1" sqref="O26 K26:M26 S88:U88 F88:O88" xr:uid="{00000000-0002-0000-0200-000002000000}">
      <formula1>_Fuel_Type</formula1>
    </dataValidation>
    <dataValidation type="whole" operator="greaterThanOrEqual" allowBlank="1" showInputMessage="1" showErrorMessage="1" sqref="K85:N85 F85:I85 J84:M84 O84 S85:U85" xr:uid="{00000000-0002-0000-0200-000003000000}">
      <formula1>0</formula1>
    </dataValidation>
    <dataValidation type="list" allowBlank="1" showInputMessage="1" showErrorMessage="1" sqref="F98:J98 L98:O98 S98:U98" xr:uid="{00000000-0002-0000-0200-000004000000}">
      <formula1>_DHW_Efficiency_Plant_Efficiency</formula1>
    </dataValidation>
    <dataValidation type="whole" allowBlank="1" showInputMessage="1" showErrorMessage="1" errorTitle="Numeric" error="The value inputted must be numeric and no lower than 0." sqref="J46:M51 J44:M44 O46:O51 O44" xr:uid="{00000000-0002-0000-0200-000005000000}">
      <formula1>0</formula1>
      <formula2>10000</formula2>
    </dataValidation>
    <dataValidation type="whole" operator="equal" allowBlank="1" showInputMessage="1" showErrorMessage="1" errorTitle="DU Summation Warning" error="Value must match the sum of dwelling units by type (i.e., #SRO, # Studio, # 1-BR. etc.). " sqref="J45:M45 O45" xr:uid="{00000000-0002-0000-0200-000006000000}">
      <formula1>SUM(J46:J51)</formula1>
    </dataValidation>
    <dataValidation type="list" allowBlank="1" showInputMessage="1" showErrorMessage="1" sqref="O41 J41:M41 J38:M38 O38" xr:uid="{00000000-0002-0000-0200-000007000000}">
      <formula1>_Proposed_Scope</formula1>
    </dataValidation>
    <dataValidation type="list" allowBlank="1" showInputMessage="1" showErrorMessage="1" sqref="F228:O228 S228:U228" xr:uid="{00000000-0002-0000-0200-000008000000}">
      <formula1>"Fund!, Do Not Fund, Revise Scope"</formula1>
    </dataValidation>
    <dataValidation type="list" allowBlank="1" showInputMessage="1" showErrorMessage="1" sqref="F269:O269 F256:O256 S269:U269 S256:U256" xr:uid="{00000000-0002-0000-0200-00000A000000}">
      <formula1>"Fund!, Revise Scope, Do Not Fund, Review Track Only "</formula1>
    </dataValidation>
    <dataValidation type="list" allowBlank="1" showInputMessage="1" showErrorMessage="1" sqref="F68:O68 S68:U68" xr:uid="{2AA608AB-CEB5-4863-A6A7-D3CFE80A41D7}">
      <formula1>_Envelope_Ventilation</formula1>
    </dataValidation>
    <dataValidation type="list" allowBlank="1" showInputMessage="1" showErrorMessage="1" sqref="F66:O66 S66:U66" xr:uid="{246EEF79-2CF6-4E6E-BBC7-90A0C785586A}">
      <formula1>_DHW_Efficiency_Measures</formula1>
    </dataValidation>
    <dataValidation type="list" allowBlank="1" showInputMessage="1" showErrorMessage="1" sqref="F69:O69 S69:U69" xr:uid="{241C2464-85A8-4B36-8B0F-8960CF173C30}">
      <formula1>_Envelope_Roof</formula1>
    </dataValidation>
    <dataValidation type="list" allowBlank="1" showInputMessage="1" showErrorMessage="1" sqref="F58:O58 S58:U58" xr:uid="{33B271E0-751F-43B8-B441-9B875EE0364C}">
      <formula1>"Rental, Coop, Mixed"</formula1>
    </dataValidation>
    <dataValidation type="list" allowBlank="1" showInputMessage="1" showErrorMessage="1" sqref="F60:O61 F65:O65 S60:U61 S65:U65" xr:uid="{9121E1DF-109E-4E4C-A780-2DC07BCA3974}">
      <formula1>"Owner, Resident"</formula1>
    </dataValidation>
    <dataValidation type="list" allowBlank="1" showInputMessage="1" showErrorMessage="1" sqref="F71:O71 S71:U71" xr:uid="{EA598D38-AB60-48AE-8943-50EFE8890A6A}">
      <formula1>_Envelope_Wall</formula1>
    </dataValidation>
    <dataValidation type="list" allowBlank="1" showInputMessage="1" showErrorMessage="1" sqref="F70:O70 S70:U70" xr:uid="{AEB0A4E0-9112-4146-A8E8-426A3BA12BB2}">
      <formula1>_Envelope_Window</formula1>
    </dataValidation>
    <dataValidation type="list" allowBlank="1" showInputMessage="1" showErrorMessage="1" sqref="F72:O72 S72:U72" xr:uid="{8D9539E2-57D8-4726-835A-106B310CB67F}">
      <formula1>_Cooking</formula1>
    </dataValidation>
    <dataValidation type="list" allowBlank="1" showInputMessage="1" showErrorMessage="1" sqref="F62:O62 F59:O59 S62:U62 S59:U59" xr:uid="{9A26589C-7F1C-4AF0-99CF-EC814A3F7C18}">
      <formula1>_Heating_System_Residential</formula1>
    </dataValidation>
    <dataValidation type="list" allowBlank="1" showInputMessage="1" showErrorMessage="1" sqref="F63:O63 S63:U63" xr:uid="{FE1E5CA5-C8EA-4EAF-B31D-289B0F0D5D9A}">
      <formula1>_DHW_Systems_Proposed</formula1>
    </dataValidation>
    <dataValidation type="list" allowBlank="1" showInputMessage="1" showErrorMessage="1" sqref="S206:U206 F206:O206" xr:uid="{09681029-FF7B-4D0C-A10D-CC674A150462}">
      <formula1>"Fund!, Ineligible, Review Track Only (No Funding), Revise Scope (No Funding Assumed)"</formula1>
    </dataValidation>
    <dataValidation type="list" allowBlank="1" showInputMessage="1" showErrorMessage="1" sqref="F64:O64 S64:U64" xr:uid="{F7822C9A-2BFA-4964-B1A8-537B0ADF63FF}">
      <formula1>"100%, 50%,0%"</formula1>
    </dataValidation>
    <dataValidation type="list" allowBlank="1" showInputMessage="1" showErrorMessage="1" sqref="F67:O67 S67:U67" xr:uid="{2DA0F178-EF0C-476D-A7D5-FC3ADAF777AA}">
      <formula1>"Yes, No"</formula1>
    </dataValidation>
    <dataValidation type="list" allowBlank="1" showInputMessage="1" showErrorMessage="1" sqref="F30:J30 S30:U30" xr:uid="{1E0B896D-E386-4535-A0D1-7E08F96A1E06}">
      <formula1>"ConEd,PSEG"</formula1>
    </dataValidation>
    <dataValidation type="list" allowBlank="1" showInputMessage="1" showErrorMessage="1" sqref="F31:J31 S31:U31" xr:uid="{57F07890-5955-4C9B-A881-6BFD503EA2AA}">
      <formula1>"ConEd,NGrid"</formula1>
    </dataValidation>
  </dataValidations>
  <pageMargins left="0.25" right="0.25"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9FFAE460-859C-459A-BBBB-1D0FB3CE3846}">
            <xm:f>NOT(ISERROR(SEARCH(AND(ISNUMBER(SEARCH("Rental+$AI$58+$H$58l", F59)), ISNUMBER(SEARCH("Resident", F66))),F66)))</xm:f>
            <xm:f>AND(ISNUMBER(SEARCH("Rental+$AI$58+$H$58l", F59)), ISNUMBER(SEARCH("Resident", F66)))</xm:f>
            <x14:dxf>
              <font>
                <b/>
                <i val="0"/>
                <color rgb="FFFF0000"/>
              </font>
            </x14:dxf>
          </x14:cfRule>
          <xm:sqref>F66:O67</xm:sqref>
        </x14:conditionalFormatting>
        <x14:conditionalFormatting xmlns:xm="http://schemas.microsoft.com/office/excel/2006/main">
          <x14:cfRule type="containsText" priority="71" operator="containsText" id="{439419C8-14D4-4B61-AAA5-7A9BFD759CA3}">
            <xm:f>NOT(ISERROR(SEARCH(AND(ISNUMBER(SEARCH("Rental+$AI$58+$H$58l", S59)), ISNUMBER(SEARCH("Resident", S66))),S66)))</xm:f>
            <xm:f>AND(ISNUMBER(SEARCH("Rental+$AI$58+$H$58l", S59)), ISNUMBER(SEARCH("Resident", S66)))</xm:f>
            <x14:dxf>
              <font>
                <b/>
                <i val="0"/>
                <color rgb="FFFF0000"/>
              </font>
            </x14:dxf>
          </x14:cfRule>
          <xm:sqref>S66:U67</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2E3B0BC9-66FD-4BC4-934B-1AB456C872A7}">
          <x14:formula1>
            <xm:f>Dropdowns_v2!$B$99:$B$101</xm:f>
          </x14:formula1>
          <xm:sqref>F73:O73 S73:U73</xm:sqref>
        </x14:dataValidation>
        <x14:dataValidation type="list" allowBlank="1" showInputMessage="1" showErrorMessage="1" xr:uid="{D074B1E2-31B7-4969-9FFA-D0441814DF56}">
          <x14:formula1>
            <xm:f>Dropdowns_v2!$B$103:$B$108</xm:f>
          </x14:formula1>
          <xm:sqref>F74:O74 S74:U74</xm:sqref>
        </x14:dataValidation>
        <x14:dataValidation type="list" allowBlank="1" showInputMessage="1" showErrorMessage="1" xr:uid="{B2681708-3E42-474D-BBF7-F47BA303B941}">
          <x14:formula1>
            <xm:f>Dropdowns_v2!$B$186:$B$189</xm:f>
          </x14:formula1>
          <xm:sqref>F25:O25 F26:J26 S25:U26</xm:sqref>
        </x14:dataValidation>
        <x14:dataValidation type="list" allowBlank="1" showInputMessage="1" showErrorMessage="1" xr:uid="{0781575C-4EA4-475A-9BFB-5E2748950EA7}">
          <x14:formula1>
            <xm:f>Dropdowns_v2!$B$42:$B$48</xm:f>
          </x14:formula1>
          <xm:sqref>F27:O27 S27:U27</xm:sqref>
        </x14:dataValidation>
        <x14:dataValidation type="list" allowBlank="1" showInputMessage="1" showErrorMessage="1" xr:uid="{C3ADEDD3-3AE0-4250-AEE0-8EA2BBEE614E}">
          <x14:formula1>
            <xm:f>Dropdowns_v2!$B$128:$B$131</xm:f>
          </x14:formula1>
          <xm:sqref>F29:I29 K29:O29 S29:U29</xm:sqref>
        </x14:dataValidation>
        <x14:dataValidation type="list" allowBlank="1" showInputMessage="1" showErrorMessage="1" xr:uid="{75C0D039-B741-4DD2-8C66-6D5BD3541B1C}">
          <x14:formula1>
            <xm:f>Dropdowns_v2!$B$82:$B$85</xm:f>
          </x14:formula1>
          <xm:sqref>F28:O28 S28:U28</xm:sqref>
        </x14:dataValidation>
        <x14:dataValidation type="list" allowBlank="1" showInputMessage="1" showErrorMessage="1" xr:uid="{E8BF1D4A-F8D6-4737-962C-458CA941FE47}">
          <x14:formula1>
            <xm:f>Dropdowns_v2!$B$243:$B$245</xm:f>
          </x14:formula1>
          <xm:sqref>F33:O33 S33:U33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98"/>
  <sheetViews>
    <sheetView showGridLines="0" zoomScaleNormal="100" workbookViewId="0">
      <selection activeCell="C26" sqref="C26"/>
    </sheetView>
  </sheetViews>
  <sheetFormatPr defaultColWidth="9" defaultRowHeight="15" customHeight="1"/>
  <cols>
    <col min="1" max="1" width="3.28515625" style="3" customWidth="1"/>
    <col min="2" max="2" width="45.140625" style="3" customWidth="1"/>
    <col min="3" max="3" width="37.5703125" style="3" customWidth="1"/>
    <col min="4" max="4" width="61.28515625" style="3" customWidth="1"/>
    <col min="5" max="5" width="3" style="3" customWidth="1"/>
    <col min="6" max="6" width="55.140625" style="3" customWidth="1"/>
    <col min="7" max="7" width="19.140625" style="3" customWidth="1"/>
    <col min="8" max="8" width="9.85546875" style="3" customWidth="1"/>
    <col min="9" max="16384" width="9" style="3"/>
  </cols>
  <sheetData>
    <row r="1" spans="1:13" ht="21">
      <c r="A1" s="2"/>
      <c r="B1" s="1273" t="s">
        <v>646</v>
      </c>
      <c r="C1" s="1273"/>
      <c r="D1" s="1127"/>
      <c r="E1" s="2"/>
      <c r="F1" s="15"/>
      <c r="G1" s="15"/>
      <c r="H1" s="15"/>
      <c r="I1" s="15"/>
      <c r="J1" s="15"/>
      <c r="K1" s="15"/>
      <c r="L1" s="15"/>
      <c r="M1" s="15"/>
    </row>
    <row r="2" spans="1:13" ht="27" customHeight="1">
      <c r="A2" s="2"/>
      <c r="B2" s="1274" t="s">
        <v>647</v>
      </c>
      <c r="C2" s="1274"/>
      <c r="D2" s="28"/>
      <c r="E2" s="2"/>
      <c r="F2" s="1"/>
      <c r="G2" s="15"/>
      <c r="H2" s="15"/>
      <c r="I2" s="15"/>
      <c r="J2" s="15"/>
      <c r="K2" s="15"/>
      <c r="L2" s="15"/>
      <c r="M2" s="15"/>
    </row>
    <row r="3" spans="1:13" s="6" customFormat="1" ht="15.75" customHeight="1">
      <c r="A3" s="4"/>
      <c r="B3" s="5" t="s">
        <v>648</v>
      </c>
      <c r="C3" s="8" t="s">
        <v>649</v>
      </c>
      <c r="D3" s="8" t="s">
        <v>650</v>
      </c>
      <c r="E3" s="4"/>
      <c r="F3" s="24"/>
      <c r="G3" s="24"/>
      <c r="H3" s="24"/>
      <c r="I3" s="24"/>
      <c r="J3" s="24"/>
      <c r="K3" s="24"/>
      <c r="L3" s="24"/>
      <c r="M3" s="24"/>
    </row>
    <row r="4" spans="1:13" s="7" customFormat="1">
      <c r="A4" s="2"/>
      <c r="B4" s="25" t="s">
        <v>651</v>
      </c>
      <c r="C4" s="121">
        <f>REDiTool!F13</f>
        <v>0</v>
      </c>
      <c r="D4" s="26"/>
      <c r="E4" s="2"/>
      <c r="F4" s="1275"/>
      <c r="G4" s="1275"/>
      <c r="H4" s="1276"/>
      <c r="I4" s="1276"/>
      <c r="J4" s="16"/>
      <c r="K4" s="16"/>
      <c r="L4" s="16"/>
      <c r="M4" s="16"/>
    </row>
    <row r="5" spans="1:13" s="7" customFormat="1">
      <c r="A5" s="2"/>
      <c r="B5" s="25" t="s">
        <v>170</v>
      </c>
      <c r="C5" s="121">
        <f>REDiTool!F14</f>
        <v>0</v>
      </c>
      <c r="D5" s="26"/>
      <c r="E5" s="2"/>
      <c r="F5" s="1275"/>
      <c r="G5" s="1275"/>
      <c r="H5" s="1276"/>
      <c r="I5" s="1276"/>
      <c r="J5" s="16"/>
      <c r="K5" s="16"/>
      <c r="L5" s="16"/>
      <c r="M5" s="16"/>
    </row>
    <row r="6" spans="1:13" s="7" customFormat="1">
      <c r="A6" s="2"/>
      <c r="B6" s="25" t="s">
        <v>11</v>
      </c>
      <c r="C6" s="121">
        <f>REDiTool!F19</f>
        <v>0</v>
      </c>
      <c r="D6" s="26"/>
      <c r="E6" s="2"/>
      <c r="F6" s="1128"/>
      <c r="G6" s="1128"/>
      <c r="H6" s="1129"/>
      <c r="I6" s="1129"/>
      <c r="J6" s="16"/>
      <c r="K6" s="16"/>
      <c r="L6" s="16"/>
      <c r="M6" s="16"/>
    </row>
    <row r="7" spans="1:13" s="7" customFormat="1" ht="14.65" customHeight="1">
      <c r="A7" s="2"/>
      <c r="B7" s="25" t="s">
        <v>652</v>
      </c>
      <c r="C7" s="121">
        <f>REDiTool!F15</f>
        <v>0</v>
      </c>
      <c r="D7" s="26"/>
      <c r="E7" s="2"/>
      <c r="F7" s="16"/>
      <c r="G7" s="16"/>
      <c r="H7" s="16"/>
      <c r="I7" s="16"/>
      <c r="J7" s="16"/>
      <c r="K7" s="16"/>
      <c r="L7" s="16"/>
      <c r="M7" s="16"/>
    </row>
    <row r="8" spans="1:13" s="7" customFormat="1" ht="14.65" customHeight="1">
      <c r="A8" s="2"/>
      <c r="B8" s="25" t="s">
        <v>175</v>
      </c>
      <c r="C8" s="121">
        <f>REDiTool!F16</f>
        <v>0</v>
      </c>
      <c r="D8" s="26"/>
      <c r="E8" s="2"/>
      <c r="F8" s="16"/>
      <c r="G8" s="16"/>
      <c r="H8" s="16"/>
      <c r="I8" s="16"/>
      <c r="J8" s="16"/>
      <c r="K8" s="16"/>
      <c r="L8" s="16"/>
      <c r="M8" s="16"/>
    </row>
    <row r="9" spans="1:13" s="7" customFormat="1" ht="15" customHeight="1">
      <c r="A9" s="2"/>
      <c r="B9" s="25" t="s">
        <v>653</v>
      </c>
      <c r="C9" s="121">
        <f>REDiTool!F17</f>
        <v>0</v>
      </c>
      <c r="D9" s="26"/>
      <c r="E9" s="2"/>
      <c r="F9" s="9"/>
      <c r="G9" s="16"/>
      <c r="H9" s="16"/>
      <c r="I9" s="16"/>
      <c r="J9" s="16"/>
      <c r="K9" s="16"/>
      <c r="L9" s="16"/>
      <c r="M9" s="16"/>
    </row>
    <row r="10" spans="1:13" s="7" customFormat="1" ht="15" customHeight="1">
      <c r="A10" s="2"/>
      <c r="B10" s="25" t="s">
        <v>654</v>
      </c>
      <c r="C10" s="121">
        <f>REDiTool!F18</f>
        <v>0</v>
      </c>
      <c r="D10" s="26"/>
      <c r="E10" s="2"/>
      <c r="F10" s="9"/>
      <c r="G10" s="16"/>
      <c r="H10" s="16"/>
      <c r="I10" s="16"/>
      <c r="J10" s="16"/>
      <c r="K10" s="16"/>
      <c r="L10" s="16"/>
      <c r="M10" s="16"/>
    </row>
    <row r="11" spans="1:13" s="7" customFormat="1" ht="15" customHeight="1">
      <c r="A11" s="2"/>
      <c r="B11" s="5" t="s">
        <v>655</v>
      </c>
      <c r="C11" s="8" t="s">
        <v>656</v>
      </c>
      <c r="D11" s="8" t="s">
        <v>650</v>
      </c>
      <c r="E11" s="2"/>
      <c r="F11" s="9"/>
      <c r="G11" s="16"/>
      <c r="H11" s="16"/>
      <c r="I11" s="16"/>
      <c r="J11" s="16"/>
      <c r="K11" s="16"/>
      <c r="L11" s="16"/>
      <c r="M11" s="16"/>
    </row>
    <row r="12" spans="1:13" s="7" customFormat="1">
      <c r="A12" s="2"/>
      <c r="B12" s="27" t="s">
        <v>657</v>
      </c>
      <c r="C12" s="17" t="s">
        <v>658</v>
      </c>
      <c r="D12" s="13" t="s">
        <v>659</v>
      </c>
      <c r="E12" s="2"/>
      <c r="F12" s="16"/>
      <c r="G12" s="16"/>
      <c r="H12" s="16"/>
      <c r="I12" s="16"/>
      <c r="J12" s="16"/>
      <c r="K12" s="16"/>
      <c r="L12" s="16"/>
      <c r="M12" s="16"/>
    </row>
    <row r="13" spans="1:13" s="7" customFormat="1">
      <c r="A13" s="2"/>
      <c r="B13" s="27" t="s">
        <v>660</v>
      </c>
      <c r="C13" s="238"/>
      <c r="D13" s="13"/>
      <c r="E13" s="2"/>
      <c r="F13" s="16"/>
      <c r="G13" s="16"/>
      <c r="H13" s="16"/>
      <c r="I13" s="16"/>
      <c r="J13" s="16"/>
      <c r="K13" s="16"/>
      <c r="L13" s="16"/>
      <c r="M13" s="16"/>
    </row>
    <row r="14" spans="1:13" s="7" customFormat="1">
      <c r="A14" s="2"/>
      <c r="B14" s="27" t="s">
        <v>661</v>
      </c>
      <c r="C14" s="238"/>
      <c r="D14" s="13"/>
      <c r="E14" s="2"/>
      <c r="F14" s="16"/>
      <c r="G14" s="16"/>
      <c r="H14" s="16"/>
      <c r="I14" s="16"/>
      <c r="J14" s="16"/>
      <c r="K14" s="16"/>
      <c r="L14" s="16"/>
      <c r="M14" s="16"/>
    </row>
    <row r="15" spans="1:13" ht="15" customHeight="1">
      <c r="A15" s="2"/>
      <c r="B15" s="18" t="s">
        <v>662</v>
      </c>
      <c r="C15" s="19" t="s">
        <v>663</v>
      </c>
      <c r="D15" s="14" t="s">
        <v>664</v>
      </c>
      <c r="E15" s="2"/>
      <c r="F15" s="15"/>
      <c r="G15" s="15"/>
      <c r="H15" s="15"/>
      <c r="I15" s="15"/>
      <c r="J15" s="15"/>
      <c r="K15" s="15"/>
      <c r="L15" s="15"/>
      <c r="M15" s="15"/>
    </row>
    <row r="16" spans="1:13" ht="15" customHeight="1">
      <c r="A16" s="2"/>
      <c r="B16" s="18" t="s">
        <v>665</v>
      </c>
      <c r="C16" s="239"/>
      <c r="D16" s="237"/>
      <c r="E16" s="2"/>
      <c r="F16" s="15"/>
      <c r="G16" s="15"/>
      <c r="H16" s="15"/>
      <c r="I16" s="15"/>
      <c r="J16" s="15"/>
      <c r="K16" s="15"/>
      <c r="L16" s="15"/>
      <c r="M16" s="15"/>
    </row>
    <row r="17" spans="1:13" ht="15" customHeight="1">
      <c r="A17" s="2"/>
      <c r="B17" s="18" t="s">
        <v>666</v>
      </c>
      <c r="C17" s="239"/>
      <c r="D17" s="237"/>
      <c r="E17" s="2"/>
      <c r="F17" s="15"/>
      <c r="G17" s="15"/>
      <c r="H17" s="15"/>
      <c r="I17" s="15"/>
      <c r="J17" s="15"/>
      <c r="K17" s="15"/>
      <c r="L17" s="15"/>
      <c r="M17" s="15"/>
    </row>
    <row r="18" spans="1:13" ht="15" customHeight="1">
      <c r="A18" s="2"/>
      <c r="B18" s="20" t="s">
        <v>667</v>
      </c>
      <c r="C18" s="21" t="s">
        <v>668</v>
      </c>
      <c r="D18" s="12" t="s">
        <v>669</v>
      </c>
      <c r="E18" s="2"/>
      <c r="F18" s="15"/>
      <c r="G18" s="15"/>
      <c r="H18" s="15"/>
      <c r="I18" s="15"/>
      <c r="J18" s="15"/>
      <c r="K18" s="15"/>
      <c r="L18" s="15"/>
      <c r="M18" s="15"/>
    </row>
    <row r="19" spans="1:13" ht="15" customHeight="1">
      <c r="A19" s="2"/>
      <c r="B19" s="20"/>
      <c r="C19" s="22"/>
      <c r="D19" s="236"/>
      <c r="E19" s="2"/>
      <c r="F19" s="15"/>
      <c r="G19" s="15"/>
      <c r="H19" s="15"/>
      <c r="I19" s="15"/>
      <c r="J19" s="15"/>
      <c r="K19" s="15"/>
      <c r="L19" s="15"/>
      <c r="M19" s="15"/>
    </row>
    <row r="20" spans="1:13" ht="15" customHeight="1">
      <c r="A20" s="23"/>
      <c r="B20" s="23"/>
      <c r="C20" s="23"/>
      <c r="D20" s="23"/>
      <c r="E20" s="23"/>
      <c r="F20" s="15"/>
      <c r="G20" s="15"/>
      <c r="H20" s="15"/>
      <c r="I20" s="15"/>
      <c r="J20" s="15"/>
      <c r="K20" s="15"/>
      <c r="L20" s="15"/>
      <c r="M20" s="15"/>
    </row>
    <row r="21" spans="1:13" ht="15" customHeight="1">
      <c r="A21" s="15"/>
      <c r="B21" s="15"/>
      <c r="C21" s="15"/>
      <c r="D21" s="15"/>
      <c r="E21" s="15"/>
      <c r="F21" s="15"/>
      <c r="G21" s="15"/>
      <c r="H21" s="15"/>
      <c r="I21" s="15"/>
      <c r="J21" s="15"/>
      <c r="K21" s="15"/>
      <c r="L21" s="15"/>
      <c r="M21" s="15"/>
    </row>
    <row r="22" spans="1:13" ht="15" customHeight="1">
      <c r="A22" s="15"/>
      <c r="B22" s="15"/>
      <c r="C22" s="15"/>
      <c r="D22" s="15"/>
      <c r="E22" s="15"/>
      <c r="F22" s="15"/>
      <c r="G22" s="15"/>
      <c r="H22" s="15"/>
      <c r="I22" s="15"/>
      <c r="J22" s="15"/>
      <c r="K22" s="15"/>
      <c r="L22" s="15"/>
      <c r="M22" s="15"/>
    </row>
    <row r="23" spans="1:13" ht="15" customHeight="1">
      <c r="A23" s="15"/>
      <c r="B23" s="15"/>
      <c r="C23" s="15"/>
      <c r="D23" s="15"/>
      <c r="E23" s="15"/>
      <c r="F23" s="15"/>
      <c r="G23" s="15"/>
      <c r="H23" s="15"/>
      <c r="I23" s="15"/>
      <c r="J23" s="15"/>
      <c r="K23" s="15"/>
      <c r="L23" s="15"/>
      <c r="M23" s="15"/>
    </row>
    <row r="24" spans="1:13" ht="15" customHeight="1">
      <c r="A24" s="15"/>
      <c r="B24" s="15"/>
      <c r="C24"/>
      <c r="D24"/>
      <c r="E24"/>
      <c r="F24" s="15"/>
      <c r="G24" s="15"/>
      <c r="H24" s="15"/>
      <c r="I24" s="15"/>
      <c r="J24" s="15"/>
      <c r="K24" s="15"/>
      <c r="L24" s="15"/>
      <c r="M24" s="15"/>
    </row>
    <row r="25" spans="1:13" ht="15" customHeight="1">
      <c r="A25" s="15"/>
      <c r="B25" s="15"/>
      <c r="C25" s="10"/>
      <c r="D25"/>
      <c r="E25" s="10"/>
      <c r="F25" s="15"/>
      <c r="G25" s="15"/>
      <c r="H25" s="15"/>
      <c r="I25" s="15"/>
      <c r="J25" s="15"/>
      <c r="K25" s="15"/>
      <c r="L25" s="15"/>
      <c r="M25" s="15"/>
    </row>
    <row r="26" spans="1:13" ht="15" customHeight="1">
      <c r="A26" s="15"/>
      <c r="B26" s="15"/>
      <c r="C26" s="11"/>
      <c r="D26"/>
      <c r="E26" s="11"/>
      <c r="F26" s="15"/>
      <c r="G26" s="15"/>
      <c r="H26" s="15"/>
      <c r="I26" s="15"/>
      <c r="J26" s="15"/>
      <c r="K26" s="15"/>
      <c r="L26" s="15"/>
      <c r="M26" s="15"/>
    </row>
    <row r="27" spans="1:13" ht="15" customHeight="1">
      <c r="A27" s="15"/>
      <c r="B27" s="15"/>
      <c r="C27" s="11"/>
      <c r="D27"/>
      <c r="E27"/>
      <c r="F27" s="15"/>
      <c r="G27" s="15"/>
      <c r="H27" s="15"/>
      <c r="I27" s="15"/>
      <c r="J27" s="15"/>
      <c r="K27" s="15"/>
      <c r="L27" s="15"/>
      <c r="M27" s="15"/>
    </row>
    <row r="28" spans="1:13" ht="15" customHeight="1">
      <c r="A28" s="15"/>
      <c r="B28" s="15"/>
      <c r="C28" s="15"/>
      <c r="D28" s="15"/>
      <c r="E28" s="15"/>
      <c r="F28" s="15"/>
      <c r="G28" s="15"/>
      <c r="H28" s="15"/>
      <c r="I28" s="15"/>
      <c r="J28" s="15"/>
      <c r="K28" s="15"/>
      <c r="L28" s="15"/>
      <c r="M28" s="15"/>
    </row>
    <row r="29" spans="1:13" ht="15" customHeight="1">
      <c r="A29" s="15"/>
      <c r="B29" s="15"/>
      <c r="C29" s="15"/>
      <c r="D29" s="15"/>
      <c r="E29" s="15"/>
      <c r="F29" s="15"/>
      <c r="G29" s="15"/>
      <c r="H29" s="15"/>
      <c r="I29" s="15"/>
      <c r="J29" s="15"/>
      <c r="K29" s="15"/>
      <c r="L29" s="15"/>
      <c r="M29" s="15"/>
    </row>
    <row r="30" spans="1:13" ht="15" customHeight="1">
      <c r="A30" s="15"/>
      <c r="B30" s="15"/>
      <c r="C30" s="15"/>
      <c r="D30" s="15"/>
      <c r="E30" s="15"/>
      <c r="F30" s="15"/>
      <c r="G30" s="15"/>
      <c r="H30" s="15"/>
      <c r="I30" s="15"/>
      <c r="J30" s="15"/>
      <c r="K30" s="15"/>
      <c r="L30" s="15"/>
      <c r="M30" s="15"/>
    </row>
    <row r="31" spans="1:13" ht="15" customHeight="1">
      <c r="A31" s="15"/>
      <c r="B31" s="15"/>
      <c r="C31" s="15"/>
      <c r="D31" s="15"/>
      <c r="E31" s="15"/>
      <c r="F31" s="15"/>
      <c r="G31" s="15"/>
      <c r="H31" s="15"/>
      <c r="I31" s="15"/>
      <c r="J31" s="15"/>
      <c r="K31" s="15"/>
      <c r="L31" s="15"/>
      <c r="M31" s="15"/>
    </row>
    <row r="32" spans="1:13" ht="15" customHeight="1">
      <c r="A32" s="15"/>
      <c r="B32" s="15"/>
      <c r="C32" s="15"/>
      <c r="D32" s="15"/>
      <c r="E32" s="15"/>
      <c r="F32" s="15"/>
      <c r="G32" s="15"/>
      <c r="H32" s="15"/>
      <c r="I32" s="15"/>
      <c r="J32" s="15"/>
      <c r="K32" s="15"/>
      <c r="L32" s="15"/>
      <c r="M32" s="15"/>
    </row>
    <row r="33" spans="1:13" ht="15" customHeight="1">
      <c r="A33" s="15"/>
      <c r="B33" s="15"/>
      <c r="C33" s="15"/>
      <c r="D33" s="15"/>
      <c r="E33" s="15"/>
      <c r="F33" s="15"/>
      <c r="G33" s="15"/>
      <c r="H33" s="15"/>
      <c r="I33" s="15"/>
      <c r="J33" s="15"/>
      <c r="K33" s="15"/>
      <c r="L33" s="15"/>
      <c r="M33" s="15"/>
    </row>
    <row r="34" spans="1:13" ht="15" customHeight="1">
      <c r="A34" s="15"/>
      <c r="B34" s="15"/>
      <c r="C34" s="15"/>
      <c r="D34" s="15"/>
      <c r="E34" s="15"/>
      <c r="F34" s="15"/>
      <c r="G34" s="15"/>
      <c r="H34" s="15"/>
      <c r="I34" s="15"/>
      <c r="J34" s="15"/>
      <c r="K34" s="15"/>
      <c r="L34" s="15"/>
      <c r="M34" s="15"/>
    </row>
    <row r="35" spans="1:13" ht="15" customHeight="1">
      <c r="A35" s="15"/>
      <c r="B35" s="15"/>
      <c r="C35" s="15"/>
      <c r="D35" s="15"/>
      <c r="E35" s="15"/>
      <c r="F35" s="15"/>
      <c r="G35" s="15"/>
      <c r="H35" s="15"/>
      <c r="I35" s="15"/>
      <c r="J35" s="15"/>
      <c r="K35" s="15"/>
      <c r="L35" s="15"/>
      <c r="M35" s="15"/>
    </row>
    <row r="36" spans="1:13" ht="15" customHeight="1">
      <c r="A36" s="15"/>
      <c r="B36" s="15"/>
      <c r="C36" s="15"/>
      <c r="D36" s="15"/>
      <c r="E36" s="15"/>
      <c r="F36" s="15"/>
      <c r="G36" s="15"/>
      <c r="H36" s="15"/>
      <c r="I36" s="15"/>
      <c r="J36" s="15"/>
      <c r="K36" s="15"/>
      <c r="L36" s="15"/>
      <c r="M36" s="15"/>
    </row>
    <row r="37" spans="1:13" ht="15" customHeight="1">
      <c r="A37" s="15"/>
      <c r="B37" s="15"/>
      <c r="C37" s="15"/>
      <c r="D37" s="15"/>
      <c r="E37" s="15"/>
      <c r="F37" s="15"/>
      <c r="G37" s="15"/>
      <c r="H37" s="15"/>
      <c r="I37" s="15"/>
      <c r="J37" s="15"/>
      <c r="K37" s="15"/>
      <c r="L37" s="15"/>
      <c r="M37" s="15"/>
    </row>
    <row r="38" spans="1:13" ht="15" customHeight="1">
      <c r="A38" s="15"/>
      <c r="B38" s="15"/>
      <c r="C38" s="15"/>
      <c r="D38" s="15"/>
      <c r="E38" s="15"/>
      <c r="F38" s="15"/>
      <c r="G38" s="15"/>
      <c r="H38" s="15"/>
      <c r="I38" s="15"/>
      <c r="J38" s="15"/>
      <c r="K38" s="15"/>
      <c r="L38" s="15"/>
      <c r="M38" s="15"/>
    </row>
    <row r="39" spans="1:13" ht="15" customHeight="1">
      <c r="A39" s="15"/>
      <c r="B39" s="15"/>
      <c r="C39" s="15"/>
      <c r="D39" s="15"/>
      <c r="E39" s="15"/>
      <c r="F39" s="15"/>
      <c r="G39" s="15"/>
      <c r="H39" s="15"/>
      <c r="I39" s="15"/>
      <c r="J39" s="15"/>
      <c r="K39" s="15"/>
      <c r="L39" s="15"/>
      <c r="M39" s="15"/>
    </row>
    <row r="40" spans="1:13" ht="15" customHeight="1">
      <c r="A40" s="15"/>
      <c r="B40" s="15"/>
      <c r="C40" s="15"/>
      <c r="D40" s="15"/>
      <c r="E40" s="15"/>
      <c r="F40" s="15"/>
      <c r="G40" s="15"/>
      <c r="H40" s="15"/>
      <c r="I40" s="15"/>
      <c r="J40" s="15"/>
      <c r="K40" s="15"/>
      <c r="L40" s="15"/>
      <c r="M40" s="15"/>
    </row>
    <row r="41" spans="1:13" ht="15" customHeight="1">
      <c r="A41" s="15"/>
      <c r="B41" s="15"/>
      <c r="C41" s="15"/>
      <c r="D41" s="15"/>
      <c r="E41" s="15"/>
      <c r="F41" s="15"/>
      <c r="G41" s="15"/>
      <c r="H41" s="15"/>
      <c r="I41" s="15"/>
      <c r="J41" s="15"/>
      <c r="K41" s="15"/>
      <c r="L41" s="15"/>
      <c r="M41" s="15"/>
    </row>
    <row r="42" spans="1:13" ht="15" customHeight="1">
      <c r="A42" s="15"/>
      <c r="B42" s="15"/>
      <c r="C42" s="15"/>
      <c r="D42" s="15"/>
      <c r="E42" s="15"/>
      <c r="F42" s="15"/>
      <c r="G42" s="15"/>
      <c r="H42" s="15"/>
      <c r="I42" s="15"/>
      <c r="J42" s="15"/>
      <c r="K42" s="15"/>
      <c r="L42" s="15"/>
      <c r="M42" s="15"/>
    </row>
    <row r="43" spans="1:13" ht="15" customHeight="1">
      <c r="A43" s="15"/>
      <c r="B43" s="15"/>
      <c r="C43" s="15"/>
      <c r="D43" s="15"/>
      <c r="E43" s="15"/>
      <c r="F43" s="15"/>
      <c r="G43" s="15"/>
      <c r="H43" s="15"/>
      <c r="I43" s="15"/>
      <c r="J43" s="15"/>
      <c r="K43" s="15"/>
      <c r="L43" s="15"/>
      <c r="M43" s="15"/>
    </row>
    <row r="44" spans="1:13" ht="15" customHeight="1">
      <c r="A44" s="15"/>
      <c r="B44" s="15"/>
      <c r="C44" s="15"/>
      <c r="D44" s="15"/>
      <c r="E44" s="15"/>
      <c r="F44" s="15"/>
      <c r="G44" s="15"/>
      <c r="H44" s="15"/>
      <c r="I44" s="15"/>
      <c r="J44" s="15"/>
      <c r="K44" s="15"/>
      <c r="L44" s="15"/>
      <c r="M44" s="15"/>
    </row>
    <row r="45" spans="1:13" ht="15" customHeight="1">
      <c r="A45" s="15"/>
      <c r="B45" s="15"/>
      <c r="C45" s="15"/>
      <c r="D45" s="15"/>
      <c r="E45" s="15"/>
      <c r="F45" s="15"/>
      <c r="G45" s="15"/>
      <c r="H45" s="15"/>
      <c r="I45" s="15"/>
      <c r="J45" s="15"/>
      <c r="K45" s="15"/>
      <c r="L45" s="15"/>
      <c r="M45" s="15"/>
    </row>
    <row r="46" spans="1:13" ht="15" customHeight="1">
      <c r="A46" s="15"/>
      <c r="B46" s="15"/>
      <c r="C46" s="15"/>
      <c r="D46" s="15"/>
      <c r="E46" s="15"/>
      <c r="F46" s="15"/>
      <c r="G46" s="15"/>
      <c r="H46" s="15"/>
      <c r="I46" s="15"/>
      <c r="J46" s="15"/>
      <c r="K46" s="15"/>
      <c r="L46" s="15"/>
      <c r="M46" s="15"/>
    </row>
    <row r="47" spans="1:13" ht="15" customHeight="1">
      <c r="A47" s="15"/>
      <c r="B47" s="15"/>
      <c r="C47" s="15"/>
      <c r="D47" s="15"/>
      <c r="E47" s="15"/>
      <c r="F47" s="15"/>
      <c r="G47" s="15"/>
      <c r="H47" s="15"/>
      <c r="I47" s="15"/>
      <c r="J47" s="15"/>
      <c r="K47" s="15"/>
      <c r="L47" s="15"/>
      <c r="M47" s="15"/>
    </row>
    <row r="48" spans="1:13" ht="15" customHeight="1">
      <c r="A48" s="15"/>
      <c r="B48" s="15"/>
      <c r="C48" s="15"/>
      <c r="D48" s="15"/>
      <c r="E48" s="15"/>
      <c r="F48" s="15"/>
      <c r="G48" s="15"/>
      <c r="H48" s="15"/>
      <c r="I48" s="15"/>
      <c r="J48" s="15"/>
      <c r="K48" s="15"/>
      <c r="L48" s="15"/>
      <c r="M48" s="15"/>
    </row>
    <row r="49" spans="1:13" ht="15" customHeight="1">
      <c r="A49" s="15"/>
      <c r="B49" s="15"/>
      <c r="C49" s="15"/>
      <c r="D49" s="15"/>
      <c r="E49" s="15"/>
      <c r="F49" s="15"/>
      <c r="G49" s="15"/>
      <c r="H49" s="15"/>
      <c r="I49" s="15"/>
      <c r="J49" s="15"/>
      <c r="K49" s="15"/>
      <c r="L49" s="15"/>
      <c r="M49" s="15"/>
    </row>
    <row r="50" spans="1:13" ht="15" customHeight="1">
      <c r="A50" s="15"/>
      <c r="B50" s="15"/>
      <c r="C50" s="15"/>
      <c r="D50" s="15"/>
      <c r="E50" s="15"/>
      <c r="F50" s="15"/>
      <c r="G50" s="15"/>
      <c r="H50" s="15"/>
      <c r="I50" s="15"/>
      <c r="J50" s="15"/>
      <c r="K50" s="15"/>
      <c r="L50" s="15"/>
      <c r="M50" s="15"/>
    </row>
    <row r="51" spans="1:13" ht="15" customHeight="1">
      <c r="A51" s="15"/>
      <c r="B51" s="15"/>
      <c r="C51" s="15"/>
      <c r="D51" s="15"/>
      <c r="E51" s="15"/>
      <c r="F51" s="15"/>
      <c r="G51" s="15"/>
      <c r="H51" s="15"/>
      <c r="I51" s="15"/>
      <c r="J51" s="15"/>
      <c r="K51" s="15"/>
      <c r="L51" s="15"/>
      <c r="M51" s="15"/>
    </row>
    <row r="52" spans="1:13" ht="15" customHeight="1">
      <c r="A52" s="15"/>
      <c r="B52" s="15"/>
      <c r="C52" s="15"/>
      <c r="D52" s="15"/>
      <c r="E52" s="15"/>
      <c r="F52" s="15"/>
      <c r="G52" s="15"/>
      <c r="H52" s="15"/>
      <c r="I52" s="15"/>
      <c r="J52" s="15"/>
      <c r="K52" s="15"/>
      <c r="L52" s="15"/>
      <c r="M52" s="15"/>
    </row>
    <row r="53" spans="1:13" ht="15" customHeight="1">
      <c r="A53" s="15"/>
      <c r="B53" s="15"/>
      <c r="C53" s="15"/>
      <c r="D53" s="15"/>
      <c r="E53" s="15"/>
      <c r="F53" s="15"/>
      <c r="G53" s="15"/>
      <c r="H53" s="15"/>
      <c r="I53" s="15"/>
      <c r="J53" s="15"/>
      <c r="K53" s="15"/>
      <c r="L53" s="15"/>
      <c r="M53" s="15"/>
    </row>
    <row r="54" spans="1:13" ht="15" customHeight="1">
      <c r="A54" s="15"/>
      <c r="B54" s="15"/>
      <c r="C54" s="15"/>
      <c r="D54" s="15"/>
      <c r="E54" s="15"/>
      <c r="F54" s="15"/>
      <c r="G54" s="15"/>
      <c r="H54" s="15"/>
      <c r="I54" s="15"/>
      <c r="J54" s="15"/>
      <c r="K54" s="15"/>
      <c r="L54" s="15"/>
      <c r="M54" s="15"/>
    </row>
    <row r="55" spans="1:13" ht="15" customHeight="1">
      <c r="A55" s="15"/>
      <c r="B55" s="15"/>
      <c r="C55" s="15"/>
      <c r="D55" s="15"/>
      <c r="E55" s="15"/>
      <c r="F55" s="15"/>
      <c r="G55" s="15"/>
      <c r="H55" s="15"/>
      <c r="I55" s="15"/>
      <c r="J55" s="15"/>
      <c r="K55" s="15"/>
      <c r="L55" s="15"/>
      <c r="M55" s="15"/>
    </row>
    <row r="56" spans="1:13" ht="15" customHeight="1">
      <c r="A56" s="15"/>
      <c r="B56" s="15"/>
      <c r="C56" s="15"/>
      <c r="D56" s="15"/>
      <c r="E56" s="15"/>
      <c r="F56" s="15"/>
      <c r="G56" s="15"/>
      <c r="H56" s="15"/>
      <c r="I56" s="15"/>
      <c r="J56" s="15"/>
      <c r="K56" s="15"/>
      <c r="L56" s="15"/>
      <c r="M56" s="15"/>
    </row>
    <row r="57" spans="1:13" ht="15" customHeight="1">
      <c r="A57" s="15"/>
      <c r="B57" s="15"/>
      <c r="C57" s="15"/>
      <c r="D57" s="15"/>
      <c r="E57" s="15"/>
      <c r="F57" s="15"/>
      <c r="G57" s="15"/>
      <c r="H57" s="15"/>
      <c r="I57" s="15"/>
      <c r="J57" s="15"/>
      <c r="K57" s="15"/>
      <c r="L57" s="15"/>
      <c r="M57" s="15"/>
    </row>
    <row r="58" spans="1:13" ht="15" customHeight="1">
      <c r="A58" s="15"/>
      <c r="B58" s="15"/>
      <c r="C58" s="15"/>
      <c r="D58" s="15"/>
      <c r="E58" s="15"/>
      <c r="F58" s="15"/>
      <c r="G58" s="15"/>
      <c r="H58" s="15"/>
      <c r="I58" s="15"/>
      <c r="J58" s="15"/>
      <c r="K58" s="15"/>
      <c r="L58" s="15"/>
      <c r="M58" s="15"/>
    </row>
    <row r="59" spans="1:13" ht="15" customHeight="1">
      <c r="A59" s="15"/>
      <c r="B59" s="15"/>
      <c r="C59" s="15"/>
      <c r="D59" s="15"/>
      <c r="E59" s="15"/>
      <c r="F59" s="15"/>
      <c r="G59" s="15"/>
      <c r="H59" s="15"/>
      <c r="I59" s="15"/>
      <c r="J59" s="15"/>
      <c r="K59" s="15"/>
      <c r="L59" s="15"/>
      <c r="M59" s="15"/>
    </row>
    <row r="60" spans="1:13" ht="15" customHeight="1">
      <c r="A60" s="15"/>
      <c r="B60" s="15"/>
      <c r="C60" s="15"/>
      <c r="D60" s="15"/>
      <c r="E60" s="15"/>
      <c r="F60" s="15"/>
      <c r="G60" s="15"/>
      <c r="H60" s="15"/>
      <c r="I60" s="15"/>
      <c r="J60" s="15"/>
      <c r="K60" s="15"/>
      <c r="L60" s="15"/>
      <c r="M60" s="15"/>
    </row>
    <row r="61" spans="1:13" ht="15" customHeight="1">
      <c r="A61" s="15"/>
      <c r="B61" s="15"/>
      <c r="C61" s="15"/>
      <c r="D61" s="15"/>
      <c r="E61" s="15"/>
      <c r="F61" s="15"/>
      <c r="G61" s="15"/>
      <c r="H61" s="15"/>
      <c r="I61" s="15"/>
      <c r="J61" s="15"/>
      <c r="K61" s="15"/>
      <c r="L61" s="15"/>
      <c r="M61" s="15"/>
    </row>
    <row r="62" spans="1:13" ht="15" customHeight="1">
      <c r="A62" s="15"/>
      <c r="B62" s="15"/>
      <c r="C62" s="15"/>
      <c r="D62" s="15"/>
      <c r="E62" s="15"/>
      <c r="F62" s="15"/>
      <c r="G62" s="15"/>
      <c r="H62" s="15"/>
      <c r="I62" s="15"/>
      <c r="J62" s="15"/>
      <c r="K62" s="15"/>
      <c r="L62" s="15"/>
      <c r="M62" s="15"/>
    </row>
    <row r="63" spans="1:13" ht="15" customHeight="1">
      <c r="A63" s="15"/>
      <c r="B63" s="15"/>
      <c r="C63" s="15"/>
      <c r="D63" s="15"/>
      <c r="E63" s="15"/>
      <c r="F63" s="15"/>
      <c r="G63" s="15"/>
      <c r="H63" s="15"/>
      <c r="I63" s="15"/>
      <c r="J63" s="15"/>
      <c r="K63" s="15"/>
      <c r="L63" s="15"/>
      <c r="M63" s="15"/>
    </row>
    <row r="64" spans="1:13" ht="15" customHeight="1">
      <c r="A64" s="15"/>
      <c r="B64" s="15"/>
      <c r="C64" s="15"/>
      <c r="D64" s="15"/>
      <c r="E64" s="15"/>
      <c r="F64" s="15"/>
      <c r="G64" s="15"/>
      <c r="H64" s="15"/>
      <c r="I64" s="15"/>
      <c r="J64" s="15"/>
      <c r="K64" s="15"/>
      <c r="L64" s="15"/>
      <c r="M64" s="15"/>
    </row>
    <row r="65" spans="1:13" ht="15" customHeight="1">
      <c r="A65" s="15"/>
      <c r="B65" s="15"/>
      <c r="C65" s="15"/>
      <c r="D65" s="15"/>
      <c r="E65" s="15"/>
      <c r="F65" s="15"/>
      <c r="G65" s="15"/>
      <c r="H65" s="15"/>
      <c r="I65" s="15"/>
      <c r="J65" s="15"/>
      <c r="K65" s="15"/>
      <c r="L65" s="15"/>
      <c r="M65" s="15"/>
    </row>
    <row r="66" spans="1:13" ht="15" customHeight="1">
      <c r="A66" s="15"/>
      <c r="B66" s="15"/>
      <c r="C66" s="15"/>
      <c r="D66" s="15"/>
      <c r="E66" s="15"/>
      <c r="F66" s="15"/>
      <c r="G66" s="15"/>
      <c r="H66" s="15"/>
      <c r="I66" s="15"/>
      <c r="J66" s="15"/>
      <c r="K66" s="15"/>
      <c r="L66" s="15"/>
      <c r="M66" s="15"/>
    </row>
    <row r="67" spans="1:13" ht="15" customHeight="1">
      <c r="A67" s="15"/>
      <c r="B67" s="15"/>
      <c r="C67" s="15"/>
      <c r="D67" s="15"/>
      <c r="E67" s="15"/>
      <c r="F67" s="15"/>
      <c r="G67" s="15"/>
      <c r="H67" s="15"/>
      <c r="I67" s="15"/>
      <c r="J67" s="15"/>
      <c r="K67" s="15"/>
      <c r="L67" s="15"/>
      <c r="M67" s="15"/>
    </row>
    <row r="68" spans="1:13" ht="15" customHeight="1">
      <c r="A68" s="15"/>
      <c r="B68" s="15"/>
      <c r="C68" s="15"/>
      <c r="D68" s="15"/>
      <c r="E68" s="15"/>
      <c r="F68" s="15"/>
      <c r="G68" s="15"/>
      <c r="H68" s="15"/>
      <c r="I68" s="15"/>
      <c r="J68" s="15"/>
      <c r="K68" s="15"/>
      <c r="L68" s="15"/>
      <c r="M68" s="15"/>
    </row>
    <row r="69" spans="1:13" ht="15" customHeight="1">
      <c r="A69" s="15"/>
      <c r="B69" s="15"/>
      <c r="C69" s="15"/>
      <c r="D69" s="15"/>
      <c r="E69" s="15"/>
      <c r="F69" s="15"/>
      <c r="G69" s="15"/>
      <c r="H69" s="15"/>
      <c r="I69" s="15"/>
      <c r="J69" s="15"/>
      <c r="K69" s="15"/>
      <c r="L69" s="15"/>
      <c r="M69" s="15"/>
    </row>
    <row r="70" spans="1:13" ht="15" customHeight="1">
      <c r="A70" s="15"/>
      <c r="B70" s="15"/>
      <c r="C70" s="15"/>
      <c r="D70" s="15"/>
      <c r="E70" s="15"/>
      <c r="F70" s="15"/>
      <c r="G70" s="15"/>
      <c r="H70" s="15"/>
      <c r="I70" s="15"/>
      <c r="J70" s="15"/>
      <c r="K70" s="15"/>
      <c r="L70" s="15"/>
      <c r="M70" s="15"/>
    </row>
    <row r="71" spans="1:13" ht="15" customHeight="1">
      <c r="A71" s="15"/>
      <c r="B71" s="15"/>
      <c r="C71" s="15"/>
      <c r="D71" s="15"/>
      <c r="E71" s="15"/>
      <c r="F71" s="15"/>
      <c r="G71" s="15"/>
      <c r="H71" s="15"/>
      <c r="I71" s="15"/>
      <c r="J71" s="15"/>
      <c r="K71" s="15"/>
      <c r="L71" s="15"/>
      <c r="M71" s="15"/>
    </row>
    <row r="72" spans="1:13" ht="15" customHeight="1">
      <c r="A72" s="15"/>
      <c r="B72" s="15"/>
      <c r="C72" s="15"/>
      <c r="D72" s="15"/>
      <c r="E72" s="15"/>
      <c r="F72" s="15"/>
      <c r="G72" s="15"/>
      <c r="H72" s="15"/>
      <c r="I72" s="15"/>
      <c r="J72" s="15"/>
      <c r="K72" s="15"/>
      <c r="L72" s="15"/>
      <c r="M72" s="15"/>
    </row>
    <row r="73" spans="1:13" ht="15" customHeight="1">
      <c r="A73" s="15"/>
      <c r="B73" s="15"/>
      <c r="C73" s="15"/>
      <c r="D73" s="15"/>
      <c r="E73" s="15"/>
      <c r="F73" s="15"/>
      <c r="G73" s="15"/>
      <c r="H73" s="15"/>
      <c r="I73" s="15"/>
      <c r="J73" s="15"/>
      <c r="K73" s="15"/>
      <c r="L73" s="15"/>
      <c r="M73" s="15"/>
    </row>
    <row r="74" spans="1:13" ht="15" customHeight="1">
      <c r="A74" s="15"/>
      <c r="B74" s="15"/>
      <c r="C74" s="15"/>
      <c r="D74" s="15"/>
      <c r="E74" s="15"/>
      <c r="F74" s="15"/>
      <c r="G74" s="15"/>
      <c r="H74" s="15"/>
      <c r="I74" s="15"/>
      <c r="J74" s="15"/>
      <c r="K74" s="15"/>
      <c r="L74" s="15"/>
      <c r="M74" s="15"/>
    </row>
    <row r="75" spans="1:13" ht="15" customHeight="1">
      <c r="A75" s="15"/>
      <c r="B75" s="15"/>
      <c r="C75" s="15"/>
      <c r="D75" s="15"/>
      <c r="E75" s="15"/>
      <c r="F75" s="15"/>
      <c r="G75" s="15"/>
      <c r="H75" s="15"/>
      <c r="I75" s="15"/>
      <c r="J75" s="15"/>
      <c r="K75" s="15"/>
      <c r="L75" s="15"/>
      <c r="M75" s="15"/>
    </row>
    <row r="76" spans="1:13" ht="15" customHeight="1">
      <c r="A76" s="15"/>
      <c r="B76" s="15"/>
      <c r="C76" s="15"/>
      <c r="D76" s="15"/>
      <c r="E76" s="15"/>
      <c r="F76" s="15"/>
      <c r="G76" s="15"/>
      <c r="H76" s="15"/>
      <c r="I76" s="15"/>
      <c r="J76" s="15"/>
      <c r="K76" s="15"/>
      <c r="L76" s="15"/>
      <c r="M76" s="15"/>
    </row>
    <row r="77" spans="1:13" ht="15" customHeight="1">
      <c r="A77" s="15"/>
      <c r="B77" s="15"/>
      <c r="C77" s="15"/>
      <c r="D77" s="15"/>
      <c r="E77" s="15"/>
      <c r="F77" s="15"/>
      <c r="G77" s="15"/>
      <c r="H77" s="15"/>
      <c r="I77" s="15"/>
      <c r="J77" s="15"/>
      <c r="K77" s="15"/>
      <c r="L77" s="15"/>
      <c r="M77" s="15"/>
    </row>
    <row r="78" spans="1:13" ht="15" customHeight="1">
      <c r="A78" s="15"/>
      <c r="B78" s="15"/>
      <c r="C78" s="15"/>
      <c r="D78" s="15"/>
      <c r="E78" s="15"/>
      <c r="F78" s="15"/>
      <c r="G78" s="15"/>
      <c r="H78" s="15"/>
      <c r="I78" s="15"/>
      <c r="J78" s="15"/>
      <c r="K78" s="15"/>
      <c r="L78" s="15"/>
      <c r="M78" s="15"/>
    </row>
    <row r="79" spans="1:13" ht="15" customHeight="1">
      <c r="A79" s="15"/>
      <c r="B79" s="15"/>
      <c r="C79" s="15"/>
      <c r="D79" s="15"/>
      <c r="E79" s="15"/>
      <c r="F79" s="15"/>
      <c r="G79" s="15"/>
      <c r="H79" s="15"/>
      <c r="I79" s="15"/>
      <c r="J79" s="15"/>
      <c r="K79" s="15"/>
      <c r="L79" s="15"/>
      <c r="M79" s="15"/>
    </row>
    <row r="80" spans="1:13" ht="15" customHeight="1">
      <c r="A80" s="15"/>
      <c r="B80" s="15"/>
      <c r="C80" s="15"/>
      <c r="D80" s="15"/>
      <c r="E80" s="15"/>
      <c r="F80" s="15"/>
      <c r="G80" s="15"/>
      <c r="H80" s="15"/>
      <c r="I80" s="15"/>
      <c r="J80" s="15"/>
      <c r="K80" s="15"/>
      <c r="L80" s="15"/>
      <c r="M80" s="15"/>
    </row>
    <row r="81" spans="1:13" ht="15" customHeight="1">
      <c r="A81" s="15"/>
      <c r="B81" s="15"/>
      <c r="C81" s="15"/>
      <c r="D81" s="15"/>
      <c r="E81" s="15"/>
      <c r="F81" s="15"/>
      <c r="G81" s="15"/>
      <c r="H81" s="15"/>
      <c r="I81" s="15"/>
      <c r="J81" s="15"/>
      <c r="K81" s="15"/>
      <c r="L81" s="15"/>
      <c r="M81" s="15"/>
    </row>
    <row r="82" spans="1:13" ht="15" customHeight="1">
      <c r="A82" s="15"/>
      <c r="B82" s="15"/>
      <c r="C82" s="15"/>
      <c r="D82" s="15"/>
      <c r="E82" s="15"/>
      <c r="F82" s="15"/>
      <c r="G82" s="15"/>
      <c r="H82" s="15"/>
      <c r="I82" s="15"/>
      <c r="J82" s="15"/>
      <c r="K82" s="15"/>
      <c r="L82" s="15"/>
      <c r="M82" s="15"/>
    </row>
    <row r="83" spans="1:13" ht="15" customHeight="1">
      <c r="A83" s="15"/>
      <c r="B83" s="15"/>
      <c r="C83" s="15"/>
      <c r="D83" s="15"/>
      <c r="E83" s="15"/>
      <c r="F83" s="15"/>
      <c r="G83" s="15"/>
      <c r="H83" s="15"/>
      <c r="I83" s="15"/>
      <c r="J83" s="15"/>
      <c r="K83" s="15"/>
      <c r="L83" s="15"/>
      <c r="M83" s="15"/>
    </row>
    <row r="84" spans="1:13" ht="15" customHeight="1">
      <c r="A84" s="15"/>
      <c r="B84" s="15"/>
      <c r="C84" s="15"/>
      <c r="D84" s="15"/>
      <c r="E84" s="15"/>
      <c r="F84" s="15"/>
      <c r="G84" s="15"/>
      <c r="H84" s="15"/>
      <c r="I84" s="15"/>
      <c r="J84" s="15"/>
      <c r="K84" s="15"/>
      <c r="L84" s="15"/>
      <c r="M84" s="15"/>
    </row>
    <row r="85" spans="1:13" ht="15" customHeight="1">
      <c r="A85" s="15"/>
      <c r="B85" s="15"/>
      <c r="C85" s="15"/>
      <c r="D85" s="15"/>
      <c r="E85" s="15"/>
      <c r="F85" s="15"/>
      <c r="G85" s="15"/>
      <c r="H85" s="15"/>
      <c r="I85" s="15"/>
      <c r="J85" s="15"/>
      <c r="K85" s="15"/>
      <c r="L85" s="15"/>
      <c r="M85" s="15"/>
    </row>
    <row r="86" spans="1:13" ht="15" customHeight="1">
      <c r="A86" s="15"/>
      <c r="B86" s="15"/>
      <c r="C86" s="15"/>
      <c r="D86" s="15"/>
      <c r="E86" s="15"/>
      <c r="F86" s="15"/>
      <c r="G86" s="15"/>
      <c r="H86" s="15"/>
      <c r="I86" s="15"/>
      <c r="J86" s="15"/>
      <c r="K86" s="15"/>
      <c r="L86" s="15"/>
      <c r="M86" s="15"/>
    </row>
    <row r="87" spans="1:13" ht="15" customHeight="1">
      <c r="A87" s="15"/>
      <c r="B87" s="15"/>
      <c r="C87" s="15"/>
      <c r="D87" s="15"/>
      <c r="E87" s="15"/>
      <c r="F87" s="15"/>
      <c r="G87" s="15"/>
      <c r="H87" s="15"/>
      <c r="I87" s="15"/>
      <c r="J87" s="15"/>
      <c r="K87" s="15"/>
      <c r="L87" s="15"/>
      <c r="M87" s="15"/>
    </row>
    <row r="88" spans="1:13" ht="15" customHeight="1">
      <c r="A88" s="15"/>
      <c r="B88" s="15"/>
      <c r="C88" s="15"/>
      <c r="D88" s="15"/>
      <c r="E88" s="15"/>
      <c r="F88" s="15"/>
      <c r="G88" s="15"/>
      <c r="H88" s="15"/>
      <c r="I88" s="15"/>
      <c r="J88" s="15"/>
      <c r="K88" s="15"/>
      <c r="L88" s="15"/>
      <c r="M88" s="15"/>
    </row>
    <row r="89" spans="1:13" ht="15" customHeight="1">
      <c r="A89" s="15"/>
      <c r="B89" s="15"/>
      <c r="C89" s="15"/>
      <c r="D89" s="15"/>
      <c r="E89" s="15"/>
      <c r="F89" s="15"/>
      <c r="G89" s="15"/>
      <c r="H89" s="15"/>
      <c r="I89" s="15"/>
      <c r="J89" s="15"/>
      <c r="K89" s="15"/>
      <c r="L89" s="15"/>
      <c r="M89" s="15"/>
    </row>
    <row r="90" spans="1:13" ht="15" customHeight="1">
      <c r="A90" s="15"/>
      <c r="B90" s="15"/>
      <c r="C90" s="15"/>
      <c r="D90" s="15"/>
      <c r="E90" s="15"/>
      <c r="F90" s="15"/>
      <c r="G90" s="15"/>
      <c r="H90" s="15"/>
      <c r="I90" s="15"/>
      <c r="J90" s="15"/>
      <c r="K90" s="15"/>
      <c r="L90" s="15"/>
      <c r="M90" s="15"/>
    </row>
    <row r="91" spans="1:13" ht="15" customHeight="1">
      <c r="A91" s="15"/>
      <c r="B91" s="15"/>
      <c r="C91" s="15"/>
      <c r="D91" s="15"/>
      <c r="E91" s="15"/>
      <c r="F91" s="15"/>
      <c r="G91" s="15"/>
      <c r="H91" s="15"/>
      <c r="I91" s="15"/>
      <c r="J91" s="15"/>
      <c r="K91" s="15"/>
      <c r="L91" s="15"/>
      <c r="M91" s="15"/>
    </row>
    <row r="92" spans="1:13" ht="15" customHeight="1">
      <c r="A92" s="15"/>
      <c r="B92" s="15"/>
      <c r="C92" s="15"/>
      <c r="D92" s="15"/>
      <c r="E92" s="15"/>
      <c r="F92" s="15"/>
      <c r="G92" s="15"/>
      <c r="H92" s="15"/>
      <c r="I92" s="15"/>
      <c r="J92" s="15"/>
      <c r="K92" s="15"/>
      <c r="L92" s="15"/>
      <c r="M92" s="15"/>
    </row>
    <row r="93" spans="1:13" ht="15" customHeight="1">
      <c r="A93" s="15"/>
      <c r="B93" s="15"/>
      <c r="C93" s="15"/>
      <c r="D93" s="15"/>
      <c r="E93" s="15"/>
      <c r="F93" s="15"/>
      <c r="G93" s="15"/>
      <c r="H93" s="15"/>
      <c r="I93" s="15"/>
      <c r="J93" s="15"/>
      <c r="K93" s="15"/>
      <c r="L93" s="15"/>
      <c r="M93" s="15"/>
    </row>
    <row r="94" spans="1:13" ht="15" customHeight="1">
      <c r="A94" s="15"/>
      <c r="B94" s="15"/>
      <c r="C94" s="15"/>
      <c r="D94" s="15"/>
      <c r="E94" s="15"/>
      <c r="F94" s="15"/>
      <c r="G94" s="15"/>
      <c r="H94" s="15"/>
      <c r="I94" s="15"/>
      <c r="J94" s="15"/>
      <c r="K94" s="15"/>
      <c r="L94" s="15"/>
      <c r="M94" s="15"/>
    </row>
    <row r="95" spans="1:13" ht="15" customHeight="1">
      <c r="A95" s="15"/>
      <c r="B95" s="15"/>
      <c r="C95" s="15"/>
      <c r="D95" s="15"/>
      <c r="E95" s="15"/>
      <c r="F95" s="15"/>
      <c r="G95" s="15"/>
      <c r="H95" s="15"/>
      <c r="I95" s="15"/>
      <c r="J95" s="15"/>
      <c r="K95" s="15"/>
      <c r="L95" s="15"/>
      <c r="M95" s="15"/>
    </row>
    <row r="96" spans="1:13" ht="15" customHeight="1">
      <c r="A96" s="15"/>
      <c r="B96" s="15"/>
      <c r="C96" s="15"/>
      <c r="D96" s="15"/>
      <c r="E96" s="15"/>
      <c r="F96" s="15"/>
      <c r="G96" s="15"/>
      <c r="H96" s="15"/>
      <c r="I96" s="15"/>
      <c r="J96" s="15"/>
      <c r="K96" s="15"/>
      <c r="L96" s="15"/>
      <c r="M96" s="15"/>
    </row>
    <row r="97" spans="1:13" ht="15" customHeight="1">
      <c r="A97" s="15"/>
      <c r="B97" s="15"/>
      <c r="C97" s="15"/>
      <c r="D97" s="15"/>
      <c r="E97" s="15"/>
      <c r="F97" s="15"/>
      <c r="G97" s="15"/>
      <c r="H97" s="15"/>
      <c r="I97" s="15"/>
      <c r="J97" s="15"/>
      <c r="K97" s="15"/>
      <c r="L97" s="15"/>
      <c r="M97" s="15"/>
    </row>
    <row r="98" spans="1:13" ht="15" customHeight="1">
      <c r="A98" s="15"/>
      <c r="B98" s="15"/>
      <c r="C98" s="15"/>
      <c r="D98" s="15"/>
      <c r="E98" s="15"/>
      <c r="F98" s="15"/>
      <c r="G98" s="15"/>
      <c r="H98" s="15"/>
      <c r="I98" s="15"/>
      <c r="J98" s="15"/>
      <c r="K98" s="15"/>
      <c r="L98" s="15"/>
      <c r="M98" s="15"/>
    </row>
  </sheetData>
  <mergeCells count="6">
    <mergeCell ref="B1:C1"/>
    <mergeCell ref="B2:C2"/>
    <mergeCell ref="F4:G4"/>
    <mergeCell ref="H4:I4"/>
    <mergeCell ref="F5:G5"/>
    <mergeCell ref="H5:I5"/>
  </mergeCells>
  <dataValidations disablePrompts="1" count="1">
    <dataValidation type="list" allowBlank="1" showInputMessage="1" showErrorMessage="1" sqref="H5:I5" xr:uid="{00000000-0002-0000-0600-000000000000}">
      <formula1>#REF!</formula1>
    </dataValidation>
  </dataValidations>
  <hyperlinks>
    <hyperlink ref="D12" r:id="rId1" xr:uid="{00000000-0004-0000-0600-000000000000}"/>
    <hyperlink ref="D15" r:id="rId2" xr:uid="{00000000-0004-0000-0600-000001000000}"/>
    <hyperlink ref="D18" r:id="rId3" xr:uid="{00000000-0004-0000-0600-000002000000}"/>
  </hyperlinks>
  <pageMargins left="0.7" right="0.7" top="0.75" bottom="0.75" header="0.3" footer="0.3"/>
  <pageSetup scale="60" fitToHeight="0" orientation="portrait"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59"/>
  <sheetViews>
    <sheetView showGridLines="0" zoomScale="85" zoomScaleNormal="85" workbookViewId="0">
      <selection activeCell="C24" sqref="C24"/>
    </sheetView>
  </sheetViews>
  <sheetFormatPr defaultColWidth="9" defaultRowHeight="15" customHeight="1"/>
  <cols>
    <col min="1" max="1" width="19.140625" style="33" customWidth="1"/>
    <col min="2" max="6" width="40.7109375" style="33" customWidth="1"/>
    <col min="7" max="10" width="9" style="33"/>
    <col min="11" max="11" width="9.85546875" style="33" customWidth="1"/>
    <col min="12" max="12" width="7.140625" style="33" customWidth="1"/>
    <col min="13" max="13" width="10.5703125" style="33" customWidth="1"/>
    <col min="14" max="15" width="8.85546875" style="33" customWidth="1"/>
    <col min="16" max="16" width="10.140625" style="33" customWidth="1"/>
    <col min="17" max="17" width="12.28515625" style="33" customWidth="1"/>
    <col min="18" max="16384" width="9" style="33"/>
  </cols>
  <sheetData>
    <row r="1" spans="1:17" ht="21" customHeight="1">
      <c r="B1" s="33" t="s">
        <v>670</v>
      </c>
    </row>
    <row r="2" spans="1:17" ht="24" customHeight="1">
      <c r="K2" s="10" t="s">
        <v>671</v>
      </c>
      <c r="Q2" s="514" t="s">
        <v>672</v>
      </c>
    </row>
    <row r="3" spans="1:17" s="60" customFormat="1" ht="15.75" customHeight="1">
      <c r="B3" s="79">
        <v>1</v>
      </c>
      <c r="C3" s="78">
        <v>2</v>
      </c>
      <c r="D3" s="78">
        <v>3</v>
      </c>
      <c r="E3" s="78">
        <v>4</v>
      </c>
      <c r="F3" s="78">
        <v>5</v>
      </c>
      <c r="K3" s="772" t="s">
        <v>673</v>
      </c>
      <c r="L3" s="773"/>
      <c r="M3" s="776" t="s">
        <v>674</v>
      </c>
      <c r="N3" s="777"/>
      <c r="O3" s="777"/>
      <c r="P3" s="773"/>
      <c r="Q3" s="773"/>
    </row>
    <row r="4" spans="1:17" s="60" customFormat="1" ht="15.75" customHeight="1">
      <c r="B4" s="74">
        <f>REDiTool!F21</f>
        <v>0</v>
      </c>
      <c r="C4" s="74">
        <f>REDiTool!G21</f>
        <v>0</v>
      </c>
      <c r="D4" s="74">
        <f>REDiTool!H21</f>
        <v>0</v>
      </c>
      <c r="E4" s="74">
        <f>REDiTool!I21</f>
        <v>0</v>
      </c>
      <c r="F4" s="74">
        <f>REDiTool!J21</f>
        <v>0</v>
      </c>
      <c r="K4" s="778" t="s">
        <v>675</v>
      </c>
      <c r="L4" s="778" t="s">
        <v>676</v>
      </c>
      <c r="M4" s="779" t="s">
        <v>677</v>
      </c>
      <c r="N4" s="778" t="s">
        <v>678</v>
      </c>
      <c r="O4" s="778" t="s">
        <v>679</v>
      </c>
      <c r="P4" s="778" t="s">
        <v>680</v>
      </c>
      <c r="Q4" s="778" t="s">
        <v>681</v>
      </c>
    </row>
    <row r="5" spans="1:17" s="38" customFormat="1" ht="24.75" customHeight="1">
      <c r="A5" s="759" t="s">
        <v>682</v>
      </c>
      <c r="B5" s="87" t="s">
        <v>683</v>
      </c>
      <c r="C5" s="86"/>
      <c r="D5" s="86"/>
      <c r="E5" s="86"/>
      <c r="F5" s="86"/>
      <c r="K5" s="780" t="s">
        <v>684</v>
      </c>
      <c r="L5" s="780">
        <v>0</v>
      </c>
      <c r="M5" s="780">
        <v>214</v>
      </c>
      <c r="N5" s="780">
        <v>294</v>
      </c>
      <c r="O5" s="780">
        <f>MAX(N5-M5,0)</f>
        <v>80</v>
      </c>
      <c r="P5" s="781">
        <f>O5*268</f>
        <v>21440</v>
      </c>
      <c r="Q5" s="781">
        <f>P5*L5</f>
        <v>0</v>
      </c>
    </row>
    <row r="6" spans="1:17" s="38" customFormat="1" ht="24.75" customHeight="1">
      <c r="A6" s="759"/>
      <c r="B6" s="514" t="s">
        <v>685</v>
      </c>
      <c r="C6" s="205"/>
      <c r="D6" s="205"/>
      <c r="E6" s="205"/>
      <c r="F6" s="205"/>
      <c r="K6" s="780" t="s">
        <v>686</v>
      </c>
      <c r="L6" s="780">
        <v>5</v>
      </c>
      <c r="M6" s="780">
        <v>172</v>
      </c>
      <c r="N6" s="780">
        <v>294</v>
      </c>
      <c r="O6" s="780">
        <f t="shared" ref="O6:O8" si="0">MAX(N6-M6,0)</f>
        <v>122</v>
      </c>
      <c r="P6" s="781">
        <f t="shared" ref="P6:P8" si="1">O6*268</f>
        <v>32696</v>
      </c>
      <c r="Q6" s="781">
        <f t="shared" ref="Q6:Q8" si="2">P6*L6</f>
        <v>163480</v>
      </c>
    </row>
    <row r="7" spans="1:17" s="38" customFormat="1" ht="24.75" customHeight="1">
      <c r="A7" s="759"/>
      <c r="B7" s="775"/>
      <c r="C7" s="205"/>
      <c r="D7" s="205"/>
      <c r="E7" s="205"/>
      <c r="F7" s="205"/>
      <c r="K7" s="780" t="s">
        <v>687</v>
      </c>
      <c r="L7" s="780">
        <v>10</v>
      </c>
      <c r="M7" s="780">
        <v>131</v>
      </c>
      <c r="N7" s="780">
        <v>294</v>
      </c>
      <c r="O7" s="780">
        <f t="shared" si="0"/>
        <v>163</v>
      </c>
      <c r="P7" s="781">
        <f t="shared" si="1"/>
        <v>43684</v>
      </c>
      <c r="Q7" s="781">
        <f t="shared" si="2"/>
        <v>436840</v>
      </c>
    </row>
    <row r="8" spans="1:17" s="38" customFormat="1" ht="15" customHeight="1">
      <c r="K8" s="780" t="s">
        <v>688</v>
      </c>
      <c r="L8" s="780">
        <v>10</v>
      </c>
      <c r="M8" s="780">
        <v>0</v>
      </c>
      <c r="N8" s="780">
        <v>294</v>
      </c>
      <c r="O8" s="780">
        <f t="shared" si="0"/>
        <v>294</v>
      </c>
      <c r="P8" s="781">
        <f t="shared" si="1"/>
        <v>78792</v>
      </c>
      <c r="Q8" s="781">
        <f t="shared" si="2"/>
        <v>787920</v>
      </c>
    </row>
    <row r="9" spans="1:17" s="38" customFormat="1" ht="15" customHeight="1">
      <c r="B9" s="78">
        <v>6</v>
      </c>
      <c r="C9" s="78">
        <v>7</v>
      </c>
      <c r="D9" s="78">
        <v>8</v>
      </c>
      <c r="E9" s="78">
        <v>9</v>
      </c>
      <c r="F9" s="78">
        <v>10</v>
      </c>
      <c r="K9" s="773"/>
      <c r="L9" s="773"/>
      <c r="M9" s="773"/>
      <c r="N9" s="773"/>
      <c r="O9" s="773"/>
      <c r="P9" s="773" t="s">
        <v>681</v>
      </c>
      <c r="Q9" s="774">
        <f>ROUND(SUM(Q5:Q8),-3)</f>
        <v>1388000</v>
      </c>
    </row>
    <row r="10" spans="1:17" s="38" customFormat="1" ht="15" customHeight="1">
      <c r="B10" s="74">
        <f>REDiTool!K21</f>
        <v>0</v>
      </c>
      <c r="C10" s="74">
        <f>REDiTool!L21</f>
        <v>0</v>
      </c>
      <c r="D10" s="74">
        <f>REDiTool!M21</f>
        <v>0</v>
      </c>
      <c r="E10" s="74">
        <f>REDiTool!N21</f>
        <v>0</v>
      </c>
      <c r="F10" s="74">
        <f>REDiTool!O21</f>
        <v>0</v>
      </c>
      <c r="L10" s="773"/>
      <c r="M10" s="773"/>
      <c r="N10" s="773"/>
      <c r="O10" s="773"/>
      <c r="P10" s="773" t="s">
        <v>689</v>
      </c>
      <c r="Q10" s="773"/>
    </row>
    <row r="11" spans="1:17" s="38" customFormat="1" ht="24" customHeight="1">
      <c r="B11" s="87"/>
      <c r="C11" s="86"/>
      <c r="D11" s="86"/>
      <c r="E11" s="86"/>
      <c r="F11" s="87"/>
      <c r="K11" s="38" t="s">
        <v>690</v>
      </c>
    </row>
    <row r="12" spans="1:17" s="38" customFormat="1" ht="15" customHeight="1"/>
    <row r="13" spans="1:17" s="38" customFormat="1" ht="15" customHeight="1">
      <c r="B13" s="38" t="s">
        <v>691</v>
      </c>
    </row>
    <row r="14" spans="1:17" s="38" customFormat="1" ht="15" hidden="1" customHeight="1"/>
    <row r="15" spans="1:17" s="38" customFormat="1"/>
    <row r="16" spans="1:17" s="38" customFormat="1"/>
    <row r="17" spans="11:14" s="38" customFormat="1"/>
    <row r="18" spans="11:14" s="38" customFormat="1"/>
    <row r="19" spans="11:14" s="38" customFormat="1" hidden="1"/>
    <row r="20" spans="11:14" s="38" customFormat="1"/>
    <row r="21" spans="11:14" s="38" customFormat="1" ht="15.75" customHeight="1"/>
    <row r="22" spans="11:14" s="38" customFormat="1"/>
    <row r="23" spans="11:14" s="38" customFormat="1"/>
    <row r="24" spans="11:14" s="38" customFormat="1"/>
    <row r="25" spans="11:14" s="38" customFormat="1"/>
    <row r="26" spans="11:14" s="38" customFormat="1"/>
    <row r="27" spans="11:14" s="38" customFormat="1"/>
    <row r="28" spans="11:14" s="38" customFormat="1"/>
    <row r="29" spans="11:14" s="38" customFormat="1"/>
    <row r="30" spans="11:14" s="38" customFormat="1"/>
    <row r="31" spans="11:14" s="38" customFormat="1">
      <c r="K31" s="772" t="s">
        <v>692</v>
      </c>
      <c r="L31" s="772"/>
      <c r="M31" s="773" t="s">
        <v>693</v>
      </c>
      <c r="N31" s="773"/>
    </row>
    <row r="32" spans="11:14" s="38" customFormat="1">
      <c r="K32" s="773" t="s">
        <v>694</v>
      </c>
      <c r="L32" s="784">
        <f>SUM(L34:L45)</f>
        <v>1</v>
      </c>
      <c r="M32" s="774">
        <f>SUM(M34:M45)</f>
        <v>0</v>
      </c>
      <c r="N32" s="782">
        <f>M32/L32</f>
        <v>0</v>
      </c>
    </row>
    <row r="33" spans="11:14" s="38" customFormat="1">
      <c r="K33" s="772" t="s">
        <v>109</v>
      </c>
      <c r="L33" s="772" t="s">
        <v>695</v>
      </c>
      <c r="M33" s="772" t="s">
        <v>696</v>
      </c>
      <c r="N33" s="772" t="s">
        <v>697</v>
      </c>
    </row>
    <row r="34" spans="11:14" s="38" customFormat="1" ht="15.75" customHeight="1">
      <c r="K34" s="780"/>
      <c r="L34" s="785">
        <v>1</v>
      </c>
      <c r="M34" s="781"/>
      <c r="N34" s="786">
        <f>M34/L34</f>
        <v>0</v>
      </c>
    </row>
    <row r="35" spans="11:14" s="38" customFormat="1" ht="19.5" customHeight="1">
      <c r="K35" s="780"/>
      <c r="L35" s="785"/>
      <c r="M35" s="781"/>
      <c r="N35" s="786" t="e">
        <f t="shared" ref="N35:N45" si="3">M35/L35</f>
        <v>#DIV/0!</v>
      </c>
    </row>
    <row r="36" spans="11:14" s="38" customFormat="1">
      <c r="K36" s="780"/>
      <c r="L36" s="785"/>
      <c r="M36" s="781"/>
      <c r="N36" s="786" t="e">
        <f t="shared" si="3"/>
        <v>#DIV/0!</v>
      </c>
    </row>
    <row r="37" spans="11:14" s="38" customFormat="1">
      <c r="K37" s="780"/>
      <c r="L37" s="785"/>
      <c r="M37" s="781"/>
      <c r="N37" s="786" t="e">
        <f t="shared" si="3"/>
        <v>#DIV/0!</v>
      </c>
    </row>
    <row r="38" spans="11:14" s="38" customFormat="1" ht="14.65" customHeight="1">
      <c r="K38" s="780"/>
      <c r="L38" s="785"/>
      <c r="M38" s="781"/>
      <c r="N38" s="786" t="e">
        <f t="shared" si="3"/>
        <v>#DIV/0!</v>
      </c>
    </row>
    <row r="39" spans="11:14" s="38" customFormat="1">
      <c r="K39" s="780"/>
      <c r="L39" s="785"/>
      <c r="M39" s="781"/>
      <c r="N39" s="786" t="e">
        <f t="shared" si="3"/>
        <v>#DIV/0!</v>
      </c>
    </row>
    <row r="40" spans="11:14" s="38" customFormat="1">
      <c r="K40" s="780"/>
      <c r="L40" s="785"/>
      <c r="M40" s="781"/>
      <c r="N40" s="786" t="e">
        <f t="shared" si="3"/>
        <v>#DIV/0!</v>
      </c>
    </row>
    <row r="41" spans="11:14" s="38" customFormat="1" ht="14.65" customHeight="1">
      <c r="K41" s="780"/>
      <c r="L41" s="785"/>
      <c r="M41" s="781"/>
      <c r="N41" s="786" t="e">
        <f t="shared" si="3"/>
        <v>#DIV/0!</v>
      </c>
    </row>
    <row r="42" spans="11:14" s="38" customFormat="1">
      <c r="K42" s="780"/>
      <c r="L42" s="785"/>
      <c r="M42" s="781"/>
      <c r="N42" s="786" t="e">
        <f t="shared" si="3"/>
        <v>#DIV/0!</v>
      </c>
    </row>
    <row r="43" spans="11:14" s="38" customFormat="1">
      <c r="K43" s="780"/>
      <c r="L43" s="785"/>
      <c r="M43" s="781"/>
      <c r="N43" s="786" t="e">
        <f t="shared" si="3"/>
        <v>#DIV/0!</v>
      </c>
    </row>
    <row r="44" spans="11:14" s="38" customFormat="1">
      <c r="K44" s="780"/>
      <c r="L44" s="785"/>
      <c r="M44" s="781"/>
      <c r="N44" s="786" t="e">
        <f t="shared" si="3"/>
        <v>#DIV/0!</v>
      </c>
    </row>
    <row r="45" spans="11:14" ht="16.5" customHeight="1">
      <c r="K45" s="780"/>
      <c r="L45" s="785"/>
      <c r="M45" s="781"/>
      <c r="N45" s="786" t="e">
        <f t="shared" si="3"/>
        <v>#DIV/0!</v>
      </c>
    </row>
    <row r="46" spans="11:14">
      <c r="M46" s="783"/>
    </row>
    <row r="47" spans="11:14"/>
    <row r="48" spans="11:14"/>
    <row r="49"/>
    <row r="50"/>
    <row r="51"/>
    <row r="52"/>
    <row r="53" ht="18.75" customHeight="1"/>
    <row r="54" ht="18.75" customHeight="1"/>
    <row r="55" ht="45.75" customHeight="1"/>
    <row r="56" ht="18.75" customHeight="1"/>
    <row r="59" ht="29.25" customHeight="1"/>
  </sheetData>
  <hyperlinks>
    <hyperlink ref="B5" r:id="rId1" xr:uid="{00000000-0004-0000-0700-000000000000}"/>
    <hyperlink ref="K2" r:id="rId2" xr:uid="{49D10ABB-BD6C-4FE6-B6DC-43DEBAAB11E6}"/>
    <hyperlink ref="B6" r:id="rId3" display="ZoLa | NYC’s Zoning &amp; Land Use Map" xr:uid="{E726CF22-B7F4-4610-816E-A963A2C7F2D0}"/>
    <hyperlink ref="Q2" r:id="rId4" display="NYC LL97 Calculator" xr:uid="{4C2D00BF-1F56-4818-BA82-33DA7ACA7F4E}"/>
  </hyperlinks>
  <pageMargins left="0.7" right="0.7" top="0.75" bottom="0.75" header="0.3" footer="0.3"/>
  <pageSetup scale="40" fitToHeight="0"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69"/>
  <sheetViews>
    <sheetView topLeftCell="A20" workbookViewId="0">
      <selection activeCell="C33" sqref="C33:C34"/>
    </sheetView>
  </sheetViews>
  <sheetFormatPr defaultRowHeight="15"/>
  <cols>
    <col min="2" max="2" width="5.85546875" style="485" customWidth="1"/>
    <col min="3" max="3" width="121.42578125" customWidth="1"/>
  </cols>
  <sheetData>
    <row r="1" spans="2:8" ht="15.75">
      <c r="B1" s="722"/>
      <c r="C1" s="469" t="s">
        <v>698</v>
      </c>
    </row>
    <row r="2" spans="2:8">
      <c r="C2" t="s">
        <v>699</v>
      </c>
      <c r="G2" s="757"/>
      <c r="H2" s="757"/>
    </row>
    <row r="3" spans="2:8">
      <c r="C3" s="240" t="s">
        <v>700</v>
      </c>
      <c r="G3" s="757"/>
      <c r="H3" s="514"/>
    </row>
    <row r="4" spans="2:8" ht="15.75">
      <c r="B4" s="722"/>
      <c r="C4" s="469" t="s">
        <v>701</v>
      </c>
      <c r="G4" s="757"/>
      <c r="H4" s="514"/>
    </row>
    <row r="5" spans="2:8">
      <c r="C5" t="s">
        <v>702</v>
      </c>
      <c r="H5" s="514"/>
    </row>
    <row r="6" spans="2:8">
      <c r="B6" s="485">
        <v>1</v>
      </c>
      <c r="C6" s="1" t="s">
        <v>703</v>
      </c>
    </row>
    <row r="7" spans="2:8">
      <c r="B7" s="485">
        <v>2</v>
      </c>
      <c r="C7" s="1" t="s">
        <v>704</v>
      </c>
    </row>
    <row r="8" spans="2:8">
      <c r="C8" s="464" t="s">
        <v>705</v>
      </c>
    </row>
    <row r="9" spans="2:8" ht="30">
      <c r="B9" s="485">
        <v>3</v>
      </c>
      <c r="C9" s="746" t="s">
        <v>706</v>
      </c>
    </row>
    <row r="10" spans="2:8">
      <c r="C10" s="758" t="s">
        <v>707</v>
      </c>
    </row>
    <row r="11" spans="2:8" ht="15.75">
      <c r="B11" s="722"/>
      <c r="C11" s="469" t="s">
        <v>708</v>
      </c>
    </row>
    <row r="12" spans="2:8">
      <c r="B12" s="485">
        <v>1</v>
      </c>
      <c r="C12" s="1" t="s">
        <v>709</v>
      </c>
    </row>
    <row r="13" spans="2:8">
      <c r="B13" s="485">
        <v>2</v>
      </c>
      <c r="C13" s="1" t="s">
        <v>710</v>
      </c>
    </row>
    <row r="14" spans="2:8">
      <c r="B14" s="485">
        <v>3</v>
      </c>
      <c r="C14" s="1" t="s">
        <v>711</v>
      </c>
    </row>
    <row r="15" spans="2:8">
      <c r="C15" s="464" t="s">
        <v>712</v>
      </c>
    </row>
    <row r="16" spans="2:8" ht="15.75">
      <c r="B16" s="722"/>
      <c r="C16" s="469" t="s">
        <v>713</v>
      </c>
    </row>
    <row r="17" spans="2:4">
      <c r="C17" t="s">
        <v>714</v>
      </c>
    </row>
    <row r="18" spans="2:4">
      <c r="B18" s="485">
        <v>1</v>
      </c>
      <c r="C18" s="1" t="s">
        <v>715</v>
      </c>
    </row>
    <row r="19" spans="2:4">
      <c r="B19" s="485">
        <v>2</v>
      </c>
      <c r="C19" s="1" t="s">
        <v>716</v>
      </c>
    </row>
    <row r="20" spans="2:4">
      <c r="C20" s="468" t="s">
        <v>717</v>
      </c>
    </row>
    <row r="21" spans="2:4" ht="15.75">
      <c r="B21" s="722"/>
      <c r="C21" s="469" t="s">
        <v>718</v>
      </c>
    </row>
    <row r="22" spans="2:4">
      <c r="B22" s="485">
        <v>1</v>
      </c>
      <c r="C22" s="1" t="s">
        <v>719</v>
      </c>
    </row>
    <row r="23" spans="2:4">
      <c r="C23" s="464" t="s">
        <v>720</v>
      </c>
    </row>
    <row r="24" spans="2:4">
      <c r="B24" s="485">
        <v>2</v>
      </c>
      <c r="C24" s="1" t="s">
        <v>721</v>
      </c>
    </row>
    <row r="25" spans="2:4">
      <c r="C25" s="758" t="s">
        <v>722</v>
      </c>
    </row>
    <row r="26" spans="2:4" ht="15.75">
      <c r="B26" s="722"/>
      <c r="C26" s="469" t="s">
        <v>723</v>
      </c>
    </row>
    <row r="27" spans="2:4">
      <c r="B27" s="498">
        <v>1</v>
      </c>
      <c r="C27" s="682" t="s">
        <v>724</v>
      </c>
    </row>
    <row r="28" spans="2:4">
      <c r="B28" s="498"/>
      <c r="C28" s="470" t="s">
        <v>725</v>
      </c>
    </row>
    <row r="29" spans="2:4">
      <c r="B29" s="498"/>
      <c r="C29" s="470" t="s">
        <v>726</v>
      </c>
    </row>
    <row r="30" spans="2:4">
      <c r="B30" s="498"/>
      <c r="C30" s="470" t="s">
        <v>727</v>
      </c>
    </row>
    <row r="31" spans="2:4">
      <c r="B31" s="498"/>
      <c r="C31" s="470" t="s">
        <v>728</v>
      </c>
      <c r="D31" s="1095" t="s">
        <v>729</v>
      </c>
    </row>
    <row r="32" spans="2:4" ht="13.5" customHeight="1">
      <c r="B32" s="498">
        <v>2</v>
      </c>
      <c r="C32" s="682" t="s">
        <v>730</v>
      </c>
      <c r="D32" s="1095" t="s">
        <v>731</v>
      </c>
    </row>
    <row r="33" spans="2:3" ht="29.25" customHeight="1">
      <c r="B33" s="498">
        <v>4</v>
      </c>
      <c r="C33" s="683" t="s">
        <v>732</v>
      </c>
    </row>
    <row r="34" spans="2:3">
      <c r="B34" s="498"/>
      <c r="C34" s="680" t="s">
        <v>733</v>
      </c>
    </row>
    <row r="35" spans="2:3">
      <c r="B35" s="498"/>
      <c r="C35" s="680" t="s">
        <v>734</v>
      </c>
    </row>
    <row r="36" spans="2:3">
      <c r="B36" s="498"/>
      <c r="C36" s="680" t="s">
        <v>735</v>
      </c>
    </row>
    <row r="37" spans="2:3">
      <c r="B37" s="498"/>
      <c r="C37" s="680" t="s">
        <v>736</v>
      </c>
    </row>
    <row r="38" spans="2:3">
      <c r="B38" s="498">
        <v>5</v>
      </c>
      <c r="C38" s="682" t="s">
        <v>737</v>
      </c>
    </row>
    <row r="39" spans="2:3" ht="13.5" customHeight="1">
      <c r="B39" s="498">
        <v>6</v>
      </c>
      <c r="C39" s="682" t="s">
        <v>738</v>
      </c>
    </row>
    <row r="40" spans="2:3">
      <c r="B40" s="498">
        <v>7</v>
      </c>
      <c r="C40" s="682" t="s">
        <v>739</v>
      </c>
    </row>
    <row r="41" spans="2:3">
      <c r="B41" s="498"/>
      <c r="C41" s="681" t="s">
        <v>740</v>
      </c>
    </row>
    <row r="42" spans="2:3" ht="22.9" customHeight="1">
      <c r="C42" s="355"/>
    </row>
    <row r="43" spans="2:3" ht="15.75">
      <c r="B43" s="722"/>
      <c r="C43" s="469" t="s">
        <v>741</v>
      </c>
    </row>
    <row r="44" spans="2:3">
      <c r="C44" s="355" t="s">
        <v>742</v>
      </c>
    </row>
    <row r="45" spans="2:3">
      <c r="B45" s="485">
        <v>1</v>
      </c>
      <c r="C45" s="1" t="s">
        <v>743</v>
      </c>
    </row>
    <row r="46" spans="2:3" ht="30">
      <c r="C46" s="468" t="s">
        <v>744</v>
      </c>
    </row>
    <row r="47" spans="2:3">
      <c r="C47" s="464" t="s">
        <v>745</v>
      </c>
    </row>
    <row r="48" spans="2:3">
      <c r="B48" s="485">
        <v>2</v>
      </c>
      <c r="C48" s="1" t="s">
        <v>746</v>
      </c>
    </row>
    <row r="49" spans="2:3">
      <c r="B49" s="485">
        <v>3</v>
      </c>
      <c r="C49" s="1" t="s">
        <v>747</v>
      </c>
    </row>
    <row r="50" spans="2:3">
      <c r="C50" s="464" t="s">
        <v>748</v>
      </c>
    </row>
    <row r="52" spans="2:3" ht="15.75">
      <c r="B52" s="722"/>
      <c r="C52" s="469" t="s">
        <v>749</v>
      </c>
    </row>
    <row r="53" spans="2:3">
      <c r="C53" s="682" t="s">
        <v>750</v>
      </c>
    </row>
    <row r="54" spans="2:3">
      <c r="C54" s="464" t="s">
        <v>751</v>
      </c>
    </row>
    <row r="55" spans="2:3">
      <c r="C55" s="464" t="s">
        <v>752</v>
      </c>
    </row>
    <row r="56" spans="2:3">
      <c r="C56" s="758" t="s">
        <v>753</v>
      </c>
    </row>
    <row r="60" spans="2:3" ht="15.75">
      <c r="B60" s="934"/>
      <c r="C60" s="934" t="s">
        <v>754</v>
      </c>
    </row>
    <row r="61" spans="2:3">
      <c r="C61" t="s">
        <v>755</v>
      </c>
    </row>
    <row r="62" spans="2:3">
      <c r="C62" t="s">
        <v>756</v>
      </c>
    </row>
    <row r="63" spans="2:3">
      <c r="C63" t="s">
        <v>757</v>
      </c>
    </row>
    <row r="64" spans="2:3">
      <c r="C64" t="s">
        <v>758</v>
      </c>
    </row>
    <row r="65" spans="2:3">
      <c r="C65" t="s">
        <v>759</v>
      </c>
    </row>
    <row r="66" spans="2:3">
      <c r="C66" t="s">
        <v>760</v>
      </c>
    </row>
    <row r="67" spans="2:3">
      <c r="C67" t="s">
        <v>761</v>
      </c>
    </row>
    <row r="68" spans="2:3">
      <c r="C68" t="s">
        <v>762</v>
      </c>
    </row>
    <row r="69" spans="2:3">
      <c r="B69"/>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C222-1322-4BCC-AC82-83542DCFBCF5}">
  <dimension ref="B1:G56"/>
  <sheetViews>
    <sheetView showGridLines="0" topLeftCell="A18" workbookViewId="0">
      <selection activeCell="L8" sqref="L8"/>
    </sheetView>
  </sheetViews>
  <sheetFormatPr defaultRowHeight="15" customHeight="1"/>
  <cols>
    <col min="1" max="1" width="24.28515625" customWidth="1"/>
    <col min="2" max="2" width="24.5703125" customWidth="1"/>
    <col min="3" max="3" width="10.5703125" customWidth="1"/>
    <col min="6" max="6" width="19.42578125" customWidth="1"/>
  </cols>
  <sheetData>
    <row r="1" spans="2:7" ht="15" customHeight="1">
      <c r="B1" s="1066" t="s">
        <v>763</v>
      </c>
    </row>
    <row r="2" spans="2:7" ht="9.75" customHeight="1">
      <c r="B2" s="1066"/>
    </row>
    <row r="3" spans="2:7" ht="44.25" customHeight="1">
      <c r="B3" s="1279" t="s">
        <v>764</v>
      </c>
      <c r="C3" s="1279"/>
      <c r="D3" s="1279"/>
      <c r="E3" s="1279"/>
      <c r="F3" s="1279"/>
      <c r="G3" s="1279"/>
    </row>
    <row r="4" spans="2:7">
      <c r="B4" s="1067" t="s">
        <v>765</v>
      </c>
      <c r="C4" s="1088"/>
      <c r="D4" s="1088"/>
      <c r="E4" s="1088"/>
      <c r="F4" s="1088"/>
      <c r="G4" s="1088"/>
    </row>
    <row r="5" spans="2:7">
      <c r="B5" s="1067" t="s">
        <v>766</v>
      </c>
      <c r="C5" s="1088"/>
      <c r="D5" s="1088"/>
      <c r="E5" s="1088"/>
      <c r="F5" s="1088"/>
      <c r="G5" s="1088"/>
    </row>
    <row r="6" spans="2:7" s="1069" customFormat="1">
      <c r="B6" s="1068" t="s">
        <v>767</v>
      </c>
      <c r="C6" s="1089"/>
      <c r="D6" s="1280" t="s">
        <v>113</v>
      </c>
      <c r="E6" s="1280"/>
      <c r="F6" s="1280"/>
      <c r="G6" s="1280"/>
    </row>
    <row r="7" spans="2:7">
      <c r="B7" s="1090"/>
      <c r="C7" s="1088"/>
      <c r="D7" s="1088"/>
      <c r="E7" s="1088"/>
      <c r="F7" s="1088"/>
      <c r="G7" s="1088"/>
    </row>
    <row r="8" spans="2:7" ht="14.25" customHeight="1">
      <c r="B8" s="1281" t="s">
        <v>72</v>
      </c>
      <c r="C8" s="1282"/>
      <c r="D8" s="832"/>
      <c r="E8" s="1281" t="s">
        <v>73</v>
      </c>
      <c r="F8" s="1283"/>
      <c r="G8" s="1282"/>
    </row>
    <row r="9" spans="2:7" ht="14.25" customHeight="1">
      <c r="B9" s="866" t="s">
        <v>74</v>
      </c>
      <c r="C9" s="867">
        <f>Dropdowns_v2!D152</f>
        <v>0.5</v>
      </c>
      <c r="D9" s="832"/>
      <c r="E9" s="1284" t="s">
        <v>75</v>
      </c>
      <c r="F9" s="1285"/>
      <c r="G9" s="874">
        <v>119</v>
      </c>
    </row>
    <row r="10" spans="2:7" ht="14.25" customHeight="1">
      <c r="B10" s="866" t="s">
        <v>76</v>
      </c>
      <c r="C10" s="867">
        <f>Dropdowns_v2!D160</f>
        <v>1</v>
      </c>
      <c r="D10" s="832"/>
      <c r="E10" s="866" t="s">
        <v>77</v>
      </c>
      <c r="F10" s="834"/>
      <c r="G10" s="874">
        <v>330</v>
      </c>
    </row>
    <row r="11" spans="2:7" ht="14.25" customHeight="1">
      <c r="B11" s="1077" t="s">
        <v>78</v>
      </c>
      <c r="C11" s="868" t="s">
        <v>79</v>
      </c>
      <c r="D11" s="813"/>
      <c r="E11" s="1152" t="s">
        <v>80</v>
      </c>
      <c r="F11" s="1153"/>
      <c r="G11" s="1154">
        <v>187</v>
      </c>
    </row>
    <row r="12" spans="2:7" ht="14.25" customHeight="1" thickBot="1">
      <c r="B12" s="1070" t="s">
        <v>81</v>
      </c>
      <c r="C12" s="1071">
        <f>Dropdowns_v2!D170</f>
        <v>1.1499999999999999</v>
      </c>
      <c r="D12" s="813"/>
      <c r="E12" s="1142" t="s">
        <v>82</v>
      </c>
      <c r="F12" s="1139"/>
      <c r="G12" s="1136" t="s">
        <v>83</v>
      </c>
    </row>
    <row r="13" spans="2:7" ht="14.25" customHeight="1">
      <c r="B13" s="1078" t="s">
        <v>84</v>
      </c>
      <c r="C13" s="1072" t="s">
        <v>85</v>
      </c>
      <c r="D13" s="813"/>
      <c r="E13" s="1277" t="s">
        <v>86</v>
      </c>
      <c r="F13" s="1278"/>
      <c r="G13" s="874">
        <v>221</v>
      </c>
    </row>
    <row r="14" spans="2:7" ht="14.25" customHeight="1">
      <c r="B14" s="1077" t="s">
        <v>87</v>
      </c>
      <c r="C14" s="868">
        <v>2000</v>
      </c>
      <c r="D14" s="813"/>
      <c r="E14" s="1155" t="s">
        <v>88</v>
      </c>
      <c r="F14" s="1156"/>
      <c r="G14" s="874">
        <v>256</v>
      </c>
    </row>
    <row r="15" spans="2:7" ht="14.25" customHeight="1" thickBot="1">
      <c r="B15" s="1079" t="s">
        <v>89</v>
      </c>
      <c r="C15" s="1056">
        <v>8000</v>
      </c>
      <c r="D15" s="813"/>
      <c r="E15" s="1157" t="s">
        <v>90</v>
      </c>
      <c r="F15" s="1158"/>
      <c r="G15" s="1159">
        <v>205</v>
      </c>
    </row>
    <row r="16" spans="2:7" ht="14.25" customHeight="1" thickBot="1">
      <c r="B16" s="1074" t="s">
        <v>91</v>
      </c>
      <c r="C16" s="872">
        <v>32000</v>
      </c>
      <c r="D16" s="813"/>
      <c r="E16" s="1134" t="s">
        <v>92</v>
      </c>
      <c r="F16" s="1135"/>
      <c r="G16" s="1136">
        <f>Dropdowns_v2!D27</f>
        <v>153.6</v>
      </c>
    </row>
    <row r="17" spans="2:7" ht="14.25" customHeight="1" thickBot="1">
      <c r="B17" s="1074" t="s">
        <v>93</v>
      </c>
      <c r="C17" s="872">
        <v>35000</v>
      </c>
      <c r="D17" s="813"/>
      <c r="E17" s="1160" t="s">
        <v>94</v>
      </c>
      <c r="F17" s="1161"/>
      <c r="G17" s="1162">
        <v>108</v>
      </c>
    </row>
    <row r="18" spans="2:7" ht="14.25" customHeight="1" thickBot="1">
      <c r="B18" s="1073" t="s">
        <v>95</v>
      </c>
      <c r="C18" s="869">
        <f>Dropdowns_v2!D185</f>
        <v>200</v>
      </c>
      <c r="D18" s="813"/>
      <c r="E18" s="1142" t="s">
        <v>96</v>
      </c>
      <c r="F18" s="1139"/>
      <c r="G18" s="1163" t="s">
        <v>97</v>
      </c>
    </row>
    <row r="19" spans="2:7" ht="14.25" customHeight="1" thickBot="1">
      <c r="B19" s="870" t="s">
        <v>98</v>
      </c>
      <c r="C19" s="871">
        <f>Dropdowns_v2!D186</f>
        <v>138</v>
      </c>
      <c r="D19" s="813"/>
      <c r="E19" s="1216" t="s">
        <v>99</v>
      </c>
      <c r="F19" s="1216"/>
      <c r="G19" s="1216"/>
    </row>
    <row r="20" spans="2:7" ht="10.5" customHeight="1">
      <c r="B20" s="1228" t="s">
        <v>100</v>
      </c>
      <c r="C20" s="1228"/>
      <c r="D20" s="813"/>
      <c r="E20" s="1226" t="s">
        <v>101</v>
      </c>
      <c r="F20" s="1226"/>
      <c r="G20" s="1226"/>
    </row>
    <row r="21" spans="2:7" ht="10.5" customHeight="1">
      <c r="B21" s="1228" t="s">
        <v>102</v>
      </c>
      <c r="C21" s="1228"/>
      <c r="D21" s="813"/>
      <c r="E21" s="1227" t="s">
        <v>103</v>
      </c>
      <c r="F21" s="1227"/>
      <c r="G21" s="1227"/>
    </row>
    <row r="22" spans="2:7" ht="22.5" customHeight="1">
      <c r="B22" s="1227" t="s">
        <v>104</v>
      </c>
      <c r="C22" s="1227"/>
      <c r="D22" s="813"/>
      <c r="E22" s="813"/>
      <c r="F22" s="813"/>
      <c r="G22" s="813"/>
    </row>
    <row r="23" spans="2:7" ht="15" customHeight="1">
      <c r="B23" s="1235" t="s">
        <v>118</v>
      </c>
      <c r="C23" s="1235"/>
      <c r="D23" s="1235"/>
      <c r="E23" s="1235"/>
      <c r="F23" s="1235"/>
    </row>
    <row r="33"/>
    <row r="49" spans="2:4">
      <c r="B49" s="1212" t="s">
        <v>111</v>
      </c>
      <c r="C49" s="1212"/>
      <c r="D49" s="1212"/>
    </row>
    <row r="50" spans="2:4">
      <c r="B50" s="1213" t="s">
        <v>112</v>
      </c>
      <c r="C50" s="1213"/>
      <c r="D50" s="1213"/>
    </row>
    <row r="51" spans="2:4">
      <c r="B51" s="1233" t="s">
        <v>113</v>
      </c>
      <c r="C51" s="1233"/>
      <c r="D51" s="1233"/>
    </row>
    <row r="52" spans="2:4">
      <c r="B52" s="1231" t="s">
        <v>114</v>
      </c>
      <c r="C52" s="1232"/>
      <c r="D52" s="1232"/>
    </row>
    <row r="53" spans="2:4">
      <c r="B53" s="1097" t="s">
        <v>115</v>
      </c>
      <c r="C53" s="929"/>
      <c r="D53" s="929"/>
    </row>
    <row r="54" spans="2:4">
      <c r="B54" s="930" t="s">
        <v>116</v>
      </c>
      <c r="C54" s="814"/>
      <c r="D54" s="814"/>
    </row>
    <row r="55" spans="2:4">
      <c r="B55" s="930" t="s">
        <v>117</v>
      </c>
      <c r="C55" s="814"/>
      <c r="D55" s="814"/>
    </row>
    <row r="56" spans="2:4"/>
  </sheetData>
  <sheetProtection algorithmName="SHA-512" hashValue="mdkT2wIofg5CbjwZvqS1ugwYD1kGGuJK/r9QKzCh0yBQ9fbMoeyO5hFHTM4sUduGLNRRVfdX59m+AKYZQ0zWQQ==" saltValue="glIcuvfXBGJx3zTTo8h06w==" spinCount="100000" sheet="1" objects="1" scenarios="1"/>
  <mergeCells count="17">
    <mergeCell ref="B3:G3"/>
    <mergeCell ref="D6:G6"/>
    <mergeCell ref="B8:C8"/>
    <mergeCell ref="E8:G8"/>
    <mergeCell ref="E9:F9"/>
    <mergeCell ref="E19:G19"/>
    <mergeCell ref="E13:F13"/>
    <mergeCell ref="E20:G20"/>
    <mergeCell ref="E21:G21"/>
    <mergeCell ref="B22:C22"/>
    <mergeCell ref="B50:D50"/>
    <mergeCell ref="B51:D51"/>
    <mergeCell ref="B52:D52"/>
    <mergeCell ref="B49:D49"/>
    <mergeCell ref="B20:C20"/>
    <mergeCell ref="B21:C21"/>
    <mergeCell ref="B23:F23"/>
  </mergeCells>
  <conditionalFormatting sqref="G9:G18">
    <cfRule type="cellIs" dxfId="3" priority="1" operator="equal">
      <formula>0</formula>
    </cfRule>
    <cfRule type="containsErrors" dxfId="2" priority="2">
      <formula>ISERROR(G9)</formula>
    </cfRule>
  </conditionalFormatting>
  <hyperlinks>
    <hyperlink ref="B50" r:id="rId1" display="HPD REDi webpage" xr:uid="{86BDD8DA-DBE2-4D65-84F9-D3055630DA4A}"/>
    <hyperlink ref="B51" r:id="rId2" display="FAQ-Selecting the Right Type of Heat Pump ---&gt;" xr:uid="{02741435-D411-4D97-A269-6F193FDA95F7}"/>
    <hyperlink ref="B53" r:id="rId3" display="https://www.nyc.gov/site/hpd/services-and-information/underwriting-electric-high-performance-buildings.page" xr:uid="{39E99762-2141-44CA-AF5D-5D0AED1655A9}"/>
    <hyperlink ref="B54" r:id="rId4" display="https://www.nyc.gov/site/hpd/services-and-information/hpd-heating-policy.page" xr:uid="{EEAE16BD-118F-4CB1-B0F4-A3D8FE321DC6}"/>
    <hyperlink ref="B55" r:id="rId5" xr:uid="{747E1C9E-E09B-4ACC-8149-B1D665C7379E}"/>
    <hyperlink ref="B52" r:id="rId6" xr:uid="{55A2216E-2AF9-4E56-92CF-E337D55F2D2E}"/>
    <hyperlink ref="D6" r:id="rId7" display="FAQ-Selecting the Right Type of Heat Pump ---&gt;" xr:uid="{79F86802-CDA5-4DCA-AEB2-0129AD8E5411}"/>
  </hyperlinks>
  <pageMargins left="0.7" right="0.7" top="0.75" bottom="0.75" header="0.3" footer="0.3"/>
  <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sheetPr>
  <dimension ref="A1:I258"/>
  <sheetViews>
    <sheetView topLeftCell="A166" zoomScaleNormal="100" workbookViewId="0">
      <selection activeCell="B193" sqref="B193"/>
    </sheetView>
  </sheetViews>
  <sheetFormatPr defaultColWidth="8.85546875" defaultRowHeight="12.75"/>
  <cols>
    <col min="1" max="1" width="30.140625" style="281" customWidth="1"/>
    <col min="2" max="2" width="45.85546875" style="289" customWidth="1"/>
    <col min="3" max="3" width="35.140625" style="289" customWidth="1"/>
    <col min="4" max="4" width="19.7109375" style="285" customWidth="1"/>
    <col min="5" max="5" width="11.42578125" style="291" customWidth="1"/>
    <col min="6" max="6" width="54" style="289" customWidth="1"/>
    <col min="7" max="7" width="47.7109375" style="291" customWidth="1"/>
    <col min="8" max="8" width="8.85546875" style="280"/>
    <col min="9" max="9" width="49.7109375" style="280" customWidth="1"/>
    <col min="10" max="16384" width="8.85546875" style="280"/>
  </cols>
  <sheetData>
    <row r="1" spans="1:7">
      <c r="A1" s="278" t="s">
        <v>768</v>
      </c>
      <c r="B1" s="278" t="s">
        <v>769</v>
      </c>
      <c r="C1" s="279" t="s">
        <v>770</v>
      </c>
      <c r="D1" s="279" t="s">
        <v>771</v>
      </c>
      <c r="E1" s="279" t="s">
        <v>772</v>
      </c>
      <c r="F1" s="279" t="s">
        <v>164</v>
      </c>
      <c r="G1" s="501" t="s">
        <v>773</v>
      </c>
    </row>
    <row r="2" spans="1:7">
      <c r="A2" s="1007"/>
      <c r="B2" s="282" t="s">
        <v>774</v>
      </c>
      <c r="C2" s="282" t="s">
        <v>435</v>
      </c>
      <c r="D2" s="283">
        <v>0</v>
      </c>
      <c r="E2" s="284" t="s">
        <v>775</v>
      </c>
      <c r="F2" s="282"/>
    </row>
    <row r="3" spans="1:7">
      <c r="A3" s="1007"/>
      <c r="B3" s="286" t="s">
        <v>776</v>
      </c>
      <c r="C3" s="282" t="s">
        <v>435</v>
      </c>
      <c r="D3" s="283">
        <v>50</v>
      </c>
      <c r="E3" s="284" t="s">
        <v>775</v>
      </c>
      <c r="F3" s="282" t="s">
        <v>777</v>
      </c>
      <c r="G3" s="291" t="s">
        <v>778</v>
      </c>
    </row>
    <row r="4" spans="1:7">
      <c r="A4" s="1008"/>
      <c r="B4" s="286" t="s">
        <v>779</v>
      </c>
      <c r="C4" s="282" t="s">
        <v>435</v>
      </c>
      <c r="D4" s="283">
        <v>55</v>
      </c>
      <c r="E4" s="284" t="s">
        <v>775</v>
      </c>
      <c r="F4" s="282" t="s">
        <v>780</v>
      </c>
    </row>
    <row r="5" spans="1:7">
      <c r="A5" s="1007"/>
      <c r="B5" s="286" t="s">
        <v>244</v>
      </c>
      <c r="C5" s="282" t="s">
        <v>435</v>
      </c>
      <c r="D5" s="283">
        <v>50</v>
      </c>
      <c r="E5" s="284" t="s">
        <v>775</v>
      </c>
      <c r="F5" s="282" t="s">
        <v>777</v>
      </c>
      <c r="G5" s="291" t="s">
        <v>19</v>
      </c>
    </row>
    <row r="6" spans="1:7">
      <c r="A6" s="1009"/>
      <c r="B6" s="286" t="s">
        <v>243</v>
      </c>
      <c r="C6" s="282" t="s">
        <v>435</v>
      </c>
      <c r="D6" s="288">
        <v>27</v>
      </c>
      <c r="E6" s="284" t="s">
        <v>775</v>
      </c>
      <c r="F6" s="282" t="s">
        <v>781</v>
      </c>
      <c r="G6" s="282" t="s">
        <v>782</v>
      </c>
    </row>
    <row r="7" spans="1:7">
      <c r="A7" s="1010" t="s">
        <v>783</v>
      </c>
      <c r="B7" s="286" t="s">
        <v>784</v>
      </c>
      <c r="C7" s="282" t="s">
        <v>435</v>
      </c>
      <c r="D7" s="288">
        <v>60</v>
      </c>
      <c r="E7" s="284" t="s">
        <v>775</v>
      </c>
      <c r="F7" s="282" t="s">
        <v>785</v>
      </c>
    </row>
    <row r="8" spans="1:7">
      <c r="A8" s="1010" t="s">
        <v>783</v>
      </c>
      <c r="B8" s="286" t="s">
        <v>786</v>
      </c>
      <c r="C8" s="282" t="s">
        <v>435</v>
      </c>
      <c r="D8" s="288">
        <v>55</v>
      </c>
      <c r="E8" s="284" t="s">
        <v>775</v>
      </c>
      <c r="F8" s="282" t="s">
        <v>787</v>
      </c>
    </row>
    <row r="9" spans="1:7">
      <c r="A9" s="1009"/>
      <c r="B9" s="286" t="s">
        <v>242</v>
      </c>
      <c r="C9" s="282" t="s">
        <v>435</v>
      </c>
      <c r="D9" s="288">
        <v>22</v>
      </c>
      <c r="E9" s="284" t="s">
        <v>775</v>
      </c>
      <c r="F9" s="282" t="s">
        <v>781</v>
      </c>
      <c r="G9" s="282" t="s">
        <v>788</v>
      </c>
    </row>
    <row r="10" spans="1:7" ht="13.5" thickBot="1">
      <c r="A10" s="1009"/>
      <c r="B10" s="962" t="s">
        <v>789</v>
      </c>
      <c r="C10" s="620" t="s">
        <v>435</v>
      </c>
      <c r="D10" s="975">
        <v>47.5</v>
      </c>
      <c r="E10" s="632" t="s">
        <v>775</v>
      </c>
      <c r="F10" s="620" t="s">
        <v>790</v>
      </c>
      <c r="G10" s="630"/>
    </row>
    <row r="11" spans="1:7">
      <c r="A11" s="1007"/>
      <c r="B11" s="616" t="s">
        <v>774</v>
      </c>
      <c r="C11" s="616" t="s">
        <v>437</v>
      </c>
      <c r="D11" s="617">
        <f t="shared" ref="D11:D19" si="0">D2</f>
        <v>0</v>
      </c>
      <c r="E11" s="618" t="s">
        <v>775</v>
      </c>
      <c r="F11" s="616"/>
      <c r="G11" s="626"/>
    </row>
    <row r="12" spans="1:7">
      <c r="A12" s="1007"/>
      <c r="B12" s="286" t="s">
        <v>776</v>
      </c>
      <c r="C12" s="282" t="s">
        <v>437</v>
      </c>
      <c r="D12" s="283">
        <f t="shared" si="0"/>
        <v>50</v>
      </c>
      <c r="E12" s="284" t="s">
        <v>775</v>
      </c>
      <c r="F12" s="282" t="s">
        <v>777</v>
      </c>
    </row>
    <row r="13" spans="1:7">
      <c r="A13" s="1007"/>
      <c r="B13" s="286" t="s">
        <v>779</v>
      </c>
      <c r="C13" s="282" t="s">
        <v>437</v>
      </c>
      <c r="D13" s="283">
        <f t="shared" si="0"/>
        <v>55</v>
      </c>
      <c r="E13" s="284" t="s">
        <v>775</v>
      </c>
      <c r="F13" s="282" t="s">
        <v>777</v>
      </c>
    </row>
    <row r="14" spans="1:7">
      <c r="A14" s="1007"/>
      <c r="B14" s="286" t="s">
        <v>244</v>
      </c>
      <c r="C14" s="282" t="s">
        <v>437</v>
      </c>
      <c r="D14" s="283">
        <f t="shared" si="0"/>
        <v>50</v>
      </c>
      <c r="E14" s="284" t="s">
        <v>775</v>
      </c>
      <c r="F14" s="282" t="s">
        <v>777</v>
      </c>
    </row>
    <row r="15" spans="1:7">
      <c r="A15" s="1009"/>
      <c r="B15" s="286" t="s">
        <v>243</v>
      </c>
      <c r="C15" s="282" t="s">
        <v>437</v>
      </c>
      <c r="D15" s="283">
        <f t="shared" si="0"/>
        <v>27</v>
      </c>
      <c r="E15" s="284" t="s">
        <v>775</v>
      </c>
      <c r="F15" s="282" t="s">
        <v>791</v>
      </c>
    </row>
    <row r="16" spans="1:7">
      <c r="A16" s="1010" t="s">
        <v>783</v>
      </c>
      <c r="B16" s="286" t="s">
        <v>784</v>
      </c>
      <c r="C16" s="282" t="s">
        <v>437</v>
      </c>
      <c r="D16" s="283">
        <f t="shared" si="0"/>
        <v>60</v>
      </c>
      <c r="E16" s="284" t="s">
        <v>775</v>
      </c>
      <c r="F16" s="282" t="s">
        <v>792</v>
      </c>
    </row>
    <row r="17" spans="1:7">
      <c r="A17" s="1010" t="s">
        <v>783</v>
      </c>
      <c r="B17" s="286" t="s">
        <v>786</v>
      </c>
      <c r="C17" s="282" t="s">
        <v>437</v>
      </c>
      <c r="D17" s="283">
        <f t="shared" si="0"/>
        <v>55</v>
      </c>
      <c r="E17" s="284" t="s">
        <v>775</v>
      </c>
      <c r="F17" s="282" t="s">
        <v>793</v>
      </c>
    </row>
    <row r="18" spans="1:7">
      <c r="A18" s="1009"/>
      <c r="B18" s="286" t="s">
        <v>242</v>
      </c>
      <c r="C18" s="282" t="s">
        <v>437</v>
      </c>
      <c r="D18" s="283">
        <f t="shared" si="0"/>
        <v>22</v>
      </c>
      <c r="E18" s="284" t="s">
        <v>775</v>
      </c>
      <c r="F18" s="282" t="s">
        <v>794</v>
      </c>
    </row>
    <row r="19" spans="1:7" ht="13.5" thickBot="1">
      <c r="A19" s="1009"/>
      <c r="B19" s="962" t="s">
        <v>789</v>
      </c>
      <c r="C19" s="620" t="s">
        <v>437</v>
      </c>
      <c r="D19" s="631">
        <f t="shared" si="0"/>
        <v>47.5</v>
      </c>
      <c r="E19" s="632" t="s">
        <v>775</v>
      </c>
      <c r="F19" s="620" t="s">
        <v>790</v>
      </c>
      <c r="G19" s="630"/>
    </row>
    <row r="20" spans="1:7">
      <c r="A20" s="1007"/>
      <c r="B20" s="616" t="s">
        <v>795</v>
      </c>
      <c r="C20" s="616" t="s">
        <v>796</v>
      </c>
      <c r="D20" s="976"/>
      <c r="E20" s="618"/>
      <c r="F20" s="616" t="s">
        <v>797</v>
      </c>
      <c r="G20" s="626"/>
    </row>
    <row r="21" spans="1:7">
      <c r="A21" s="1007"/>
      <c r="B21" s="282" t="s">
        <v>798</v>
      </c>
      <c r="C21" s="282" t="s">
        <v>796</v>
      </c>
      <c r="D21" s="288"/>
      <c r="E21" s="284"/>
      <c r="F21" s="282" t="s">
        <v>797</v>
      </c>
    </row>
    <row r="22" spans="1:7">
      <c r="A22" s="1007"/>
      <c r="B22" s="282" t="s">
        <v>799</v>
      </c>
      <c r="C22" s="282" t="s">
        <v>796</v>
      </c>
      <c r="D22" s="288"/>
      <c r="E22" s="284"/>
      <c r="F22" s="282" t="s">
        <v>797</v>
      </c>
    </row>
    <row r="23" spans="1:7">
      <c r="A23" s="1007"/>
      <c r="B23" s="282" t="s">
        <v>800</v>
      </c>
      <c r="C23" s="282" t="s">
        <v>796</v>
      </c>
      <c r="D23" s="288"/>
      <c r="E23" s="284"/>
      <c r="F23" s="282" t="s">
        <v>797</v>
      </c>
    </row>
    <row r="24" spans="1:7">
      <c r="A24" s="1007"/>
      <c r="B24" s="282" t="s">
        <v>774</v>
      </c>
      <c r="C24" s="289" t="s">
        <v>801</v>
      </c>
      <c r="D24" s="290">
        <v>0</v>
      </c>
      <c r="E24" s="284" t="s">
        <v>802</v>
      </c>
      <c r="F24" s="289" t="s">
        <v>803</v>
      </c>
    </row>
    <row r="25" spans="1:7">
      <c r="A25" s="1008"/>
      <c r="B25" s="282" t="s">
        <v>804</v>
      </c>
      <c r="C25" s="289" t="s">
        <v>801</v>
      </c>
      <c r="D25" s="290">
        <v>256</v>
      </c>
      <c r="E25" s="284" t="s">
        <v>802</v>
      </c>
      <c r="F25" s="289" t="s">
        <v>803</v>
      </c>
      <c r="G25" s="291" t="s">
        <v>805</v>
      </c>
    </row>
    <row r="26" spans="1:7">
      <c r="A26" s="1008"/>
      <c r="B26" s="282" t="s">
        <v>806</v>
      </c>
      <c r="C26" s="289" t="s">
        <v>801</v>
      </c>
      <c r="D26" s="290">
        <f>D25*0.8</f>
        <v>204.8</v>
      </c>
      <c r="E26" s="284" t="s">
        <v>802</v>
      </c>
      <c r="F26" s="289" t="s">
        <v>803</v>
      </c>
      <c r="G26" s="291" t="s">
        <v>807</v>
      </c>
    </row>
    <row r="27" spans="1:7">
      <c r="A27" s="1008"/>
      <c r="B27" s="282" t="s">
        <v>808</v>
      </c>
      <c r="C27" s="289" t="s">
        <v>801</v>
      </c>
      <c r="D27" s="290">
        <f>D25*0.6</f>
        <v>153.6</v>
      </c>
      <c r="E27" s="284" t="s">
        <v>802</v>
      </c>
      <c r="F27" s="289" t="s">
        <v>803</v>
      </c>
      <c r="G27" s="291" t="s">
        <v>809</v>
      </c>
    </row>
    <row r="28" spans="1:7">
      <c r="A28" s="1007"/>
      <c r="B28" s="282" t="s">
        <v>774</v>
      </c>
      <c r="C28" s="289" t="s">
        <v>527</v>
      </c>
      <c r="D28" s="290">
        <v>0</v>
      </c>
      <c r="E28" s="284" t="s">
        <v>775</v>
      </c>
      <c r="F28" s="289" t="s">
        <v>810</v>
      </c>
    </row>
    <row r="29" spans="1:7">
      <c r="A29" s="1007"/>
      <c r="B29" s="289" t="s">
        <v>190</v>
      </c>
      <c r="C29" s="289" t="s">
        <v>811</v>
      </c>
      <c r="D29" s="290">
        <v>3</v>
      </c>
      <c r="E29" s="284" t="s">
        <v>775</v>
      </c>
      <c r="F29" s="289" t="s">
        <v>812</v>
      </c>
      <c r="G29" s="291" t="s">
        <v>813</v>
      </c>
    </row>
    <row r="30" spans="1:7">
      <c r="A30" s="1007"/>
      <c r="B30" s="289" t="s">
        <v>814</v>
      </c>
      <c r="C30" s="289" t="s">
        <v>811</v>
      </c>
      <c r="D30" s="290">
        <v>3</v>
      </c>
      <c r="E30" s="284" t="s">
        <v>775</v>
      </c>
      <c r="F30" s="289" t="s">
        <v>812</v>
      </c>
      <c r="G30" s="291" t="s">
        <v>813</v>
      </c>
    </row>
    <row r="31" spans="1:7">
      <c r="A31" s="1007"/>
      <c r="B31" s="289" t="s">
        <v>187</v>
      </c>
      <c r="C31" s="289" t="s">
        <v>811</v>
      </c>
      <c r="D31" s="290">
        <v>0</v>
      </c>
      <c r="E31" s="284" t="s">
        <v>775</v>
      </c>
      <c r="F31" s="289" t="s">
        <v>812</v>
      </c>
    </row>
    <row r="32" spans="1:7">
      <c r="A32" s="1007"/>
      <c r="B32" s="289" t="s">
        <v>371</v>
      </c>
      <c r="C32" s="289" t="s">
        <v>811</v>
      </c>
      <c r="D32" s="290">
        <v>0</v>
      </c>
      <c r="E32" s="284" t="s">
        <v>775</v>
      </c>
      <c r="F32" s="289" t="s">
        <v>812</v>
      </c>
    </row>
    <row r="33" spans="1:8">
      <c r="A33" s="1009"/>
      <c r="B33" s="282" t="s">
        <v>774</v>
      </c>
      <c r="C33" s="289" t="s">
        <v>365</v>
      </c>
      <c r="D33" s="285">
        <v>1</v>
      </c>
      <c r="F33" s="289" t="s">
        <v>815</v>
      </c>
    </row>
    <row r="34" spans="1:8">
      <c r="A34" s="1007"/>
      <c r="B34" s="286" t="s">
        <v>776</v>
      </c>
      <c r="C34" s="289" t="s">
        <v>365</v>
      </c>
      <c r="D34" s="285">
        <v>2.5</v>
      </c>
      <c r="F34" s="289" t="s">
        <v>815</v>
      </c>
    </row>
    <row r="35" spans="1:8">
      <c r="A35" s="1007"/>
      <c r="B35" s="286" t="s">
        <v>779</v>
      </c>
      <c r="C35" s="289" t="s">
        <v>365</v>
      </c>
      <c r="D35" s="285">
        <v>2</v>
      </c>
      <c r="F35" s="289" t="s">
        <v>815</v>
      </c>
    </row>
    <row r="36" spans="1:8">
      <c r="A36" s="1007"/>
      <c r="B36" s="286" t="s">
        <v>244</v>
      </c>
      <c r="C36" s="289" t="s">
        <v>365</v>
      </c>
      <c r="D36" s="285">
        <v>2</v>
      </c>
      <c r="F36" s="289" t="s">
        <v>815</v>
      </c>
    </row>
    <row r="37" spans="1:8">
      <c r="A37" s="1007"/>
      <c r="B37" s="286" t="s">
        <v>243</v>
      </c>
      <c r="C37" s="289" t="s">
        <v>365</v>
      </c>
      <c r="D37" s="285">
        <v>2.5</v>
      </c>
      <c r="F37" s="289" t="s">
        <v>815</v>
      </c>
    </row>
    <row r="38" spans="1:8">
      <c r="A38" s="1010" t="s">
        <v>783</v>
      </c>
      <c r="B38" s="286" t="s">
        <v>784</v>
      </c>
      <c r="C38" s="289" t="s">
        <v>365</v>
      </c>
      <c r="D38" s="285">
        <v>4</v>
      </c>
      <c r="F38" s="289" t="s">
        <v>816</v>
      </c>
    </row>
    <row r="39" spans="1:8">
      <c r="A39" s="1010" t="s">
        <v>783</v>
      </c>
      <c r="B39" s="286" t="s">
        <v>786</v>
      </c>
      <c r="C39" s="289" t="s">
        <v>365</v>
      </c>
      <c r="D39" s="285">
        <v>2.5</v>
      </c>
    </row>
    <row r="40" spans="1:8">
      <c r="A40" s="1007"/>
      <c r="B40" s="286" t="s">
        <v>242</v>
      </c>
      <c r="C40" s="289" t="s">
        <v>365</v>
      </c>
      <c r="D40" s="285">
        <v>2.5</v>
      </c>
      <c r="F40" s="289" t="s">
        <v>815</v>
      </c>
    </row>
    <row r="41" spans="1:8">
      <c r="A41" s="289"/>
      <c r="B41" s="286" t="s">
        <v>789</v>
      </c>
      <c r="C41" s="289" t="s">
        <v>365</v>
      </c>
      <c r="D41" s="285">
        <v>2.25</v>
      </c>
      <c r="F41" s="289" t="s">
        <v>815</v>
      </c>
    </row>
    <row r="42" spans="1:8">
      <c r="A42" s="1008"/>
      <c r="B42" s="282" t="s">
        <v>817</v>
      </c>
      <c r="C42" s="289" t="s">
        <v>818</v>
      </c>
      <c r="D42" s="290">
        <v>12</v>
      </c>
      <c r="F42" s="289" t="s">
        <v>819</v>
      </c>
      <c r="G42" s="291" t="s">
        <v>820</v>
      </c>
      <c r="H42" s="635" t="s">
        <v>821</v>
      </c>
    </row>
    <row r="43" spans="1:8">
      <c r="A43" s="1008"/>
      <c r="B43" s="282" t="s">
        <v>192</v>
      </c>
      <c r="C43" s="289" t="s">
        <v>818</v>
      </c>
      <c r="D43" s="290">
        <v>12</v>
      </c>
      <c r="F43" s="289" t="s">
        <v>819</v>
      </c>
      <c r="G43" s="291" t="s">
        <v>820</v>
      </c>
      <c r="H43" s="635" t="s">
        <v>821</v>
      </c>
    </row>
    <row r="44" spans="1:8">
      <c r="A44" s="1008"/>
      <c r="B44" s="282" t="s">
        <v>822</v>
      </c>
      <c r="C44" s="289" t="s">
        <v>818</v>
      </c>
      <c r="D44" s="290">
        <v>8</v>
      </c>
      <c r="F44" s="289" t="s">
        <v>819</v>
      </c>
      <c r="G44" s="291" t="s">
        <v>823</v>
      </c>
    </row>
    <row r="45" spans="1:8">
      <c r="A45" s="1008"/>
      <c r="B45" s="282" t="s">
        <v>824</v>
      </c>
      <c r="C45" s="289" t="s">
        <v>818</v>
      </c>
      <c r="D45" s="290">
        <v>8</v>
      </c>
      <c r="F45" s="289" t="s">
        <v>819</v>
      </c>
      <c r="G45" s="291" t="s">
        <v>825</v>
      </c>
    </row>
    <row r="46" spans="1:8">
      <c r="A46" s="1008"/>
      <c r="B46" s="282" t="s">
        <v>826</v>
      </c>
      <c r="C46" s="289" t="s">
        <v>818</v>
      </c>
      <c r="D46" s="290">
        <v>8</v>
      </c>
      <c r="F46" s="289" t="s">
        <v>819</v>
      </c>
      <c r="G46" s="291" t="s">
        <v>825</v>
      </c>
    </row>
    <row r="47" spans="1:8">
      <c r="A47" s="1008"/>
      <c r="B47" s="282" t="s">
        <v>827</v>
      </c>
      <c r="C47" s="289" t="s">
        <v>818</v>
      </c>
      <c r="D47" s="290">
        <v>8</v>
      </c>
      <c r="F47" s="289" t="s">
        <v>819</v>
      </c>
      <c r="G47" s="291" t="s">
        <v>825</v>
      </c>
    </row>
    <row r="48" spans="1:8">
      <c r="A48" s="1008"/>
      <c r="B48" s="282" t="s">
        <v>828</v>
      </c>
      <c r="C48" s="289" t="s">
        <v>818</v>
      </c>
      <c r="D48" s="290">
        <v>8</v>
      </c>
      <c r="F48" s="289" t="s">
        <v>819</v>
      </c>
      <c r="G48" s="291" t="s">
        <v>829</v>
      </c>
    </row>
    <row r="49" spans="1:7">
      <c r="A49" s="1008"/>
      <c r="B49" s="282" t="s">
        <v>817</v>
      </c>
      <c r="C49" s="282" t="s">
        <v>319</v>
      </c>
      <c r="D49" s="292">
        <v>0.6</v>
      </c>
      <c r="E49" s="293" t="s">
        <v>830</v>
      </c>
      <c r="F49" s="282" t="s">
        <v>831</v>
      </c>
      <c r="G49" s="296" t="s">
        <v>832</v>
      </c>
    </row>
    <row r="50" spans="1:7">
      <c r="A50" s="1008"/>
      <c r="B50" s="282" t="s">
        <v>192</v>
      </c>
      <c r="C50" s="282" t="s">
        <v>319</v>
      </c>
      <c r="D50" s="292">
        <v>0.6</v>
      </c>
      <c r="E50" s="293" t="s">
        <v>830</v>
      </c>
      <c r="F50" s="282" t="s">
        <v>831</v>
      </c>
      <c r="G50" s="296" t="s">
        <v>832</v>
      </c>
    </row>
    <row r="51" spans="1:7">
      <c r="A51" s="1009"/>
      <c r="B51" s="282" t="s">
        <v>822</v>
      </c>
      <c r="C51" s="282" t="s">
        <v>319</v>
      </c>
      <c r="D51" s="292">
        <v>0.8</v>
      </c>
      <c r="E51" s="293" t="s">
        <v>830</v>
      </c>
      <c r="F51" s="282" t="s">
        <v>831</v>
      </c>
      <c r="G51" s="296"/>
    </row>
    <row r="52" spans="1:7">
      <c r="A52" s="1009"/>
      <c r="B52" s="282" t="s">
        <v>824</v>
      </c>
      <c r="C52" s="282" t="s">
        <v>319</v>
      </c>
      <c r="D52" s="292">
        <v>0.8</v>
      </c>
      <c r="E52" s="293" t="s">
        <v>830</v>
      </c>
      <c r="F52" s="282" t="s">
        <v>831</v>
      </c>
      <c r="G52" s="296"/>
    </row>
    <row r="53" spans="1:7">
      <c r="A53" s="1010" t="s">
        <v>783</v>
      </c>
      <c r="B53" s="282" t="s">
        <v>826</v>
      </c>
      <c r="C53" s="282" t="s">
        <v>319</v>
      </c>
      <c r="D53" s="292">
        <v>0.9</v>
      </c>
      <c r="E53" s="293" t="s">
        <v>830</v>
      </c>
      <c r="F53" s="282" t="s">
        <v>833</v>
      </c>
      <c r="G53" s="296"/>
    </row>
    <row r="54" spans="1:7">
      <c r="A54" s="1007"/>
      <c r="B54" s="282" t="s">
        <v>827</v>
      </c>
      <c r="C54" s="282" t="s">
        <v>319</v>
      </c>
      <c r="D54" s="292">
        <v>1</v>
      </c>
      <c r="E54" s="293" t="s">
        <v>830</v>
      </c>
      <c r="F54" s="282"/>
      <c r="G54" s="296"/>
    </row>
    <row r="55" spans="1:7" ht="13.5" thickBot="1">
      <c r="A55" s="1007"/>
      <c r="B55" s="620" t="s">
        <v>828</v>
      </c>
      <c r="C55" s="620" t="s">
        <v>319</v>
      </c>
      <c r="D55" s="621">
        <v>1</v>
      </c>
      <c r="E55" s="622" t="s">
        <v>830</v>
      </c>
      <c r="F55" s="620"/>
      <c r="G55" s="623"/>
    </row>
    <row r="56" spans="1:7" s="475" customFormat="1">
      <c r="A56" s="472"/>
      <c r="B56" s="472" t="s">
        <v>834</v>
      </c>
      <c r="C56" s="472"/>
      <c r="D56" s="473"/>
      <c r="E56" s="474"/>
      <c r="F56" s="472"/>
      <c r="G56" s="472"/>
    </row>
    <row r="57" spans="1:7">
      <c r="A57" s="1007"/>
      <c r="B57" s="616" t="s">
        <v>835</v>
      </c>
      <c r="C57" s="616" t="s">
        <v>433</v>
      </c>
      <c r="D57" s="617">
        <v>0</v>
      </c>
      <c r="E57" s="618" t="s">
        <v>775</v>
      </c>
      <c r="F57" s="616"/>
      <c r="G57" s="619"/>
    </row>
    <row r="58" spans="1:7">
      <c r="A58" s="1007"/>
      <c r="B58" s="295" t="s">
        <v>252</v>
      </c>
      <c r="C58" s="282" t="s">
        <v>433</v>
      </c>
      <c r="D58" s="283">
        <v>15</v>
      </c>
      <c r="E58" s="284" t="s">
        <v>775</v>
      </c>
      <c r="F58" s="282" t="s">
        <v>777</v>
      </c>
      <c r="G58" s="502">
        <f>D58*700</f>
        <v>10500</v>
      </c>
    </row>
    <row r="59" spans="1:7">
      <c r="A59" s="1007"/>
      <c r="B59" s="296" t="s">
        <v>836</v>
      </c>
      <c r="C59" s="282" t="s">
        <v>433</v>
      </c>
      <c r="D59" s="611">
        <v>25</v>
      </c>
      <c r="E59" s="284" t="s">
        <v>775</v>
      </c>
      <c r="F59" s="282" t="s">
        <v>837</v>
      </c>
      <c r="G59" s="502">
        <f>D59*700</f>
        <v>17500</v>
      </c>
    </row>
    <row r="60" spans="1:7">
      <c r="A60" s="1010" t="s">
        <v>783</v>
      </c>
      <c r="B60" s="296" t="s">
        <v>253</v>
      </c>
      <c r="C60" s="282" t="s">
        <v>433</v>
      </c>
      <c r="D60" s="297">
        <f>D58*0.6</f>
        <v>9</v>
      </c>
      <c r="E60" s="284" t="s">
        <v>775</v>
      </c>
      <c r="F60" s="287" t="s">
        <v>838</v>
      </c>
      <c r="G60" s="502"/>
    </row>
    <row r="61" spans="1:7">
      <c r="A61" s="1010" t="s">
        <v>783</v>
      </c>
      <c r="B61" s="296" t="s">
        <v>789</v>
      </c>
      <c r="C61" s="282" t="s">
        <v>433</v>
      </c>
      <c r="D61" s="283">
        <f>D58</f>
        <v>15</v>
      </c>
      <c r="E61" s="284" t="s">
        <v>775</v>
      </c>
      <c r="F61" s="282" t="s">
        <v>839</v>
      </c>
      <c r="G61" s="502"/>
    </row>
    <row r="62" spans="1:7">
      <c r="A62" s="1007"/>
      <c r="B62" s="295" t="s">
        <v>840</v>
      </c>
      <c r="C62" s="282" t="s">
        <v>433</v>
      </c>
      <c r="D62" s="283">
        <v>5</v>
      </c>
      <c r="E62" s="284" t="s">
        <v>775</v>
      </c>
      <c r="F62" s="282" t="s">
        <v>841</v>
      </c>
      <c r="G62" s="502">
        <f>D62*700</f>
        <v>3500</v>
      </c>
    </row>
    <row r="63" spans="1:7">
      <c r="A63" s="1009"/>
      <c r="B63" s="295" t="s">
        <v>842</v>
      </c>
      <c r="C63" s="282" t="s">
        <v>433</v>
      </c>
      <c r="D63" s="726">
        <v>10</v>
      </c>
      <c r="E63" s="284" t="s">
        <v>775</v>
      </c>
      <c r="F63" s="284" t="s">
        <v>843</v>
      </c>
      <c r="G63" s="502"/>
    </row>
    <row r="64" spans="1:7" ht="13.5" thickBot="1">
      <c r="A64" s="1007"/>
      <c r="B64" s="973" t="s">
        <v>844</v>
      </c>
      <c r="C64" s="620" t="s">
        <v>433</v>
      </c>
      <c r="D64" s="631">
        <v>3</v>
      </c>
      <c r="E64" s="632" t="s">
        <v>775</v>
      </c>
      <c r="F64" s="620" t="s">
        <v>845</v>
      </c>
      <c r="G64" s="633">
        <f>D64*700</f>
        <v>2100</v>
      </c>
    </row>
    <row r="65" spans="1:7">
      <c r="A65" s="1008"/>
      <c r="B65" s="616" t="s">
        <v>835</v>
      </c>
      <c r="C65" s="616" t="s">
        <v>525</v>
      </c>
      <c r="D65" s="617">
        <v>0</v>
      </c>
      <c r="E65" s="618" t="s">
        <v>775</v>
      </c>
      <c r="F65" s="625" t="s">
        <v>846</v>
      </c>
      <c r="G65" s="626"/>
    </row>
    <row r="66" spans="1:7">
      <c r="A66" s="1007"/>
      <c r="B66" s="295" t="s">
        <v>252</v>
      </c>
      <c r="C66" s="282" t="s">
        <v>525</v>
      </c>
      <c r="D66" s="283">
        <v>4</v>
      </c>
      <c r="E66" s="284" t="s">
        <v>775</v>
      </c>
      <c r="F66" s="289" t="s">
        <v>846</v>
      </c>
      <c r="G66" s="291" t="s">
        <v>847</v>
      </c>
    </row>
    <row r="67" spans="1:7">
      <c r="A67" s="1009"/>
      <c r="B67" s="296" t="s">
        <v>253</v>
      </c>
      <c r="C67" s="282" t="s">
        <v>525</v>
      </c>
      <c r="D67" s="283">
        <v>4</v>
      </c>
      <c r="E67" s="284" t="s">
        <v>775</v>
      </c>
      <c r="F67" s="289" t="s">
        <v>846</v>
      </c>
      <c r="G67" s="291" t="s">
        <v>847</v>
      </c>
    </row>
    <row r="68" spans="1:7">
      <c r="A68" s="1007"/>
      <c r="B68" s="296" t="s">
        <v>836</v>
      </c>
      <c r="C68" s="282" t="s">
        <v>525</v>
      </c>
      <c r="D68" s="283">
        <v>4</v>
      </c>
      <c r="E68" s="284" t="s">
        <v>775</v>
      </c>
      <c r="F68" s="289" t="s">
        <v>846</v>
      </c>
      <c r="G68" s="291" t="s">
        <v>847</v>
      </c>
    </row>
    <row r="69" spans="1:7">
      <c r="A69" s="1009"/>
      <c r="B69" s="296" t="s">
        <v>789</v>
      </c>
      <c r="C69" s="282" t="s">
        <v>525</v>
      </c>
      <c r="D69" s="283">
        <v>4</v>
      </c>
      <c r="E69" s="284" t="s">
        <v>775</v>
      </c>
      <c r="F69" s="289" t="s">
        <v>846</v>
      </c>
      <c r="G69" s="291" t="s">
        <v>847</v>
      </c>
    </row>
    <row r="70" spans="1:7">
      <c r="A70" s="1007"/>
      <c r="B70" s="295" t="s">
        <v>840</v>
      </c>
      <c r="C70" s="282" t="s">
        <v>525</v>
      </c>
      <c r="D70" s="283">
        <v>4</v>
      </c>
      <c r="E70" s="284" t="s">
        <v>775</v>
      </c>
      <c r="F70" s="289" t="s">
        <v>846</v>
      </c>
      <c r="G70" s="291" t="s">
        <v>847</v>
      </c>
    </row>
    <row r="71" spans="1:7">
      <c r="A71" s="1007"/>
      <c r="B71" s="295" t="s">
        <v>842</v>
      </c>
      <c r="C71" s="282" t="s">
        <v>525</v>
      </c>
      <c r="D71" s="283">
        <v>4</v>
      </c>
      <c r="E71" s="284" t="s">
        <v>775</v>
      </c>
      <c r="F71" s="289" t="s">
        <v>846</v>
      </c>
      <c r="G71" s="291" t="s">
        <v>847</v>
      </c>
    </row>
    <row r="72" spans="1:7">
      <c r="A72" s="1007"/>
      <c r="B72" s="295" t="s">
        <v>844</v>
      </c>
      <c r="C72" s="282" t="s">
        <v>525</v>
      </c>
      <c r="D72" s="283">
        <v>4</v>
      </c>
      <c r="E72" s="284" t="s">
        <v>775</v>
      </c>
      <c r="F72" s="289" t="s">
        <v>846</v>
      </c>
      <c r="G72" s="291" t="s">
        <v>847</v>
      </c>
    </row>
    <row r="73" spans="1:7">
      <c r="A73" s="1007"/>
      <c r="B73" s="289" t="s">
        <v>383</v>
      </c>
      <c r="C73" s="289" t="s">
        <v>383</v>
      </c>
      <c r="D73" s="285">
        <v>1.76</v>
      </c>
      <c r="F73" s="289" t="s">
        <v>848</v>
      </c>
    </row>
    <row r="74" spans="1:7">
      <c r="A74" s="1008"/>
      <c r="B74" s="282" t="s">
        <v>835</v>
      </c>
      <c r="C74" s="289" t="s">
        <v>638</v>
      </c>
      <c r="D74" s="283">
        <v>0</v>
      </c>
      <c r="E74" s="284" t="s">
        <v>802</v>
      </c>
      <c r="F74" s="289" t="s">
        <v>849</v>
      </c>
    </row>
    <row r="75" spans="1:7">
      <c r="A75" s="1008"/>
      <c r="B75" s="295" t="s">
        <v>252</v>
      </c>
      <c r="C75" s="289" t="s">
        <v>638</v>
      </c>
      <c r="D75" s="290">
        <v>187</v>
      </c>
      <c r="E75" s="284" t="s">
        <v>802</v>
      </c>
      <c r="F75" s="289" t="s">
        <v>849</v>
      </c>
      <c r="G75" s="291" t="s">
        <v>850</v>
      </c>
    </row>
    <row r="76" spans="1:7">
      <c r="A76" s="1010" t="s">
        <v>783</v>
      </c>
      <c r="B76" s="296" t="s">
        <v>253</v>
      </c>
      <c r="C76" s="289" t="s">
        <v>638</v>
      </c>
      <c r="D76" s="283">
        <f>(D75+D184)/2</f>
        <v>153</v>
      </c>
      <c r="E76" s="284" t="s">
        <v>802</v>
      </c>
      <c r="F76" s="289" t="s">
        <v>851</v>
      </c>
    </row>
    <row r="77" spans="1:7">
      <c r="A77" s="1008"/>
      <c r="B77" s="296" t="s">
        <v>836</v>
      </c>
      <c r="C77" s="289" t="s">
        <v>638</v>
      </c>
      <c r="D77" s="290">
        <v>187</v>
      </c>
      <c r="E77" s="284" t="s">
        <v>802</v>
      </c>
      <c r="F77" s="289" t="s">
        <v>849</v>
      </c>
      <c r="G77" s="291" t="s">
        <v>850</v>
      </c>
    </row>
    <row r="78" spans="1:7">
      <c r="A78" s="1008"/>
      <c r="B78" s="296" t="s">
        <v>789</v>
      </c>
      <c r="C78" s="289" t="s">
        <v>638</v>
      </c>
      <c r="D78" s="290">
        <v>187</v>
      </c>
      <c r="E78" s="284" t="s">
        <v>802</v>
      </c>
      <c r="F78" s="289" t="s">
        <v>849</v>
      </c>
      <c r="G78" s="291" t="s">
        <v>850</v>
      </c>
    </row>
    <row r="79" spans="1:7">
      <c r="A79" s="1008"/>
      <c r="B79" s="295" t="s">
        <v>840</v>
      </c>
      <c r="C79" s="289" t="s">
        <v>638</v>
      </c>
      <c r="D79" s="290">
        <v>187</v>
      </c>
      <c r="E79" s="284" t="s">
        <v>802</v>
      </c>
      <c r="F79" s="289" t="s">
        <v>849</v>
      </c>
      <c r="G79" s="291" t="s">
        <v>850</v>
      </c>
    </row>
    <row r="80" spans="1:7">
      <c r="A80" s="1008"/>
      <c r="B80" s="295" t="s">
        <v>842</v>
      </c>
      <c r="C80" s="289" t="s">
        <v>638</v>
      </c>
      <c r="D80" s="290">
        <v>187</v>
      </c>
      <c r="E80" s="284" t="s">
        <v>802</v>
      </c>
      <c r="F80" s="289" t="s">
        <v>849</v>
      </c>
      <c r="G80" s="291" t="s">
        <v>850</v>
      </c>
    </row>
    <row r="81" spans="1:7">
      <c r="A81" s="1010" t="s">
        <v>783</v>
      </c>
      <c r="B81" s="295" t="s">
        <v>844</v>
      </c>
      <c r="C81" s="289" t="s">
        <v>638</v>
      </c>
      <c r="D81" s="283">
        <v>330</v>
      </c>
      <c r="E81" s="284" t="s">
        <v>802</v>
      </c>
      <c r="F81" s="289" t="s">
        <v>852</v>
      </c>
    </row>
    <row r="82" spans="1:7">
      <c r="A82" s="1011"/>
      <c r="B82" s="289" t="s">
        <v>194</v>
      </c>
      <c r="C82" s="289" t="s">
        <v>324</v>
      </c>
      <c r="F82" s="289" t="s">
        <v>853</v>
      </c>
    </row>
    <row r="83" spans="1:7">
      <c r="A83" s="1007"/>
      <c r="B83" s="289" t="s">
        <v>854</v>
      </c>
      <c r="C83" s="289" t="s">
        <v>324</v>
      </c>
      <c r="F83" s="289" t="s">
        <v>853</v>
      </c>
    </row>
    <row r="84" spans="1:7">
      <c r="A84" s="1007"/>
      <c r="B84" s="289" t="s">
        <v>326</v>
      </c>
      <c r="C84" s="289" t="s">
        <v>324</v>
      </c>
      <c r="F84" s="289" t="s">
        <v>853</v>
      </c>
    </row>
    <row r="85" spans="1:7">
      <c r="A85" s="1007"/>
      <c r="B85" s="289" t="s">
        <v>855</v>
      </c>
      <c r="C85" s="289" t="s">
        <v>324</v>
      </c>
      <c r="F85" s="289" t="s">
        <v>853</v>
      </c>
    </row>
    <row r="86" spans="1:7">
      <c r="A86" s="1007"/>
      <c r="B86" s="298" t="s">
        <v>329</v>
      </c>
      <c r="C86" s="298" t="s">
        <v>330</v>
      </c>
      <c r="D86" s="299">
        <v>0.5</v>
      </c>
      <c r="E86" s="300" t="s">
        <v>830</v>
      </c>
      <c r="F86" s="286" t="s">
        <v>856</v>
      </c>
      <c r="G86" s="296"/>
    </row>
    <row r="87" spans="1:7">
      <c r="A87" s="1007"/>
      <c r="B87" s="298" t="s">
        <v>857</v>
      </c>
      <c r="C87" s="298" t="s">
        <v>330</v>
      </c>
      <c r="D87" s="299">
        <v>0.6</v>
      </c>
      <c r="E87" s="300" t="s">
        <v>830</v>
      </c>
      <c r="F87" s="286" t="s">
        <v>856</v>
      </c>
      <c r="G87" s="296"/>
    </row>
    <row r="88" spans="1:7">
      <c r="A88" s="1007"/>
      <c r="B88" s="298" t="s">
        <v>858</v>
      </c>
      <c r="C88" s="298" t="s">
        <v>330</v>
      </c>
      <c r="D88" s="299">
        <v>0.7</v>
      </c>
      <c r="E88" s="300" t="s">
        <v>830</v>
      </c>
      <c r="F88" s="286" t="s">
        <v>856</v>
      </c>
      <c r="G88" s="296"/>
    </row>
    <row r="89" spans="1:7">
      <c r="A89" s="1007"/>
      <c r="B89" s="282" t="s">
        <v>260</v>
      </c>
      <c r="C89" s="289" t="s">
        <v>859</v>
      </c>
      <c r="F89" s="289" t="s">
        <v>860</v>
      </c>
    </row>
    <row r="90" spans="1:7">
      <c r="A90" s="1007"/>
      <c r="B90" s="282" t="s">
        <v>861</v>
      </c>
      <c r="C90" s="289" t="s">
        <v>859</v>
      </c>
      <c r="F90" s="289" t="s">
        <v>860</v>
      </c>
    </row>
    <row r="91" spans="1:7">
      <c r="A91" s="1007"/>
      <c r="B91" s="282" t="s">
        <v>862</v>
      </c>
      <c r="C91" s="289" t="s">
        <v>859</v>
      </c>
      <c r="F91" s="289" t="s">
        <v>860</v>
      </c>
    </row>
    <row r="92" spans="1:7">
      <c r="A92" s="1007"/>
      <c r="B92" s="298" t="s">
        <v>863</v>
      </c>
      <c r="C92" s="289" t="s">
        <v>859</v>
      </c>
    </row>
    <row r="93" spans="1:7" ht="15" customHeight="1">
      <c r="A93" s="1008"/>
      <c r="B93" s="298" t="s">
        <v>260</v>
      </c>
      <c r="C93" s="289" t="s">
        <v>385</v>
      </c>
      <c r="D93" s="299">
        <v>0</v>
      </c>
      <c r="F93" s="289" t="s">
        <v>864</v>
      </c>
    </row>
    <row r="94" spans="1:7">
      <c r="A94" s="1008"/>
      <c r="B94" s="298" t="s">
        <v>861</v>
      </c>
      <c r="C94" s="289" t="s">
        <v>385</v>
      </c>
      <c r="D94" s="301">
        <v>0.05</v>
      </c>
      <c r="F94" s="289" t="s">
        <v>864</v>
      </c>
    </row>
    <row r="95" spans="1:7">
      <c r="A95" s="1008"/>
      <c r="B95" s="298" t="s">
        <v>862</v>
      </c>
      <c r="C95" s="289" t="s">
        <v>385</v>
      </c>
      <c r="D95" s="302">
        <v>0.1</v>
      </c>
      <c r="F95" s="289" t="s">
        <v>864</v>
      </c>
    </row>
    <row r="96" spans="1:7" ht="13.5" thickBot="1">
      <c r="A96" s="1008"/>
      <c r="B96" s="627" t="s">
        <v>863</v>
      </c>
      <c r="C96" s="628" t="s">
        <v>385</v>
      </c>
      <c r="D96" s="629">
        <v>-0.1</v>
      </c>
      <c r="E96" s="630"/>
      <c r="F96" s="628" t="s">
        <v>865</v>
      </c>
      <c r="G96" s="630"/>
    </row>
    <row r="97" spans="1:7" s="475" customFormat="1">
      <c r="A97" s="472"/>
      <c r="B97" s="472" t="s">
        <v>866</v>
      </c>
      <c r="C97" s="472"/>
      <c r="D97" s="473"/>
      <c r="E97" s="474"/>
      <c r="F97" s="472"/>
      <c r="G97" s="472"/>
    </row>
    <row r="98" spans="1:7">
      <c r="A98" s="1008"/>
      <c r="B98" s="624" t="s">
        <v>867</v>
      </c>
      <c r="C98" s="616" t="s">
        <v>443</v>
      </c>
      <c r="D98" s="617"/>
      <c r="E98" s="618" t="s">
        <v>775</v>
      </c>
      <c r="F98" s="625"/>
      <c r="G98" s="626"/>
    </row>
    <row r="99" spans="1:7">
      <c r="A99" s="1007"/>
      <c r="B99" s="282" t="s">
        <v>283</v>
      </c>
      <c r="C99" s="282" t="s">
        <v>443</v>
      </c>
      <c r="D99" s="283">
        <v>0</v>
      </c>
      <c r="E99" s="284" t="s">
        <v>775</v>
      </c>
      <c r="F99" s="282"/>
      <c r="G99" s="502">
        <f t="shared" ref="G99:G101" si="1">D99*700</f>
        <v>0</v>
      </c>
    </row>
    <row r="100" spans="1:7">
      <c r="A100" s="1007"/>
      <c r="B100" s="282" t="s">
        <v>284</v>
      </c>
      <c r="C100" s="282" t="s">
        <v>443</v>
      </c>
      <c r="D100" s="283">
        <v>1</v>
      </c>
      <c r="E100" s="284" t="s">
        <v>775</v>
      </c>
      <c r="F100" s="282" t="s">
        <v>868</v>
      </c>
      <c r="G100" s="502">
        <f t="shared" si="1"/>
        <v>700</v>
      </c>
    </row>
    <row r="101" spans="1:7">
      <c r="A101" s="1007"/>
      <c r="B101" s="282" t="s">
        <v>285</v>
      </c>
      <c r="C101" s="282" t="s">
        <v>443</v>
      </c>
      <c r="D101" s="283">
        <v>3.5</v>
      </c>
      <c r="E101" s="284" t="s">
        <v>775</v>
      </c>
      <c r="F101" s="282" t="s">
        <v>868</v>
      </c>
      <c r="G101" s="502">
        <f t="shared" si="1"/>
        <v>2450</v>
      </c>
    </row>
    <row r="102" spans="1:7">
      <c r="A102" s="1007"/>
      <c r="B102" s="999" t="s">
        <v>867</v>
      </c>
      <c r="C102" s="1000" t="s">
        <v>443</v>
      </c>
      <c r="D102" s="1001"/>
      <c r="E102" s="999" t="s">
        <v>775</v>
      </c>
      <c r="F102" s="1000"/>
      <c r="G102" s="1002"/>
    </row>
    <row r="103" spans="1:7">
      <c r="A103" s="1007"/>
      <c r="B103" s="1000" t="s">
        <v>283</v>
      </c>
      <c r="C103" s="1000" t="s">
        <v>443</v>
      </c>
      <c r="D103" s="1003">
        <v>0</v>
      </c>
      <c r="E103" s="999" t="s">
        <v>869</v>
      </c>
      <c r="F103" s="1000"/>
      <c r="G103" s="1002"/>
    </row>
    <row r="104" spans="1:7">
      <c r="A104" s="1007"/>
      <c r="B104" s="1000" t="s">
        <v>288</v>
      </c>
      <c r="C104" s="1000" t="s">
        <v>443</v>
      </c>
      <c r="D104" s="1003">
        <v>500</v>
      </c>
      <c r="E104" s="999" t="s">
        <v>869</v>
      </c>
      <c r="F104" s="1000" t="s">
        <v>870</v>
      </c>
      <c r="G104" s="1004">
        <v>500</v>
      </c>
    </row>
    <row r="105" spans="1:7">
      <c r="A105" s="1012"/>
      <c r="B105" s="1000" t="s">
        <v>871</v>
      </c>
      <c r="C105" s="1000" t="s">
        <v>443</v>
      </c>
      <c r="D105" s="1003">
        <v>3000</v>
      </c>
      <c r="E105" s="999" t="s">
        <v>869</v>
      </c>
      <c r="F105" s="1000" t="s">
        <v>872</v>
      </c>
      <c r="G105" s="1004">
        <v>3000</v>
      </c>
    </row>
    <row r="106" spans="1:7">
      <c r="A106" s="1007"/>
      <c r="B106" s="1000" t="s">
        <v>873</v>
      </c>
      <c r="C106" s="1000" t="s">
        <v>443</v>
      </c>
      <c r="D106" s="1003">
        <v>500</v>
      </c>
      <c r="E106" s="999" t="s">
        <v>869</v>
      </c>
      <c r="F106" s="1000" t="s">
        <v>874</v>
      </c>
      <c r="G106" s="1004">
        <v>500</v>
      </c>
    </row>
    <row r="107" spans="1:7">
      <c r="A107" s="1007"/>
      <c r="B107" s="1000" t="s">
        <v>875</v>
      </c>
      <c r="C107" s="1000" t="s">
        <v>443</v>
      </c>
      <c r="D107" s="1003">
        <v>1000</v>
      </c>
      <c r="E107" s="999" t="s">
        <v>869</v>
      </c>
      <c r="F107" s="1000" t="s">
        <v>874</v>
      </c>
      <c r="G107" s="1004">
        <v>1000</v>
      </c>
    </row>
    <row r="108" spans="1:7">
      <c r="A108" s="1012"/>
      <c r="B108" s="1000" t="s">
        <v>289</v>
      </c>
      <c r="C108" s="1000" t="s">
        <v>443</v>
      </c>
      <c r="D108" s="1003">
        <v>3500</v>
      </c>
      <c r="E108" s="999" t="s">
        <v>869</v>
      </c>
      <c r="F108" s="1000" t="s">
        <v>874</v>
      </c>
      <c r="G108" s="1004">
        <v>3500</v>
      </c>
    </row>
    <row r="109" spans="1:7">
      <c r="A109" s="1007"/>
      <c r="B109" s="282" t="s">
        <v>876</v>
      </c>
      <c r="C109" s="289" t="s">
        <v>533</v>
      </c>
      <c r="D109" s="283">
        <v>0</v>
      </c>
      <c r="E109" s="284" t="s">
        <v>775</v>
      </c>
      <c r="F109" s="289" t="s">
        <v>846</v>
      </c>
      <c r="G109" s="502">
        <f>Dropdowns_v2!D109*700</f>
        <v>0</v>
      </c>
    </row>
    <row r="110" spans="1:7">
      <c r="A110" s="1007"/>
      <c r="B110" s="282" t="s">
        <v>877</v>
      </c>
      <c r="C110" s="289" t="s">
        <v>533</v>
      </c>
      <c r="D110" s="283">
        <v>0</v>
      </c>
      <c r="E110" s="284" t="s">
        <v>775</v>
      </c>
      <c r="F110" s="289" t="s">
        <v>846</v>
      </c>
      <c r="G110" s="502">
        <f>Dropdowns_v2!D110*700</f>
        <v>0</v>
      </c>
    </row>
    <row r="111" spans="1:7" ht="13.5" thickBot="1">
      <c r="A111" s="1007"/>
      <c r="B111" s="620" t="s">
        <v>867</v>
      </c>
      <c r="C111" s="628" t="s">
        <v>533</v>
      </c>
      <c r="D111" s="631">
        <v>0</v>
      </c>
      <c r="E111" s="632" t="s">
        <v>775</v>
      </c>
      <c r="F111" s="628" t="s">
        <v>846</v>
      </c>
      <c r="G111" s="633"/>
    </row>
    <row r="112" spans="1:7">
      <c r="A112" s="1007"/>
      <c r="B112" s="941" t="s">
        <v>878</v>
      </c>
      <c r="C112" s="942" t="s">
        <v>368</v>
      </c>
      <c r="D112" s="943">
        <v>0</v>
      </c>
      <c r="E112" s="284" t="s">
        <v>775</v>
      </c>
      <c r="F112" s="625" t="s">
        <v>879</v>
      </c>
      <c r="G112" s="944"/>
    </row>
    <row r="113" spans="1:7" s="770" customFormat="1">
      <c r="A113" s="1009"/>
      <c r="B113" s="282" t="s">
        <v>880</v>
      </c>
      <c r="C113" s="289" t="s">
        <v>368</v>
      </c>
      <c r="D113" s="283">
        <v>1.5</v>
      </c>
      <c r="E113" s="284" t="s">
        <v>775</v>
      </c>
      <c r="F113" s="625" t="s">
        <v>879</v>
      </c>
      <c r="G113" s="503"/>
    </row>
    <row r="114" spans="1:7">
      <c r="A114" s="1007"/>
      <c r="B114" s="941" t="s">
        <v>878</v>
      </c>
      <c r="C114" s="942" t="s">
        <v>368</v>
      </c>
      <c r="D114" s="945">
        <v>0</v>
      </c>
      <c r="E114" s="618" t="s">
        <v>830</v>
      </c>
      <c r="F114" s="625" t="s">
        <v>879</v>
      </c>
      <c r="G114" s="946"/>
    </row>
    <row r="115" spans="1:7" s="771" customFormat="1" ht="13.5" thickBot="1">
      <c r="A115" s="1007"/>
      <c r="B115" s="620" t="s">
        <v>880</v>
      </c>
      <c r="C115" s="628" t="s">
        <v>368</v>
      </c>
      <c r="D115" s="947">
        <v>0.1</v>
      </c>
      <c r="E115" s="948" t="s">
        <v>830</v>
      </c>
      <c r="F115" s="949" t="s">
        <v>879</v>
      </c>
      <c r="G115" s="950"/>
    </row>
    <row r="116" spans="1:7">
      <c r="A116" s="1007"/>
      <c r="B116" s="616" t="s">
        <v>881</v>
      </c>
      <c r="C116" s="616" t="s">
        <v>882</v>
      </c>
      <c r="D116" s="617">
        <v>7000</v>
      </c>
      <c r="E116" s="618" t="s">
        <v>775</v>
      </c>
      <c r="F116" s="616" t="s">
        <v>883</v>
      </c>
      <c r="G116" s="619">
        <f>Dropdowns_v2!D116*700</f>
        <v>4900000</v>
      </c>
    </row>
    <row r="117" spans="1:7">
      <c r="A117" s="1007"/>
      <c r="B117" s="282" t="s">
        <v>884</v>
      </c>
      <c r="C117" s="282" t="s">
        <v>882</v>
      </c>
      <c r="D117" s="283">
        <v>0</v>
      </c>
      <c r="E117" s="284" t="s">
        <v>775</v>
      </c>
      <c r="F117" s="282" t="s">
        <v>883</v>
      </c>
      <c r="G117" s="502">
        <f>Dropdowns_v2!D117*700</f>
        <v>0</v>
      </c>
    </row>
    <row r="118" spans="1:7">
      <c r="A118" s="1007"/>
      <c r="B118" s="282" t="s">
        <v>885</v>
      </c>
      <c r="C118" s="282" t="s">
        <v>882</v>
      </c>
      <c r="D118" s="283">
        <v>3.5</v>
      </c>
      <c r="E118" s="284" t="s">
        <v>775</v>
      </c>
      <c r="F118" s="282" t="s">
        <v>883</v>
      </c>
      <c r="G118" s="502">
        <f>Dropdowns_v2!D118*700</f>
        <v>2450</v>
      </c>
    </row>
    <row r="119" spans="1:7">
      <c r="A119" s="1007"/>
      <c r="B119" s="282" t="s">
        <v>886</v>
      </c>
      <c r="C119" s="282" t="s">
        <v>882</v>
      </c>
      <c r="D119" s="283">
        <v>0.5</v>
      </c>
      <c r="E119" s="284" t="s">
        <v>775</v>
      </c>
      <c r="F119" s="282" t="s">
        <v>883</v>
      </c>
      <c r="G119" s="502">
        <f>Dropdowns_v2!D119*700</f>
        <v>350</v>
      </c>
    </row>
    <row r="120" spans="1:7">
      <c r="A120" s="1007"/>
      <c r="B120" s="282" t="s">
        <v>887</v>
      </c>
      <c r="C120" s="282" t="s">
        <v>882</v>
      </c>
      <c r="D120" s="283">
        <f>D118+D119</f>
        <v>4</v>
      </c>
      <c r="E120" s="284" t="s">
        <v>775</v>
      </c>
      <c r="F120" s="282" t="s">
        <v>883</v>
      </c>
      <c r="G120" s="502">
        <f>Dropdowns_v2!D120*700</f>
        <v>2800</v>
      </c>
    </row>
    <row r="121" spans="1:7">
      <c r="A121" s="1007"/>
      <c r="B121" s="282" t="s">
        <v>888</v>
      </c>
      <c r="C121" s="282" t="s">
        <v>882</v>
      </c>
      <c r="D121" s="283">
        <v>0</v>
      </c>
      <c r="E121" s="284" t="s">
        <v>775</v>
      </c>
      <c r="F121" s="282" t="s">
        <v>883</v>
      </c>
      <c r="G121" s="502">
        <f>Dropdowns_v2!D121*700</f>
        <v>0</v>
      </c>
    </row>
    <row r="122" spans="1:7" ht="13.5" thickBot="1">
      <c r="A122" s="1007"/>
      <c r="B122" s="620" t="s">
        <v>889</v>
      </c>
      <c r="C122" s="620" t="s">
        <v>882</v>
      </c>
      <c r="D122" s="631">
        <v>0.5</v>
      </c>
      <c r="E122" s="632" t="s">
        <v>775</v>
      </c>
      <c r="F122" s="620" t="s">
        <v>883</v>
      </c>
      <c r="G122" s="633">
        <f>Dropdowns_v2!D122*700</f>
        <v>350</v>
      </c>
    </row>
    <row r="123" spans="1:7" s="475" customFormat="1">
      <c r="A123" s="472"/>
      <c r="B123" s="472" t="s">
        <v>890</v>
      </c>
      <c r="C123" s="472"/>
      <c r="D123" s="473"/>
      <c r="E123" s="474"/>
      <c r="F123" s="472"/>
      <c r="G123" s="472"/>
    </row>
    <row r="124" spans="1:7">
      <c r="A124" s="1007"/>
      <c r="B124" s="616" t="s">
        <v>891</v>
      </c>
      <c r="C124" s="616" t="s">
        <v>447</v>
      </c>
      <c r="D124" s="617">
        <v>0</v>
      </c>
      <c r="E124" s="618" t="s">
        <v>775</v>
      </c>
      <c r="F124" s="616" t="s">
        <v>892</v>
      </c>
      <c r="G124" s="619">
        <f t="shared" ref="G124:G161" si="2">D124*700</f>
        <v>0</v>
      </c>
    </row>
    <row r="125" spans="1:7">
      <c r="A125" s="1008"/>
      <c r="B125" s="282" t="s">
        <v>266</v>
      </c>
      <c r="C125" s="282" t="s">
        <v>447</v>
      </c>
      <c r="D125" s="283">
        <v>0</v>
      </c>
      <c r="E125" s="284" t="s">
        <v>775</v>
      </c>
      <c r="F125" s="282" t="s">
        <v>892</v>
      </c>
      <c r="G125" s="502">
        <f t="shared" si="2"/>
        <v>0</v>
      </c>
    </row>
    <row r="126" spans="1:7">
      <c r="A126" s="1008"/>
      <c r="B126" s="282" t="s">
        <v>196</v>
      </c>
      <c r="C126" s="282" t="s">
        <v>447</v>
      </c>
      <c r="D126" s="283">
        <v>7.5</v>
      </c>
      <c r="E126" s="284" t="s">
        <v>775</v>
      </c>
      <c r="F126" s="282" t="s">
        <v>893</v>
      </c>
      <c r="G126" s="502">
        <f t="shared" si="2"/>
        <v>5250</v>
      </c>
    </row>
    <row r="127" spans="1:7">
      <c r="A127" s="1008"/>
      <c r="B127" s="282" t="s">
        <v>894</v>
      </c>
      <c r="C127" s="282" t="s">
        <v>447</v>
      </c>
      <c r="D127" s="283">
        <v>20</v>
      </c>
      <c r="E127" s="284" t="s">
        <v>775</v>
      </c>
      <c r="F127" s="282" t="s">
        <v>895</v>
      </c>
      <c r="G127" s="502">
        <f t="shared" si="2"/>
        <v>14000</v>
      </c>
    </row>
    <row r="128" spans="1:7">
      <c r="A128" s="1008"/>
      <c r="B128" s="282" t="s">
        <v>891</v>
      </c>
      <c r="C128" s="289" t="s">
        <v>537</v>
      </c>
      <c r="D128" s="290">
        <v>0</v>
      </c>
      <c r="E128" s="284" t="s">
        <v>775</v>
      </c>
      <c r="F128" s="289" t="s">
        <v>812</v>
      </c>
    </row>
    <row r="129" spans="1:7">
      <c r="A129" s="1008"/>
      <c r="B129" s="282" t="s">
        <v>266</v>
      </c>
      <c r="C129" s="289" t="s">
        <v>537</v>
      </c>
      <c r="D129" s="290">
        <v>0</v>
      </c>
      <c r="E129" s="284" t="s">
        <v>775</v>
      </c>
      <c r="F129" s="289" t="s">
        <v>812</v>
      </c>
    </row>
    <row r="130" spans="1:7">
      <c r="A130" s="1008"/>
      <c r="B130" s="282" t="s">
        <v>196</v>
      </c>
      <c r="C130" s="289" t="s">
        <v>537</v>
      </c>
      <c r="D130" s="290">
        <v>7.5</v>
      </c>
      <c r="E130" s="284" t="s">
        <v>775</v>
      </c>
      <c r="F130" s="289" t="s">
        <v>812</v>
      </c>
      <c r="G130" s="291" t="s">
        <v>896</v>
      </c>
    </row>
    <row r="131" spans="1:7" ht="13.5" thickBot="1">
      <c r="A131" s="1008"/>
      <c r="B131" s="620" t="s">
        <v>894</v>
      </c>
      <c r="C131" s="628" t="s">
        <v>537</v>
      </c>
      <c r="D131" s="974">
        <v>7.5</v>
      </c>
      <c r="E131" s="632" t="s">
        <v>775</v>
      </c>
      <c r="F131" s="628" t="s">
        <v>812</v>
      </c>
      <c r="G131" s="630" t="s">
        <v>896</v>
      </c>
    </row>
    <row r="132" spans="1:7">
      <c r="A132" s="1007"/>
      <c r="B132" s="616" t="s">
        <v>269</v>
      </c>
      <c r="C132" s="616" t="s">
        <v>448</v>
      </c>
      <c r="D132" s="617">
        <v>6</v>
      </c>
      <c r="E132" s="618" t="s">
        <v>775</v>
      </c>
      <c r="F132" s="616" t="s">
        <v>897</v>
      </c>
      <c r="G132" s="619">
        <f t="shared" si="2"/>
        <v>4200</v>
      </c>
    </row>
    <row r="133" spans="1:7">
      <c r="A133" s="1007"/>
      <c r="B133" s="282" t="s">
        <v>898</v>
      </c>
      <c r="C133" s="282" t="s">
        <v>448</v>
      </c>
      <c r="D133" s="283">
        <v>7</v>
      </c>
      <c r="E133" s="284" t="s">
        <v>775</v>
      </c>
      <c r="F133" s="282" t="s">
        <v>897</v>
      </c>
      <c r="G133" s="502">
        <f t="shared" si="2"/>
        <v>4900</v>
      </c>
    </row>
    <row r="134" spans="1:7">
      <c r="A134" s="1007"/>
      <c r="B134" s="282" t="s">
        <v>899</v>
      </c>
      <c r="C134" s="282" t="s">
        <v>448</v>
      </c>
      <c r="D134" s="283">
        <v>0</v>
      </c>
      <c r="E134" s="284" t="s">
        <v>775</v>
      </c>
      <c r="F134" s="282"/>
      <c r="G134" s="502">
        <f t="shared" si="2"/>
        <v>0</v>
      </c>
    </row>
    <row r="135" spans="1:7">
      <c r="A135" s="1007"/>
      <c r="B135" s="282" t="s">
        <v>269</v>
      </c>
      <c r="C135" s="289" t="s">
        <v>539</v>
      </c>
      <c r="D135" s="283">
        <v>6</v>
      </c>
      <c r="E135" s="284" t="s">
        <v>775</v>
      </c>
      <c r="F135" s="289" t="s">
        <v>846</v>
      </c>
    </row>
    <row r="136" spans="1:7">
      <c r="A136" s="1007"/>
      <c r="B136" s="282" t="s">
        <v>898</v>
      </c>
      <c r="C136" s="289" t="s">
        <v>539</v>
      </c>
      <c r="D136" s="283">
        <v>6</v>
      </c>
      <c r="E136" s="284" t="s">
        <v>775</v>
      </c>
      <c r="F136" s="289" t="s">
        <v>846</v>
      </c>
    </row>
    <row r="137" spans="1:7" ht="13.5" thickBot="1">
      <c r="A137" s="1007"/>
      <c r="B137" s="620" t="s">
        <v>899</v>
      </c>
      <c r="C137" s="628" t="s">
        <v>539</v>
      </c>
      <c r="D137" s="974">
        <v>0</v>
      </c>
      <c r="E137" s="632" t="s">
        <v>775</v>
      </c>
      <c r="F137" s="628" t="s">
        <v>846</v>
      </c>
      <c r="G137" s="630"/>
    </row>
    <row r="138" spans="1:7">
      <c r="A138" s="1007"/>
      <c r="B138" s="616" t="s">
        <v>272</v>
      </c>
      <c r="C138" s="616" t="s">
        <v>449</v>
      </c>
      <c r="D138" s="617">
        <v>10</v>
      </c>
      <c r="E138" s="618" t="s">
        <v>775</v>
      </c>
      <c r="F138" s="616" t="s">
        <v>897</v>
      </c>
      <c r="G138" s="619">
        <f t="shared" si="2"/>
        <v>7000</v>
      </c>
    </row>
    <row r="139" spans="1:7">
      <c r="A139" s="1007"/>
      <c r="B139" s="282" t="s">
        <v>900</v>
      </c>
      <c r="C139" s="282" t="s">
        <v>449</v>
      </c>
      <c r="D139" s="283">
        <v>14</v>
      </c>
      <c r="E139" s="284" t="s">
        <v>775</v>
      </c>
      <c r="F139" s="282" t="s">
        <v>901</v>
      </c>
      <c r="G139" s="502">
        <f t="shared" si="2"/>
        <v>9800</v>
      </c>
    </row>
    <row r="140" spans="1:7">
      <c r="A140" s="1007"/>
      <c r="B140" s="282" t="s">
        <v>899</v>
      </c>
      <c r="C140" s="282" t="s">
        <v>449</v>
      </c>
      <c r="D140" s="283">
        <v>0</v>
      </c>
      <c r="E140" s="284" t="s">
        <v>775</v>
      </c>
      <c r="F140" s="282"/>
      <c r="G140" s="502">
        <f t="shared" si="2"/>
        <v>0</v>
      </c>
    </row>
    <row r="141" spans="1:7">
      <c r="A141" s="1007"/>
      <c r="B141" s="282" t="s">
        <v>272</v>
      </c>
      <c r="C141" s="289" t="s">
        <v>541</v>
      </c>
      <c r="D141" s="283">
        <v>10</v>
      </c>
      <c r="E141" s="284" t="s">
        <v>775</v>
      </c>
      <c r="F141" s="289" t="s">
        <v>846</v>
      </c>
    </row>
    <row r="142" spans="1:7">
      <c r="A142" s="1007"/>
      <c r="B142" s="282" t="s">
        <v>900</v>
      </c>
      <c r="C142" s="289" t="s">
        <v>541</v>
      </c>
      <c r="D142" s="283">
        <v>10</v>
      </c>
      <c r="E142" s="284" t="s">
        <v>775</v>
      </c>
      <c r="F142" s="289" t="s">
        <v>846</v>
      </c>
    </row>
    <row r="143" spans="1:7" ht="13.5" thickBot="1">
      <c r="A143" s="1007"/>
      <c r="B143" s="620" t="s">
        <v>899</v>
      </c>
      <c r="C143" s="628" t="s">
        <v>541</v>
      </c>
      <c r="D143" s="974">
        <v>0</v>
      </c>
      <c r="E143" s="632" t="s">
        <v>775</v>
      </c>
      <c r="F143" s="628" t="s">
        <v>846</v>
      </c>
      <c r="G143" s="630"/>
    </row>
    <row r="144" spans="1:7">
      <c r="A144" s="1007"/>
      <c r="B144" s="616" t="s">
        <v>899</v>
      </c>
      <c r="C144" s="616" t="s">
        <v>450</v>
      </c>
      <c r="D144" s="617">
        <v>0</v>
      </c>
      <c r="E144" s="618" t="s">
        <v>775</v>
      </c>
      <c r="F144" s="625"/>
      <c r="G144" s="619">
        <f t="shared" si="2"/>
        <v>0</v>
      </c>
    </row>
    <row r="145" spans="1:8">
      <c r="A145" s="1010" t="s">
        <v>783</v>
      </c>
      <c r="B145" s="282" t="s">
        <v>902</v>
      </c>
      <c r="C145" s="282" t="s">
        <v>450</v>
      </c>
      <c r="D145" s="283">
        <v>2.5</v>
      </c>
      <c r="E145" s="284" t="s">
        <v>775</v>
      </c>
      <c r="F145" s="282" t="s">
        <v>903</v>
      </c>
      <c r="G145" s="502"/>
    </row>
    <row r="146" spans="1:8">
      <c r="A146" s="1008"/>
      <c r="B146" s="282" t="s">
        <v>275</v>
      </c>
      <c r="C146" s="282" t="s">
        <v>450</v>
      </c>
      <c r="D146" s="283">
        <v>20</v>
      </c>
      <c r="E146" s="284" t="s">
        <v>775</v>
      </c>
      <c r="F146" s="282" t="s">
        <v>904</v>
      </c>
      <c r="G146" s="502"/>
    </row>
    <row r="147" spans="1:8">
      <c r="A147" s="1008"/>
      <c r="B147" s="282" t="s">
        <v>905</v>
      </c>
      <c r="C147" s="282" t="s">
        <v>450</v>
      </c>
      <c r="D147" s="283">
        <v>5</v>
      </c>
      <c r="E147" s="284" t="s">
        <v>775</v>
      </c>
      <c r="F147" s="282" t="s">
        <v>904</v>
      </c>
      <c r="G147" s="502">
        <f t="shared" si="2"/>
        <v>3500</v>
      </c>
    </row>
    <row r="148" spans="1:8">
      <c r="A148" s="1008"/>
      <c r="B148" s="282" t="s">
        <v>276</v>
      </c>
      <c r="C148" s="282" t="s">
        <v>450</v>
      </c>
      <c r="D148" s="283">
        <f>(D146+D147)/2</f>
        <v>12.5</v>
      </c>
      <c r="E148" s="284" t="s">
        <v>775</v>
      </c>
      <c r="F148" s="282" t="s">
        <v>906</v>
      </c>
      <c r="G148" s="502">
        <f t="shared" si="2"/>
        <v>8750</v>
      </c>
    </row>
    <row r="149" spans="1:8">
      <c r="A149" s="1008"/>
      <c r="B149" s="282" t="s">
        <v>899</v>
      </c>
      <c r="C149" s="282" t="s">
        <v>363</v>
      </c>
      <c r="D149" s="292">
        <v>0.1</v>
      </c>
      <c r="F149" s="289" t="s">
        <v>815</v>
      </c>
    </row>
    <row r="150" spans="1:8">
      <c r="A150" s="1008"/>
      <c r="B150" s="282" t="s">
        <v>902</v>
      </c>
      <c r="C150" s="282" t="s">
        <v>363</v>
      </c>
      <c r="D150" s="292">
        <v>0.5</v>
      </c>
      <c r="F150" s="282" t="s">
        <v>907</v>
      </c>
    </row>
    <row r="151" spans="1:8">
      <c r="A151" s="1008"/>
      <c r="B151" s="282" t="s">
        <v>275</v>
      </c>
      <c r="C151" s="282" t="s">
        <v>363</v>
      </c>
      <c r="D151" s="292">
        <v>0.5</v>
      </c>
      <c r="E151" s="284"/>
      <c r="F151" s="282" t="s">
        <v>907</v>
      </c>
      <c r="G151" s="502"/>
    </row>
    <row r="152" spans="1:8">
      <c r="A152" s="1008"/>
      <c r="B152" s="282" t="s">
        <v>905</v>
      </c>
      <c r="C152" s="282" t="s">
        <v>363</v>
      </c>
      <c r="D152" s="303">
        <v>0.5</v>
      </c>
      <c r="F152" s="282" t="s">
        <v>907</v>
      </c>
    </row>
    <row r="153" spans="1:8" ht="13.5" thickBot="1">
      <c r="A153" s="1008"/>
      <c r="B153" s="620" t="s">
        <v>276</v>
      </c>
      <c r="C153" s="620" t="s">
        <v>363</v>
      </c>
      <c r="D153" s="634">
        <v>0.5</v>
      </c>
      <c r="E153" s="630"/>
      <c r="F153" s="282" t="s">
        <v>907</v>
      </c>
      <c r="G153" s="630"/>
    </row>
    <row r="154" spans="1:8">
      <c r="A154" s="1007"/>
      <c r="B154" s="616" t="s">
        <v>280</v>
      </c>
      <c r="C154" s="616" t="s">
        <v>441</v>
      </c>
      <c r="D154" s="617">
        <v>0</v>
      </c>
      <c r="E154" s="618" t="s">
        <v>869</v>
      </c>
      <c r="F154" s="625" t="s">
        <v>908</v>
      </c>
      <c r="G154" s="619">
        <v>0</v>
      </c>
      <c r="H154" s="284" t="s">
        <v>775</v>
      </c>
    </row>
    <row r="155" spans="1:8">
      <c r="A155" s="1007"/>
      <c r="B155" s="282" t="s">
        <v>909</v>
      </c>
      <c r="C155" s="282" t="s">
        <v>441</v>
      </c>
      <c r="D155" s="283">
        <v>900</v>
      </c>
      <c r="E155" s="284" t="s">
        <v>869</v>
      </c>
      <c r="F155" s="289" t="s">
        <v>908</v>
      </c>
      <c r="G155" s="502">
        <f>900/750</f>
        <v>1.2</v>
      </c>
      <c r="H155" s="284" t="s">
        <v>775</v>
      </c>
    </row>
    <row r="156" spans="1:8">
      <c r="A156" s="1007"/>
      <c r="B156" s="282" t="s">
        <v>279</v>
      </c>
      <c r="C156" s="282" t="s">
        <v>441</v>
      </c>
      <c r="D156" s="283">
        <v>1350</v>
      </c>
      <c r="E156" s="284" t="s">
        <v>869</v>
      </c>
      <c r="F156" s="289" t="s">
        <v>908</v>
      </c>
      <c r="G156" s="502">
        <f>1350/750</f>
        <v>1.8</v>
      </c>
      <c r="H156" s="284" t="s">
        <v>775</v>
      </c>
    </row>
    <row r="157" spans="1:8">
      <c r="A157" s="1007"/>
      <c r="B157" s="282" t="s">
        <v>910</v>
      </c>
      <c r="C157" s="282" t="s">
        <v>441</v>
      </c>
      <c r="D157" s="283">
        <v>1850</v>
      </c>
      <c r="E157" s="284" t="s">
        <v>869</v>
      </c>
      <c r="F157" s="289" t="s">
        <v>908</v>
      </c>
      <c r="G157" s="502">
        <f>1850/750</f>
        <v>2.4666666666666668</v>
      </c>
      <c r="H157" s="284" t="s">
        <v>775</v>
      </c>
    </row>
    <row r="158" spans="1:8">
      <c r="A158" s="1007"/>
      <c r="B158" s="282" t="s">
        <v>280</v>
      </c>
      <c r="C158" s="282" t="s">
        <v>532</v>
      </c>
      <c r="D158" s="283">
        <v>0</v>
      </c>
      <c r="E158" s="284" t="s">
        <v>775</v>
      </c>
      <c r="F158" s="289" t="s">
        <v>908</v>
      </c>
      <c r="G158" s="503">
        <f t="shared" si="2"/>
        <v>0</v>
      </c>
    </row>
    <row r="159" spans="1:8">
      <c r="A159" s="1007"/>
      <c r="B159" s="282" t="s">
        <v>909</v>
      </c>
      <c r="C159" s="282" t="s">
        <v>532</v>
      </c>
      <c r="D159" s="294">
        <v>1</v>
      </c>
      <c r="E159" s="284" t="s">
        <v>775</v>
      </c>
      <c r="F159" s="289" t="s">
        <v>908</v>
      </c>
      <c r="G159" s="503">
        <f t="shared" si="2"/>
        <v>700</v>
      </c>
    </row>
    <row r="160" spans="1:8">
      <c r="A160" s="1007"/>
      <c r="B160" s="282" t="s">
        <v>279</v>
      </c>
      <c r="C160" s="282" t="s">
        <v>532</v>
      </c>
      <c r="D160" s="294">
        <v>1</v>
      </c>
      <c r="E160" s="284" t="s">
        <v>775</v>
      </c>
      <c r="F160" s="289" t="s">
        <v>908</v>
      </c>
      <c r="G160" s="503">
        <f t="shared" si="2"/>
        <v>700</v>
      </c>
    </row>
    <row r="161" spans="1:9" ht="13.5" thickBot="1">
      <c r="A161" s="1007"/>
      <c r="B161" s="620" t="s">
        <v>910</v>
      </c>
      <c r="C161" s="620" t="s">
        <v>532</v>
      </c>
      <c r="D161" s="953">
        <v>1</v>
      </c>
      <c r="E161" s="632" t="s">
        <v>775</v>
      </c>
      <c r="F161" s="628" t="s">
        <v>908</v>
      </c>
      <c r="G161" s="954">
        <f t="shared" si="2"/>
        <v>700</v>
      </c>
    </row>
    <row r="162" spans="1:9">
      <c r="A162" s="1010" t="s">
        <v>783</v>
      </c>
      <c r="B162" s="625" t="s">
        <v>911</v>
      </c>
      <c r="C162" s="625" t="s">
        <v>912</v>
      </c>
      <c r="D162" s="952">
        <v>1</v>
      </c>
      <c r="E162" s="618" t="s">
        <v>775</v>
      </c>
      <c r="F162" s="625" t="s">
        <v>913</v>
      </c>
      <c r="G162" s="626"/>
    </row>
    <row r="163" spans="1:9" s="475" customFormat="1">
      <c r="A163" s="472"/>
      <c r="B163" s="472" t="s">
        <v>914</v>
      </c>
      <c r="C163" s="472"/>
      <c r="D163" s="473"/>
      <c r="E163" s="474"/>
      <c r="F163" s="472"/>
      <c r="G163" s="472"/>
    </row>
    <row r="164" spans="1:9">
      <c r="A164" s="1013"/>
      <c r="B164" s="659" t="s">
        <v>190</v>
      </c>
      <c r="C164" s="659" t="s">
        <v>352</v>
      </c>
      <c r="D164" s="660">
        <v>4</v>
      </c>
      <c r="E164" s="661" t="s">
        <v>915</v>
      </c>
      <c r="F164" s="659" t="s">
        <v>916</v>
      </c>
      <c r="G164" s="662">
        <v>2024</v>
      </c>
      <c r="H164" s="663"/>
      <c r="I164" s="663"/>
    </row>
    <row r="165" spans="1:9">
      <c r="A165" s="1013"/>
      <c r="B165" s="659" t="s">
        <v>814</v>
      </c>
      <c r="C165" s="659" t="s">
        <v>352</v>
      </c>
      <c r="D165" s="660">
        <v>4</v>
      </c>
      <c r="E165" s="661" t="s">
        <v>915</v>
      </c>
      <c r="F165" s="659" t="s">
        <v>916</v>
      </c>
      <c r="G165" s="662"/>
      <c r="H165" s="663"/>
      <c r="I165" s="663"/>
    </row>
    <row r="166" spans="1:9">
      <c r="A166" s="1008"/>
      <c r="B166" s="282" t="s">
        <v>917</v>
      </c>
      <c r="C166" s="282" t="s">
        <v>352</v>
      </c>
      <c r="D166" s="283">
        <v>0.45</v>
      </c>
      <c r="E166" s="284" t="s">
        <v>915</v>
      </c>
      <c r="F166" s="282" t="s">
        <v>918</v>
      </c>
      <c r="G166" s="296"/>
    </row>
    <row r="167" spans="1:9">
      <c r="A167" s="1008"/>
      <c r="B167" s="282" t="s">
        <v>919</v>
      </c>
      <c r="C167" s="282" t="s">
        <v>352</v>
      </c>
      <c r="D167" s="283">
        <v>0.35</v>
      </c>
      <c r="E167" s="284" t="s">
        <v>915</v>
      </c>
      <c r="F167" s="282" t="s">
        <v>920</v>
      </c>
      <c r="G167" s="296"/>
    </row>
    <row r="168" spans="1:9">
      <c r="A168" s="1009"/>
      <c r="B168" s="289" t="s">
        <v>371</v>
      </c>
      <c r="C168" s="289" t="s">
        <v>370</v>
      </c>
      <c r="D168" s="283">
        <v>0.3</v>
      </c>
      <c r="E168" s="284" t="s">
        <v>915</v>
      </c>
      <c r="F168" s="282" t="s">
        <v>921</v>
      </c>
      <c r="G168" s="296"/>
    </row>
    <row r="169" spans="1:9">
      <c r="A169" s="1008"/>
      <c r="B169" s="282" t="s">
        <v>187</v>
      </c>
      <c r="C169" s="282" t="s">
        <v>198</v>
      </c>
      <c r="D169" s="283">
        <f>2.26*1.04</f>
        <v>2.3504</v>
      </c>
      <c r="E169" s="284" t="s">
        <v>915</v>
      </c>
      <c r="F169" s="282" t="s">
        <v>922</v>
      </c>
      <c r="G169" s="296"/>
    </row>
    <row r="170" spans="1:9" ht="13.5" thickBot="1">
      <c r="A170" s="1008"/>
      <c r="B170" s="620" t="s">
        <v>187</v>
      </c>
      <c r="C170" s="620" t="s">
        <v>200</v>
      </c>
      <c r="D170" s="631">
        <v>1.1499999999999999</v>
      </c>
      <c r="E170" s="632" t="s">
        <v>915</v>
      </c>
      <c r="F170" s="620" t="s">
        <v>922</v>
      </c>
      <c r="G170" s="623"/>
    </row>
    <row r="171" spans="1:9">
      <c r="A171" s="1007"/>
      <c r="B171" s="624" t="s">
        <v>190</v>
      </c>
      <c r="C171" s="624" t="s">
        <v>556</v>
      </c>
      <c r="D171" s="955">
        <v>7.4209999999999996E-5</v>
      </c>
      <c r="E171" s="956" t="s">
        <v>923</v>
      </c>
      <c r="F171" s="957" t="s">
        <v>923</v>
      </c>
      <c r="G171" s="958" t="s">
        <v>924</v>
      </c>
    </row>
    <row r="172" spans="1:9">
      <c r="A172" s="1007"/>
      <c r="B172" s="298" t="s">
        <v>814</v>
      </c>
      <c r="C172" s="298" t="s">
        <v>556</v>
      </c>
      <c r="D172" s="304">
        <v>7.5290000000000006E-5</v>
      </c>
      <c r="E172" s="305" t="s">
        <v>923</v>
      </c>
      <c r="F172" s="286" t="s">
        <v>923</v>
      </c>
      <c r="G172" s="306" t="s">
        <v>924</v>
      </c>
    </row>
    <row r="173" spans="1:9">
      <c r="A173" s="1007"/>
      <c r="B173" s="298" t="s">
        <v>187</v>
      </c>
      <c r="C173" s="298" t="s">
        <v>556</v>
      </c>
      <c r="D173" s="304">
        <v>5.3109999999999998E-5</v>
      </c>
      <c r="E173" s="305" t="s">
        <v>923</v>
      </c>
      <c r="F173" s="286" t="s">
        <v>923</v>
      </c>
      <c r="G173" s="306" t="s">
        <v>924</v>
      </c>
    </row>
    <row r="174" spans="1:9">
      <c r="A174" s="1007"/>
      <c r="B174" s="298" t="s">
        <v>925</v>
      </c>
      <c r="C174" s="298" t="s">
        <v>556</v>
      </c>
      <c r="D174" s="304">
        <v>3.1999999999999999E-5</v>
      </c>
      <c r="E174" s="305" t="s">
        <v>923</v>
      </c>
      <c r="F174" s="286" t="s">
        <v>923</v>
      </c>
      <c r="G174" s="306" t="s">
        <v>924</v>
      </c>
    </row>
    <row r="175" spans="1:9" ht="13.5" thickBot="1">
      <c r="A175" s="1014"/>
      <c r="B175" s="627" t="s">
        <v>371</v>
      </c>
      <c r="C175" s="627" t="s">
        <v>556</v>
      </c>
      <c r="D175" s="960">
        <v>1.45E-4</v>
      </c>
      <c r="E175" s="961" t="s">
        <v>926</v>
      </c>
      <c r="F175" s="962" t="s">
        <v>927</v>
      </c>
      <c r="G175" s="963" t="s">
        <v>924</v>
      </c>
    </row>
    <row r="176" spans="1:9">
      <c r="A176" s="1007"/>
      <c r="B176" s="616" t="s">
        <v>190</v>
      </c>
      <c r="C176" s="625" t="s">
        <v>928</v>
      </c>
      <c r="D176" s="959"/>
      <c r="E176" s="626"/>
      <c r="F176" s="625" t="s">
        <v>929</v>
      </c>
      <c r="G176" s="626" t="s">
        <v>930</v>
      </c>
    </row>
    <row r="177" spans="1:7">
      <c r="A177" s="1007"/>
      <c r="B177" s="282" t="s">
        <v>814</v>
      </c>
      <c r="C177" s="289" t="s">
        <v>928</v>
      </c>
      <c r="F177" s="289" t="s">
        <v>929</v>
      </c>
      <c r="G177" s="291" t="s">
        <v>930</v>
      </c>
    </row>
    <row r="178" spans="1:7">
      <c r="A178" s="1007"/>
      <c r="B178" s="282" t="s">
        <v>187</v>
      </c>
      <c r="C178" s="289" t="s">
        <v>928</v>
      </c>
      <c r="F178" s="882" t="e">
        <f>MIN((F169-Dropdowns_v2!D241),Dropdowns_v2!D241)</f>
        <v>#VALUE!</v>
      </c>
      <c r="G178" s="291" t="s">
        <v>930</v>
      </c>
    </row>
    <row r="179" spans="1:7" ht="13.5" thickBot="1">
      <c r="A179" s="1007"/>
      <c r="B179" s="620" t="s">
        <v>371</v>
      </c>
      <c r="C179" s="628" t="s">
        <v>928</v>
      </c>
      <c r="D179" s="965"/>
      <c r="E179" s="630"/>
      <c r="F179" s="628" t="s">
        <v>929</v>
      </c>
      <c r="G179" s="630" t="s">
        <v>930</v>
      </c>
    </row>
    <row r="180" spans="1:7">
      <c r="A180" s="1010" t="s">
        <v>783</v>
      </c>
      <c r="B180" s="616" t="s">
        <v>931</v>
      </c>
      <c r="C180" s="625" t="s">
        <v>932</v>
      </c>
      <c r="D180" s="964">
        <v>300</v>
      </c>
      <c r="E180" s="618" t="s">
        <v>802</v>
      </c>
      <c r="F180" s="625" t="s">
        <v>933</v>
      </c>
      <c r="G180" s="626" t="s">
        <v>934</v>
      </c>
    </row>
    <row r="181" spans="1:7">
      <c r="A181" s="1008"/>
      <c r="B181" s="282" t="s">
        <v>935</v>
      </c>
      <c r="C181" s="289" t="s">
        <v>932</v>
      </c>
      <c r="D181" s="750">
        <v>221</v>
      </c>
      <c r="E181" s="284" t="s">
        <v>802</v>
      </c>
      <c r="F181" s="289" t="s">
        <v>933</v>
      </c>
      <c r="G181" s="291" t="s">
        <v>934</v>
      </c>
    </row>
    <row r="182" spans="1:7">
      <c r="A182" s="1008"/>
      <c r="B182" s="282" t="s">
        <v>936</v>
      </c>
      <c r="C182" s="289" t="s">
        <v>932</v>
      </c>
      <c r="D182" s="951">
        <v>300</v>
      </c>
      <c r="E182" s="284" t="s">
        <v>802</v>
      </c>
      <c r="F182" s="289" t="s">
        <v>933</v>
      </c>
      <c r="G182" s="291" t="s">
        <v>937</v>
      </c>
    </row>
    <row r="183" spans="1:7">
      <c r="A183" s="1010" t="s">
        <v>783</v>
      </c>
      <c r="B183" s="282" t="s">
        <v>938</v>
      </c>
      <c r="C183" s="289" t="s">
        <v>932</v>
      </c>
      <c r="D183" s="951">
        <v>200</v>
      </c>
      <c r="E183" s="284" t="s">
        <v>802</v>
      </c>
      <c r="F183" s="289" t="s">
        <v>939</v>
      </c>
      <c r="G183" s="291" t="s">
        <v>934</v>
      </c>
    </row>
    <row r="184" spans="1:7">
      <c r="A184" s="1008"/>
      <c r="B184" s="282" t="s">
        <v>940</v>
      </c>
      <c r="C184" s="289" t="s">
        <v>932</v>
      </c>
      <c r="D184" s="951">
        <v>119</v>
      </c>
      <c r="E184" s="284" t="s">
        <v>802</v>
      </c>
      <c r="F184" s="289" t="s">
        <v>941</v>
      </c>
      <c r="G184" s="291" t="s">
        <v>934</v>
      </c>
    </row>
    <row r="185" spans="1:7" ht="13.5" thickBot="1">
      <c r="A185" s="1008"/>
      <c r="B185" s="620" t="s">
        <v>942</v>
      </c>
      <c r="C185" s="628" t="s">
        <v>932</v>
      </c>
      <c r="D185" s="966">
        <v>200</v>
      </c>
      <c r="E185" s="632" t="s">
        <v>802</v>
      </c>
      <c r="F185" s="628" t="s">
        <v>941</v>
      </c>
      <c r="G185" s="630" t="s">
        <v>937</v>
      </c>
    </row>
    <row r="186" spans="1:7">
      <c r="A186" s="1007"/>
      <c r="B186" s="616" t="s">
        <v>190</v>
      </c>
      <c r="C186" s="625" t="s">
        <v>308</v>
      </c>
      <c r="D186" s="959">
        <v>138</v>
      </c>
      <c r="E186" s="626" t="s">
        <v>943</v>
      </c>
      <c r="F186" s="625" t="s">
        <v>812</v>
      </c>
      <c r="G186" s="626"/>
    </row>
    <row r="187" spans="1:7">
      <c r="A187" s="1007"/>
      <c r="B187" s="282" t="s">
        <v>814</v>
      </c>
      <c r="C187" s="289" t="s">
        <v>308</v>
      </c>
      <c r="D187" s="285">
        <v>146</v>
      </c>
      <c r="E187" s="291" t="s">
        <v>943</v>
      </c>
      <c r="F187" s="289" t="s">
        <v>944</v>
      </c>
    </row>
    <row r="188" spans="1:7">
      <c r="A188" s="1007"/>
      <c r="B188" s="282" t="s">
        <v>187</v>
      </c>
      <c r="C188" s="289" t="s">
        <v>308</v>
      </c>
      <c r="D188" s="285">
        <v>100</v>
      </c>
      <c r="E188" s="291" t="s">
        <v>943</v>
      </c>
      <c r="F188" s="289" t="s">
        <v>944</v>
      </c>
    </row>
    <row r="189" spans="1:7">
      <c r="A189" s="1007"/>
      <c r="B189" s="282" t="s">
        <v>371</v>
      </c>
      <c r="C189" s="289" t="s">
        <v>308</v>
      </c>
      <c r="D189" s="285">
        <v>3.4119999999999999</v>
      </c>
      <c r="E189" s="291" t="s">
        <v>943</v>
      </c>
      <c r="F189" s="289" t="s">
        <v>944</v>
      </c>
    </row>
    <row r="190" spans="1:7" ht="13.5" thickBot="1">
      <c r="A190" s="1007"/>
      <c r="B190" s="620" t="s">
        <v>943</v>
      </c>
      <c r="C190" s="620" t="s">
        <v>945</v>
      </c>
      <c r="D190" s="967">
        <v>0.29307107017</v>
      </c>
      <c r="E190" s="623" t="s">
        <v>946</v>
      </c>
      <c r="F190" s="620"/>
      <c r="G190" s="623"/>
    </row>
    <row r="191" spans="1:7">
      <c r="A191" s="1007"/>
      <c r="B191" s="969" t="s">
        <v>301</v>
      </c>
      <c r="C191" s="969" t="s">
        <v>947</v>
      </c>
      <c r="D191" s="970"/>
      <c r="E191" s="971"/>
      <c r="F191" s="969" t="s">
        <v>948</v>
      </c>
      <c r="G191" s="971"/>
    </row>
    <row r="192" spans="1:7">
      <c r="A192" s="1007"/>
      <c r="B192" s="289" t="s">
        <v>263</v>
      </c>
      <c r="C192" s="289" t="s">
        <v>947</v>
      </c>
      <c r="F192" s="289" t="s">
        <v>948</v>
      </c>
    </row>
    <row r="193" spans="1:7">
      <c r="A193" s="1007"/>
      <c r="B193" s="289" t="s">
        <v>301</v>
      </c>
      <c r="C193" s="289" t="s">
        <v>949</v>
      </c>
      <c r="F193" s="289" t="s">
        <v>948</v>
      </c>
    </row>
    <row r="194" spans="1:7">
      <c r="A194" s="1007"/>
      <c r="B194" s="289" t="s">
        <v>263</v>
      </c>
      <c r="C194" s="289" t="s">
        <v>949</v>
      </c>
      <c r="F194" s="289" t="s">
        <v>948</v>
      </c>
    </row>
    <row r="195" spans="1:7" ht="13.5" thickBot="1">
      <c r="A195" s="1007"/>
      <c r="B195" s="628" t="s">
        <v>950</v>
      </c>
      <c r="C195" s="628" t="s">
        <v>949</v>
      </c>
      <c r="D195" s="965"/>
      <c r="E195" s="630"/>
      <c r="F195" s="628" t="s">
        <v>948</v>
      </c>
      <c r="G195" s="630"/>
    </row>
    <row r="196" spans="1:7">
      <c r="A196" s="1007"/>
      <c r="B196" s="625" t="s">
        <v>317</v>
      </c>
      <c r="C196" s="625" t="s">
        <v>317</v>
      </c>
      <c r="D196" s="968">
        <v>0.75</v>
      </c>
      <c r="E196" s="626"/>
      <c r="F196" s="625" t="s">
        <v>951</v>
      </c>
      <c r="G196" s="626"/>
    </row>
    <row r="197" spans="1:7">
      <c r="A197" s="1007"/>
      <c r="B197" s="289" t="s">
        <v>591</v>
      </c>
      <c r="C197" s="289" t="s">
        <v>591</v>
      </c>
      <c r="D197" s="285">
        <v>3.4095106405145001E-3</v>
      </c>
      <c r="F197" s="289" t="s">
        <v>952</v>
      </c>
    </row>
    <row r="198" spans="1:7" s="475" customFormat="1">
      <c r="A198" s="472"/>
      <c r="B198" s="472" t="s">
        <v>953</v>
      </c>
      <c r="C198" s="472"/>
      <c r="D198" s="473"/>
      <c r="E198" s="474"/>
      <c r="F198" s="472"/>
      <c r="G198" s="472"/>
    </row>
    <row r="199" spans="1:7">
      <c r="A199" s="1015"/>
      <c r="B199" s="295" t="s">
        <v>954</v>
      </c>
      <c r="C199" s="289" t="s">
        <v>955</v>
      </c>
      <c r="D199" s="290"/>
      <c r="E199" s="284"/>
      <c r="F199" s="289" t="s">
        <v>956</v>
      </c>
    </row>
    <row r="200" spans="1:7">
      <c r="A200" s="1015"/>
      <c r="B200" s="295" t="s">
        <v>957</v>
      </c>
      <c r="C200" s="289" t="s">
        <v>955</v>
      </c>
      <c r="D200" s="290"/>
      <c r="E200" s="284"/>
      <c r="F200" s="289" t="s">
        <v>956</v>
      </c>
    </row>
    <row r="201" spans="1:7">
      <c r="A201" s="1015"/>
      <c r="B201" s="295" t="s">
        <v>210</v>
      </c>
      <c r="C201" s="289" t="s">
        <v>955</v>
      </c>
      <c r="D201" s="290"/>
      <c r="E201" s="284"/>
      <c r="F201" s="289" t="s">
        <v>956</v>
      </c>
    </row>
    <row r="202" spans="1:7">
      <c r="A202" s="1015"/>
      <c r="B202" s="295" t="s">
        <v>958</v>
      </c>
      <c r="C202" s="289" t="s">
        <v>955</v>
      </c>
      <c r="D202" s="290"/>
      <c r="E202" s="284"/>
      <c r="F202" s="289" t="s">
        <v>956</v>
      </c>
    </row>
    <row r="203" spans="1:7">
      <c r="A203" s="1015"/>
      <c r="B203" s="295" t="s">
        <v>959</v>
      </c>
      <c r="C203" s="289" t="s">
        <v>955</v>
      </c>
      <c r="D203" s="290"/>
      <c r="E203" s="284"/>
      <c r="F203" s="289" t="s">
        <v>956</v>
      </c>
    </row>
    <row r="204" spans="1:7">
      <c r="A204" s="1015"/>
      <c r="B204" s="295" t="s">
        <v>960</v>
      </c>
      <c r="C204" s="289" t="s">
        <v>955</v>
      </c>
      <c r="D204" s="290"/>
      <c r="E204" s="284"/>
      <c r="F204" s="289" t="s">
        <v>956</v>
      </c>
    </row>
    <row r="205" spans="1:7" ht="13.5" thickBot="1">
      <c r="A205" s="1015"/>
      <c r="B205" s="973" t="s">
        <v>961</v>
      </c>
      <c r="C205" s="628" t="s">
        <v>955</v>
      </c>
      <c r="D205" s="974"/>
      <c r="E205" s="632"/>
      <c r="F205" s="628" t="s">
        <v>956</v>
      </c>
      <c r="G205" s="630"/>
    </row>
    <row r="206" spans="1:7">
      <c r="A206" s="1007"/>
      <c r="B206" s="616" t="s">
        <v>835</v>
      </c>
      <c r="C206" s="972" t="s">
        <v>403</v>
      </c>
      <c r="D206" s="952">
        <v>0</v>
      </c>
      <c r="E206" s="972" t="s">
        <v>869</v>
      </c>
      <c r="F206" s="972" t="s">
        <v>962</v>
      </c>
      <c r="G206" s="626"/>
    </row>
    <row r="207" spans="1:7">
      <c r="A207" s="1007"/>
      <c r="B207" s="295" t="s">
        <v>252</v>
      </c>
      <c r="C207" s="296" t="s">
        <v>403</v>
      </c>
      <c r="D207" s="290">
        <v>3000</v>
      </c>
      <c r="E207" s="296" t="s">
        <v>869</v>
      </c>
      <c r="F207" s="296" t="s">
        <v>962</v>
      </c>
    </row>
    <row r="208" spans="1:7">
      <c r="A208" s="1007"/>
      <c r="B208" s="296" t="s">
        <v>836</v>
      </c>
      <c r="C208" s="296" t="s">
        <v>403</v>
      </c>
      <c r="D208" s="290">
        <v>3000</v>
      </c>
      <c r="E208" s="296" t="s">
        <v>869</v>
      </c>
      <c r="F208" s="296" t="s">
        <v>962</v>
      </c>
    </row>
    <row r="209" spans="1:7">
      <c r="A209" s="1007"/>
      <c r="B209" s="296" t="s">
        <v>253</v>
      </c>
      <c r="C209" s="296" t="s">
        <v>403</v>
      </c>
      <c r="D209" s="290">
        <v>3000</v>
      </c>
      <c r="E209" s="296" t="s">
        <v>869</v>
      </c>
      <c r="F209" s="296" t="s">
        <v>962</v>
      </c>
    </row>
    <row r="210" spans="1:7">
      <c r="A210" s="1007"/>
      <c r="B210" s="296" t="s">
        <v>789</v>
      </c>
      <c r="C210" s="296" t="s">
        <v>403</v>
      </c>
      <c r="D210" s="290">
        <v>3000</v>
      </c>
      <c r="E210" s="296" t="s">
        <v>869</v>
      </c>
      <c r="F210" s="296" t="s">
        <v>962</v>
      </c>
    </row>
    <row r="211" spans="1:7">
      <c r="A211" s="1007"/>
      <c r="B211" s="295" t="s">
        <v>840</v>
      </c>
      <c r="C211" s="296" t="s">
        <v>403</v>
      </c>
      <c r="D211" s="290">
        <v>3000</v>
      </c>
      <c r="E211" s="296" t="s">
        <v>869</v>
      </c>
      <c r="F211" s="296" t="s">
        <v>962</v>
      </c>
    </row>
    <row r="212" spans="1:7">
      <c r="A212" s="1007"/>
      <c r="B212" s="295" t="s">
        <v>842</v>
      </c>
      <c r="C212" s="296" t="s">
        <v>403</v>
      </c>
      <c r="D212" s="290">
        <v>3000</v>
      </c>
      <c r="E212" s="296" t="s">
        <v>869</v>
      </c>
      <c r="F212" s="296" t="s">
        <v>962</v>
      </c>
    </row>
    <row r="213" spans="1:7">
      <c r="A213" s="1007"/>
      <c r="B213" s="295" t="s">
        <v>844</v>
      </c>
      <c r="C213" s="296" t="s">
        <v>403</v>
      </c>
      <c r="D213" s="290">
        <v>3000</v>
      </c>
      <c r="E213" s="296" t="s">
        <v>869</v>
      </c>
      <c r="F213" s="296" t="s">
        <v>962</v>
      </c>
    </row>
    <row r="214" spans="1:7">
      <c r="A214" s="1007"/>
      <c r="B214" s="282" t="s">
        <v>774</v>
      </c>
      <c r="C214" s="296" t="s">
        <v>405</v>
      </c>
      <c r="D214" s="290">
        <v>0</v>
      </c>
      <c r="E214" s="296" t="s">
        <v>869</v>
      </c>
      <c r="F214" s="296" t="s">
        <v>962</v>
      </c>
    </row>
    <row r="215" spans="1:7">
      <c r="A215" s="1007"/>
      <c r="B215" s="286" t="s">
        <v>776</v>
      </c>
      <c r="C215" s="296" t="s">
        <v>405</v>
      </c>
      <c r="D215" s="290">
        <v>24000</v>
      </c>
      <c r="E215" s="296" t="s">
        <v>869</v>
      </c>
      <c r="F215" s="296" t="s">
        <v>962</v>
      </c>
    </row>
    <row r="216" spans="1:7">
      <c r="A216" s="1007"/>
      <c r="B216" s="286" t="s">
        <v>779</v>
      </c>
      <c r="C216" s="296" t="s">
        <v>405</v>
      </c>
      <c r="D216" s="290">
        <v>24000</v>
      </c>
      <c r="E216" s="296" t="s">
        <v>869</v>
      </c>
      <c r="F216" s="296" t="s">
        <v>962</v>
      </c>
    </row>
    <row r="217" spans="1:7">
      <c r="A217" s="1007"/>
      <c r="B217" s="286" t="s">
        <v>244</v>
      </c>
      <c r="C217" s="296" t="s">
        <v>405</v>
      </c>
      <c r="D217" s="290">
        <v>24000</v>
      </c>
      <c r="E217" s="296" t="s">
        <v>869</v>
      </c>
      <c r="F217" s="296" t="s">
        <v>962</v>
      </c>
      <c r="G217" s="885"/>
    </row>
    <row r="218" spans="1:7">
      <c r="A218" s="1016" t="s">
        <v>963</v>
      </c>
      <c r="B218" s="993" t="s">
        <v>243</v>
      </c>
      <c r="C218" s="994" t="s">
        <v>405</v>
      </c>
      <c r="D218" s="995">
        <v>14000</v>
      </c>
      <c r="E218" s="994" t="s">
        <v>869</v>
      </c>
      <c r="F218" s="994" t="s">
        <v>962</v>
      </c>
      <c r="G218" s="997" t="s">
        <v>964</v>
      </c>
    </row>
    <row r="219" spans="1:7">
      <c r="A219" s="1007"/>
      <c r="B219" s="286" t="s">
        <v>784</v>
      </c>
      <c r="C219" s="296" t="s">
        <v>405</v>
      </c>
      <c r="D219" s="290">
        <v>24000</v>
      </c>
      <c r="E219" s="296" t="s">
        <v>869</v>
      </c>
      <c r="F219" s="296" t="s">
        <v>962</v>
      </c>
    </row>
    <row r="220" spans="1:7">
      <c r="A220" s="1007"/>
      <c r="B220" s="286" t="s">
        <v>786</v>
      </c>
      <c r="C220" s="296" t="s">
        <v>405</v>
      </c>
      <c r="D220" s="290">
        <v>24000</v>
      </c>
      <c r="E220" s="296" t="s">
        <v>869</v>
      </c>
      <c r="F220" s="296" t="s">
        <v>962</v>
      </c>
    </row>
    <row r="221" spans="1:7">
      <c r="A221" s="1016" t="s">
        <v>963</v>
      </c>
      <c r="B221" s="994" t="s">
        <v>242</v>
      </c>
      <c r="C221" s="994" t="s">
        <v>405</v>
      </c>
      <c r="D221" s="995">
        <v>12000</v>
      </c>
      <c r="E221" s="994" t="s">
        <v>869</v>
      </c>
      <c r="F221" s="994" t="s">
        <v>962</v>
      </c>
      <c r="G221" s="997" t="s">
        <v>964</v>
      </c>
    </row>
    <row r="222" spans="1:7">
      <c r="A222" s="1007"/>
      <c r="B222" s="296" t="s">
        <v>789</v>
      </c>
      <c r="C222" s="296" t="s">
        <v>405</v>
      </c>
      <c r="D222" s="290">
        <v>24000</v>
      </c>
      <c r="E222" s="296" t="s">
        <v>869</v>
      </c>
      <c r="F222" s="296" t="s">
        <v>962</v>
      </c>
    </row>
    <row r="223" spans="1:7">
      <c r="A223" s="1007"/>
      <c r="B223" s="662" t="s">
        <v>899</v>
      </c>
      <c r="C223" s="662" t="s">
        <v>411</v>
      </c>
      <c r="D223" s="664">
        <v>0</v>
      </c>
      <c r="E223" s="296" t="s">
        <v>869</v>
      </c>
      <c r="F223" s="296" t="s">
        <v>962</v>
      </c>
    </row>
    <row r="224" spans="1:7">
      <c r="A224" s="1007"/>
      <c r="B224" s="659" t="s">
        <v>902</v>
      </c>
      <c r="C224" s="662" t="s">
        <v>411</v>
      </c>
      <c r="D224" s="664">
        <v>4000</v>
      </c>
      <c r="E224" s="296" t="s">
        <v>869</v>
      </c>
      <c r="F224" s="296" t="s">
        <v>962</v>
      </c>
    </row>
    <row r="225" spans="1:7">
      <c r="A225" s="1007"/>
      <c r="B225" s="659" t="s">
        <v>275</v>
      </c>
      <c r="C225" s="662" t="s">
        <v>411</v>
      </c>
      <c r="D225" s="664">
        <v>4000</v>
      </c>
      <c r="E225" s="296" t="s">
        <v>869</v>
      </c>
      <c r="F225" s="296" t="s">
        <v>962</v>
      </c>
    </row>
    <row r="226" spans="1:7">
      <c r="A226" s="1007"/>
      <c r="B226" s="659" t="s">
        <v>905</v>
      </c>
      <c r="C226" s="662" t="s">
        <v>411</v>
      </c>
      <c r="D226" s="664">
        <v>4000</v>
      </c>
      <c r="E226" s="296" t="s">
        <v>869</v>
      </c>
      <c r="F226" s="296" t="s">
        <v>962</v>
      </c>
    </row>
    <row r="227" spans="1:7">
      <c r="A227" s="1007"/>
      <c r="B227" s="659" t="s">
        <v>276</v>
      </c>
      <c r="C227" s="662" t="s">
        <v>411</v>
      </c>
      <c r="D227" s="664">
        <v>4000</v>
      </c>
      <c r="E227" s="296" t="s">
        <v>869</v>
      </c>
      <c r="F227" s="296" t="s">
        <v>962</v>
      </c>
    </row>
    <row r="228" spans="1:7">
      <c r="A228" s="1020" t="s">
        <v>965</v>
      </c>
      <c r="B228" s="996" t="s">
        <v>894</v>
      </c>
      <c r="C228" s="994" t="s">
        <v>966</v>
      </c>
      <c r="D228" s="995">
        <v>8000</v>
      </c>
      <c r="E228" s="994" t="s">
        <v>869</v>
      </c>
      <c r="F228" s="994" t="s">
        <v>962</v>
      </c>
      <c r="G228" s="291" t="s">
        <v>967</v>
      </c>
    </row>
    <row r="229" spans="1:7">
      <c r="A229" s="1020" t="s">
        <v>965</v>
      </c>
      <c r="B229" s="996" t="s">
        <v>900</v>
      </c>
      <c r="C229" s="994" t="s">
        <v>966</v>
      </c>
      <c r="D229" s="995">
        <v>2000</v>
      </c>
      <c r="E229" s="994" t="s">
        <v>869</v>
      </c>
      <c r="F229" s="994" t="s">
        <v>962</v>
      </c>
      <c r="G229" s="291" t="s">
        <v>967</v>
      </c>
    </row>
    <row r="230" spans="1:7" ht="25.5">
      <c r="A230" s="1020" t="s">
        <v>965</v>
      </c>
      <c r="B230" s="1006" t="s">
        <v>276</v>
      </c>
      <c r="C230" s="994" t="s">
        <v>966</v>
      </c>
      <c r="D230" s="995">
        <v>4000</v>
      </c>
      <c r="E230" s="994" t="s">
        <v>869</v>
      </c>
      <c r="F230" s="994" t="s">
        <v>962</v>
      </c>
      <c r="G230" s="291" t="s">
        <v>967</v>
      </c>
    </row>
    <row r="231" spans="1:7">
      <c r="A231" s="1020" t="s">
        <v>965</v>
      </c>
      <c r="B231" s="996" t="s">
        <v>275</v>
      </c>
      <c r="C231" s="994" t="s">
        <v>966</v>
      </c>
      <c r="D231" s="995">
        <v>8000</v>
      </c>
      <c r="E231" s="994" t="s">
        <v>869</v>
      </c>
      <c r="F231" s="994" t="s">
        <v>962</v>
      </c>
      <c r="G231" s="291" t="s">
        <v>967</v>
      </c>
    </row>
    <row r="232" spans="1:7">
      <c r="A232" s="298"/>
      <c r="B232" s="296" t="s">
        <v>867</v>
      </c>
      <c r="C232" s="289" t="s">
        <v>968</v>
      </c>
      <c r="D232" s="290">
        <v>0</v>
      </c>
      <c r="E232" s="296" t="s">
        <v>869</v>
      </c>
      <c r="F232" s="296" t="s">
        <v>962</v>
      </c>
    </row>
    <row r="233" spans="1:7">
      <c r="A233" s="282"/>
      <c r="B233" s="282" t="s">
        <v>283</v>
      </c>
      <c r="C233" s="289" t="s">
        <v>968</v>
      </c>
      <c r="D233" s="290">
        <v>0</v>
      </c>
      <c r="E233" s="296" t="s">
        <v>869</v>
      </c>
      <c r="F233" s="296" t="s">
        <v>962</v>
      </c>
    </row>
    <row r="234" spans="1:7">
      <c r="A234" s="1020" t="s">
        <v>969</v>
      </c>
      <c r="B234" s="996" t="s">
        <v>284</v>
      </c>
      <c r="C234" s="1021" t="s">
        <v>968</v>
      </c>
      <c r="D234" s="995">
        <v>1000</v>
      </c>
      <c r="E234" s="994" t="s">
        <v>869</v>
      </c>
      <c r="F234" s="994" t="s">
        <v>962</v>
      </c>
    </row>
    <row r="235" spans="1:7">
      <c r="A235" s="1007"/>
      <c r="B235" s="282" t="s">
        <v>285</v>
      </c>
      <c r="C235" s="289" t="s">
        <v>968</v>
      </c>
      <c r="D235" s="290">
        <v>2000</v>
      </c>
      <c r="E235" s="296" t="s">
        <v>869</v>
      </c>
      <c r="F235" s="296" t="s">
        <v>962</v>
      </c>
    </row>
    <row r="236" spans="1:7">
      <c r="A236" s="999"/>
      <c r="B236" s="296" t="s">
        <v>867</v>
      </c>
      <c r="C236" s="289" t="s">
        <v>970</v>
      </c>
      <c r="D236" s="290">
        <v>0</v>
      </c>
      <c r="E236" s="296" t="s">
        <v>869</v>
      </c>
      <c r="F236" s="296" t="s">
        <v>962</v>
      </c>
    </row>
    <row r="237" spans="1:7">
      <c r="A237" s="1000"/>
      <c r="B237" s="1000" t="s">
        <v>283</v>
      </c>
      <c r="C237" s="289" t="s">
        <v>970</v>
      </c>
      <c r="D237" s="290">
        <v>0</v>
      </c>
      <c r="E237" s="296" t="s">
        <v>869</v>
      </c>
      <c r="F237" s="296" t="s">
        <v>962</v>
      </c>
    </row>
    <row r="238" spans="1:7">
      <c r="A238" s="1020" t="s">
        <v>969</v>
      </c>
      <c r="B238" s="1022" t="s">
        <v>971</v>
      </c>
      <c r="C238" s="1021" t="s">
        <v>970</v>
      </c>
      <c r="D238" s="995">
        <v>1000</v>
      </c>
      <c r="E238" s="994" t="s">
        <v>869</v>
      </c>
      <c r="F238" s="994" t="s">
        <v>962</v>
      </c>
    </row>
    <row r="239" spans="1:7">
      <c r="A239" s="1000"/>
      <c r="B239" s="1000" t="s">
        <v>972</v>
      </c>
      <c r="C239" s="289" t="s">
        <v>970</v>
      </c>
      <c r="D239" s="290">
        <v>2000</v>
      </c>
      <c r="E239" s="296" t="s">
        <v>869</v>
      </c>
      <c r="F239" s="296" t="s">
        <v>962</v>
      </c>
    </row>
    <row r="240" spans="1:7">
      <c r="A240" s="583" t="s">
        <v>973</v>
      </c>
      <c r="B240" s="282" t="s">
        <v>974</v>
      </c>
      <c r="C240" s="289" t="s">
        <v>975</v>
      </c>
      <c r="D240" s="564">
        <v>1250000</v>
      </c>
      <c r="E240" s="296"/>
      <c r="F240" s="296" t="s">
        <v>962</v>
      </c>
    </row>
    <row r="241" spans="1:7">
      <c r="A241" s="583" t="s">
        <v>973</v>
      </c>
      <c r="B241" s="282" t="s">
        <v>976</v>
      </c>
      <c r="C241" s="289" t="s">
        <v>975</v>
      </c>
      <c r="D241" s="564">
        <v>2500000</v>
      </c>
      <c r="E241" s="296"/>
      <c r="F241" s="296" t="s">
        <v>962</v>
      </c>
    </row>
    <row r="242" spans="1:7">
      <c r="A242" s="583"/>
      <c r="B242" s="282" t="s">
        <v>977</v>
      </c>
      <c r="C242" s="289" t="s">
        <v>975</v>
      </c>
      <c r="D242" s="564">
        <v>3000000</v>
      </c>
      <c r="E242" s="296"/>
      <c r="F242" s="296" t="s">
        <v>962</v>
      </c>
    </row>
    <row r="243" spans="1:7">
      <c r="A243" s="583"/>
      <c r="B243" s="282" t="s">
        <v>978</v>
      </c>
      <c r="C243" s="289" t="s">
        <v>979</v>
      </c>
      <c r="D243" s="564"/>
      <c r="E243" s="296"/>
      <c r="F243" s="296"/>
    </row>
    <row r="244" spans="1:7">
      <c r="A244" s="583"/>
      <c r="B244" s="282" t="s">
        <v>980</v>
      </c>
      <c r="C244" s="289" t="s">
        <v>979</v>
      </c>
      <c r="D244" s="564"/>
      <c r="E244" s="296"/>
      <c r="F244" s="296"/>
    </row>
    <row r="245" spans="1:7">
      <c r="A245" s="583"/>
      <c r="B245" s="282" t="s">
        <v>204</v>
      </c>
      <c r="C245" s="289" t="s">
        <v>979</v>
      </c>
      <c r="D245" s="564"/>
      <c r="E245" s="296"/>
      <c r="F245" s="296"/>
    </row>
    <row r="246" spans="1:7">
      <c r="A246" s="281" t="s">
        <v>981</v>
      </c>
      <c r="B246" s="307"/>
      <c r="C246" s="307"/>
      <c r="D246" s="307"/>
      <c r="E246" s="307"/>
      <c r="F246" s="307"/>
    </row>
    <row r="247" spans="1:7">
      <c r="A247" s="281" t="s">
        <v>982</v>
      </c>
    </row>
    <row r="248" spans="1:7">
      <c r="A248" s="281" t="s">
        <v>981</v>
      </c>
      <c r="B248" s="308" t="s">
        <v>983</v>
      </c>
      <c r="C248" s="308" t="s">
        <v>983</v>
      </c>
      <c r="D248" s="308" t="s">
        <v>983</v>
      </c>
      <c r="E248" s="308" t="s">
        <v>983</v>
      </c>
      <c r="F248" s="308" t="s">
        <v>983</v>
      </c>
      <c r="G248" s="504" t="s">
        <v>983</v>
      </c>
    </row>
    <row r="251" spans="1:7">
      <c r="B251" s="478" t="s">
        <v>984</v>
      </c>
    </row>
    <row r="252" spans="1:7" ht="15" customHeight="1">
      <c r="B252" s="1286" t="s">
        <v>985</v>
      </c>
      <c r="C252" s="1286"/>
      <c r="D252" s="1286"/>
      <c r="E252" s="1286"/>
      <c r="F252" s="1286"/>
      <c r="G252" s="1286"/>
    </row>
    <row r="253" spans="1:7">
      <c r="B253" s="476" t="s">
        <v>986</v>
      </c>
    </row>
    <row r="254" spans="1:7">
      <c r="B254" s="748" t="s">
        <v>987</v>
      </c>
    </row>
    <row r="255" spans="1:7">
      <c r="B255" s="477" t="s">
        <v>988</v>
      </c>
      <c r="C255" s="747" t="s">
        <v>989</v>
      </c>
      <c r="D255" s="290">
        <v>30</v>
      </c>
      <c r="E255" s="291" t="s">
        <v>990</v>
      </c>
      <c r="F255" s="289" t="s">
        <v>991</v>
      </c>
    </row>
    <row r="256" spans="1:7">
      <c r="B256" s="286" t="s">
        <v>992</v>
      </c>
      <c r="C256" s="747" t="s">
        <v>993</v>
      </c>
      <c r="D256" s="290">
        <v>25</v>
      </c>
      <c r="E256" s="291" t="s">
        <v>990</v>
      </c>
      <c r="F256" s="289" t="s">
        <v>991</v>
      </c>
    </row>
    <row r="258" spans="2:2">
      <c r="B258" s="338"/>
    </row>
  </sheetData>
  <sheetProtection sheet="1" objects="1" scenarios="1"/>
  <autoFilter ref="B1:G248" xr:uid="{00000000-0009-0000-0000-000008000000}"/>
  <mergeCells count="1">
    <mergeCell ref="B252:G252"/>
  </mergeCells>
  <phoneticPr fontId="58" type="noConversion"/>
  <dataValidations disablePrompts="1" count="1">
    <dataValidation allowBlank="1" showInputMessage="1" showErrorMessage="1" sqref="C135:C137" xr:uid="{00000000-0002-0000-0800-000000000000}"/>
  </dataValidations>
  <hyperlinks>
    <hyperlink ref="G171" r:id="rId1" display="https://rules.cityofnewyork.us/wp-content/uploads/2022/12/Final-Rule-Procedures-for-Reporting-on-and-Complying-with-Annual-Greenhouse-Gas-Emissions-for-Certain-Buildings.pdf" xr:uid="{00000000-0004-0000-0800-000000000000}"/>
    <hyperlink ref="G172" r:id="rId2" display="https://rules.cityofnewyork.us/wp-content/uploads/2022/12/Final-Rule-Procedures-for-Reporting-on-and-Complying-with-Annual-Greenhouse-Gas-Emissions-for-Certain-Buildings.pdf" xr:uid="{00000000-0004-0000-0800-000001000000}"/>
    <hyperlink ref="G173" r:id="rId3" display="https://rules.cityofnewyork.us/wp-content/uploads/2022/12/Final-Rule-Procedures-for-Reporting-on-and-Complying-with-Annual-Greenhouse-Gas-Emissions-for-Certain-Buildings.pdf" xr:uid="{00000000-0004-0000-0800-000002000000}"/>
    <hyperlink ref="G174" r:id="rId4" display="https://rules.cityofnewyork.us/wp-content/uploads/2022/12/Final-Rule-Procedures-for-Reporting-on-and-Complying-with-Annual-Greenhouse-Gas-Emissions-for-Certain-Buildings.pdf" xr:uid="{00000000-0004-0000-0800-000003000000}"/>
    <hyperlink ref="G175" r:id="rId5" display="https://rules.cityofnewyork.us/wp-content/uploads/2022/12/Final-Rule-Procedures-for-Reporting-on-and-Complying-with-Annual-Greenhouse-Gas-Emissions-for-Certain-Buildings.pdf" xr:uid="{00000000-0004-0000-0800-000004000000}"/>
  </hyperlinks>
  <pageMargins left="0.7" right="0.7" top="0.75" bottom="0.75" header="0.3" footer="0.3"/>
  <pageSetup orientation="portrait" horizontalDpi="360" verticalDpi="360" r:id="rId6"/>
  <drawing r:id="rId7"/>
  <legacy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9403-46B4-496C-8E79-B79893B0B9A3}">
  <dimension ref="B2:K45"/>
  <sheetViews>
    <sheetView showGridLines="0" topLeftCell="A15" workbookViewId="0">
      <selection activeCell="E15" sqref="E15"/>
    </sheetView>
  </sheetViews>
  <sheetFormatPr defaultRowHeight="15"/>
  <cols>
    <col min="1" max="1" width="10.140625" customWidth="1"/>
    <col min="2" max="2" width="24.140625" customWidth="1"/>
    <col min="3" max="3" width="57" customWidth="1"/>
    <col min="4" max="4" width="2" customWidth="1"/>
    <col min="5" max="5" width="11.7109375" customWidth="1"/>
    <col min="6" max="6" width="10.85546875" customWidth="1"/>
    <col min="7" max="7" width="10.140625" customWidth="1"/>
    <col min="8" max="8" width="9.140625" customWidth="1"/>
    <col min="9" max="9" width="14.28515625" customWidth="1"/>
    <col min="10" max="10" width="14" customWidth="1"/>
    <col min="11" max="11" width="11.85546875" customWidth="1"/>
    <col min="13" max="14" width="9" customWidth="1"/>
  </cols>
  <sheetData>
    <row r="2" spans="2:11" ht="15.75">
      <c r="B2" s="1045" t="s">
        <v>994</v>
      </c>
      <c r="C2" s="1046"/>
      <c r="D2" s="1046"/>
      <c r="E2" s="1046"/>
      <c r="F2" s="1046"/>
      <c r="G2" s="1046"/>
      <c r="H2" s="1046"/>
      <c r="I2" s="1045" t="s">
        <v>995</v>
      </c>
      <c r="J2" s="1046"/>
      <c r="K2" s="1046"/>
    </row>
    <row r="3" spans="2:11" s="494" customFormat="1" ht="45">
      <c r="B3" s="1036" t="s">
        <v>996</v>
      </c>
      <c r="C3" s="1036" t="s">
        <v>997</v>
      </c>
      <c r="D3" s="1036"/>
      <c r="E3" s="1037" t="s">
        <v>998</v>
      </c>
      <c r="F3" s="1036" t="s">
        <v>999</v>
      </c>
      <c r="G3" s="1036" t="s">
        <v>1000</v>
      </c>
      <c r="I3" s="1037" t="s">
        <v>1001</v>
      </c>
      <c r="J3" s="1037" t="s">
        <v>1002</v>
      </c>
      <c r="K3" s="1037" t="s">
        <v>1003</v>
      </c>
    </row>
    <row r="4" spans="2:11">
      <c r="B4" s="1023"/>
      <c r="C4" s="1023"/>
      <c r="D4" s="1023"/>
      <c r="E4" s="1024">
        <v>1</v>
      </c>
      <c r="F4" s="1039">
        <v>0.8</v>
      </c>
      <c r="G4" s="1039">
        <v>0.6</v>
      </c>
      <c r="I4" s="1024">
        <v>1</v>
      </c>
      <c r="J4" s="1024">
        <v>1</v>
      </c>
      <c r="K4" s="1024">
        <v>1</v>
      </c>
    </row>
    <row r="5" spans="2:11" ht="15.75" thickBot="1">
      <c r="B5" s="1038" t="s">
        <v>1004</v>
      </c>
      <c r="C5" s="1032" t="s">
        <v>1005</v>
      </c>
      <c r="D5" s="1032"/>
      <c r="E5" s="1033">
        <v>3000</v>
      </c>
      <c r="F5" s="1033">
        <f>ROUND(E5*F$4,-2)</f>
        <v>2400</v>
      </c>
      <c r="G5" s="1030">
        <f t="shared" ref="G5:G17" si="0">E5*$G$4</f>
        <v>1800</v>
      </c>
      <c r="I5" s="1033">
        <v>3000</v>
      </c>
      <c r="J5" s="1033">
        <v>3000</v>
      </c>
      <c r="K5" s="1033">
        <v>3000</v>
      </c>
    </row>
    <row r="6" spans="2:11">
      <c r="B6" s="1289" t="s">
        <v>1006</v>
      </c>
      <c r="C6" s="1029" t="s">
        <v>1007</v>
      </c>
      <c r="D6" s="1029"/>
      <c r="E6" s="1030">
        <v>24000</v>
      </c>
      <c r="F6" s="1030">
        <f t="shared" ref="F6" si="1">ROUND(E6*F$4,-2)</f>
        <v>19200</v>
      </c>
      <c r="G6" s="1030">
        <f t="shared" si="0"/>
        <v>14400</v>
      </c>
      <c r="I6" s="1030">
        <v>24000</v>
      </c>
      <c r="J6" s="1030"/>
      <c r="K6" s="1030"/>
    </row>
    <row r="7" spans="2:11">
      <c r="B7" s="1290"/>
      <c r="C7" s="354" t="s">
        <v>1008</v>
      </c>
      <c r="D7" s="354"/>
      <c r="E7" s="1053">
        <v>14000</v>
      </c>
      <c r="F7" s="1025">
        <f t="shared" ref="F7" si="2">ROUND(E7*F$4,-2)</f>
        <v>11200</v>
      </c>
      <c r="G7" s="1030">
        <f t="shared" si="0"/>
        <v>8400</v>
      </c>
      <c r="I7" s="1025"/>
      <c r="J7" s="1025">
        <f>E7</f>
        <v>14000</v>
      </c>
      <c r="K7" s="1025"/>
    </row>
    <row r="8" spans="2:11" ht="15.75" thickBot="1">
      <c r="B8" s="1290"/>
      <c r="C8" s="1027" t="s">
        <v>1009</v>
      </c>
      <c r="D8" s="1027"/>
      <c r="E8" s="1028">
        <f>E7-2000</f>
        <v>12000</v>
      </c>
      <c r="F8" s="1028">
        <f t="shared" ref="F8" si="3">ROUND(E8*F$4,-2)</f>
        <v>9600</v>
      </c>
      <c r="G8" s="1030">
        <f t="shared" si="0"/>
        <v>7200</v>
      </c>
      <c r="I8" s="1028"/>
      <c r="J8" s="1028"/>
      <c r="K8" s="1028">
        <f>E8</f>
        <v>12000</v>
      </c>
    </row>
    <row r="9" spans="2:11">
      <c r="B9" s="1288" t="s">
        <v>1010</v>
      </c>
      <c r="C9" s="1048" t="s">
        <v>1011</v>
      </c>
      <c r="D9" s="577" t="s">
        <v>1012</v>
      </c>
      <c r="E9" s="1026">
        <v>2000</v>
      </c>
      <c r="F9" s="1026">
        <f t="shared" ref="F9" si="4">ROUND(E9*F$4,-2)</f>
        <v>1600</v>
      </c>
      <c r="G9" s="1030">
        <f t="shared" si="0"/>
        <v>1200</v>
      </c>
      <c r="I9" s="1026"/>
      <c r="J9" s="1026">
        <f>E9</f>
        <v>2000</v>
      </c>
      <c r="K9" s="1026"/>
    </row>
    <row r="10" spans="2:11" ht="15.75" thickBot="1">
      <c r="B10" s="1288"/>
      <c r="C10" s="1049" t="s">
        <v>1013</v>
      </c>
      <c r="D10" s="1027" t="s">
        <v>1012</v>
      </c>
      <c r="E10" s="1028">
        <v>4000</v>
      </c>
      <c r="F10" s="1028">
        <f t="shared" ref="F10" si="5">ROUND(E10*F$4,-2)</f>
        <v>3200</v>
      </c>
      <c r="G10" s="1030">
        <f t="shared" si="0"/>
        <v>2400</v>
      </c>
      <c r="I10" s="1028">
        <f>E10</f>
        <v>4000</v>
      </c>
      <c r="J10" s="1028"/>
      <c r="K10" s="1028"/>
    </row>
    <row r="11" spans="2:11">
      <c r="B11" s="1047" t="s">
        <v>1014</v>
      </c>
      <c r="C11" s="1050" t="s">
        <v>1015</v>
      </c>
      <c r="D11" s="1029"/>
      <c r="E11" s="1030">
        <v>4000</v>
      </c>
      <c r="F11" s="1030">
        <f t="shared" ref="F11" si="6">ROUND(E11*F$4,-2)</f>
        <v>3200</v>
      </c>
      <c r="G11" s="1030">
        <f t="shared" si="0"/>
        <v>2400</v>
      </c>
      <c r="I11" s="1030">
        <v>4000</v>
      </c>
      <c r="J11" s="1030">
        <v>4000</v>
      </c>
      <c r="K11" s="1030">
        <v>4000</v>
      </c>
    </row>
    <row r="12" spans="2:11">
      <c r="B12" s="1287" t="s">
        <v>1016</v>
      </c>
      <c r="C12" s="1051" t="s">
        <v>1017</v>
      </c>
      <c r="D12" s="354" t="s">
        <v>1012</v>
      </c>
      <c r="E12" s="1025">
        <v>4000</v>
      </c>
      <c r="F12" s="1025">
        <f t="shared" ref="F12:F13" si="7">ROUND(E12*F$4,-2)</f>
        <v>3200</v>
      </c>
      <c r="G12" s="1030">
        <f t="shared" si="0"/>
        <v>2400</v>
      </c>
      <c r="I12" s="1025"/>
      <c r="J12" s="1025">
        <f>E12</f>
        <v>4000</v>
      </c>
      <c r="K12" s="1025"/>
    </row>
    <row r="13" spans="2:11">
      <c r="B13" s="1287"/>
      <c r="C13" s="1051" t="s">
        <v>1018</v>
      </c>
      <c r="D13" s="354" t="s">
        <v>1012</v>
      </c>
      <c r="E13" s="1025">
        <v>8000</v>
      </c>
      <c r="F13" s="1025">
        <f t="shared" si="7"/>
        <v>6400</v>
      </c>
      <c r="G13" s="1030">
        <f t="shared" si="0"/>
        <v>4800</v>
      </c>
      <c r="I13" s="1025"/>
      <c r="J13" s="1025"/>
      <c r="K13" s="1025">
        <f>E13</f>
        <v>8000</v>
      </c>
    </row>
    <row r="14" spans="2:11">
      <c r="B14" s="1287"/>
      <c r="C14" s="1051" t="s">
        <v>1019</v>
      </c>
      <c r="D14" s="354" t="s">
        <v>1012</v>
      </c>
      <c r="E14" s="1025">
        <v>2000</v>
      </c>
      <c r="F14" s="1025">
        <f t="shared" ref="F14" si="8">ROUND(E14*F$4,-2)</f>
        <v>1600</v>
      </c>
      <c r="G14" s="1030">
        <f t="shared" si="0"/>
        <v>1200</v>
      </c>
      <c r="I14" s="1025"/>
      <c r="J14" s="1025"/>
      <c r="K14" s="1025"/>
    </row>
    <row r="15" spans="2:11" ht="15.75" thickBot="1">
      <c r="B15" s="1287"/>
      <c r="C15" s="1049" t="s">
        <v>1020</v>
      </c>
      <c r="D15" s="1027" t="s">
        <v>1012</v>
      </c>
      <c r="E15" s="1028">
        <v>8000</v>
      </c>
      <c r="F15" s="1028">
        <f t="shared" ref="F15" si="9">ROUND(E15*F$4,-2)</f>
        <v>6400</v>
      </c>
      <c r="G15" s="1030">
        <f t="shared" si="0"/>
        <v>4800</v>
      </c>
      <c r="I15" s="1028"/>
      <c r="J15" s="1028">
        <f>E15</f>
        <v>8000</v>
      </c>
      <c r="K15" s="1028">
        <f>E15</f>
        <v>8000</v>
      </c>
    </row>
    <row r="16" spans="2:11">
      <c r="B16" s="1029" t="s">
        <v>1021</v>
      </c>
      <c r="C16" s="1029"/>
      <c r="D16" s="1029" t="s">
        <v>1012</v>
      </c>
      <c r="E16" s="1030">
        <v>35000</v>
      </c>
      <c r="F16" s="1030">
        <f t="shared" ref="F16" si="10">ROUND(E16*F$4,-2)</f>
        <v>28000</v>
      </c>
      <c r="G16" s="1030">
        <f t="shared" si="0"/>
        <v>21000</v>
      </c>
      <c r="I16" s="1030">
        <f>SUM(I5:I15)</f>
        <v>35000</v>
      </c>
      <c r="J16" s="1030">
        <f>SUM(J5:J15)</f>
        <v>35000</v>
      </c>
      <c r="K16" s="1030">
        <f>SUM(K5:K15)</f>
        <v>35000</v>
      </c>
    </row>
    <row r="17" spans="2:11">
      <c r="B17" s="1034" t="s">
        <v>1022</v>
      </c>
      <c r="C17" s="1034"/>
      <c r="D17" s="1034"/>
      <c r="E17" s="1035">
        <f>E16-E5</f>
        <v>32000</v>
      </c>
      <c r="F17" s="1035">
        <f>F16-F5</f>
        <v>25600</v>
      </c>
      <c r="G17" s="1030">
        <f t="shared" si="0"/>
        <v>19200</v>
      </c>
      <c r="I17" s="1031">
        <f>I16-I5</f>
        <v>32000</v>
      </c>
      <c r="J17" s="1031">
        <f>J16-J5</f>
        <v>32000</v>
      </c>
      <c r="K17" s="1031">
        <f>K16-K5</f>
        <v>32000</v>
      </c>
    </row>
    <row r="18" spans="2:11">
      <c r="B18" s="538" t="s">
        <v>1023</v>
      </c>
    </row>
    <row r="20" spans="2:11">
      <c r="B20" s="992" t="s">
        <v>1024</v>
      </c>
      <c r="E20" s="1" t="s">
        <v>1025</v>
      </c>
    </row>
    <row r="21" spans="2:11" ht="32.25" customHeight="1">
      <c r="B21" s="987" t="s">
        <v>1026</v>
      </c>
      <c r="C21" s="988" t="s">
        <v>1027</v>
      </c>
      <c r="D21" s="988"/>
      <c r="E21" s="987">
        <v>750</v>
      </c>
      <c r="F21" s="989"/>
      <c r="G21" s="987"/>
      <c r="H21" s="987"/>
    </row>
    <row r="22" spans="2:11">
      <c r="B22" s="986" t="s">
        <v>1028</v>
      </c>
      <c r="C22" s="981">
        <v>5</v>
      </c>
      <c r="D22" s="981"/>
      <c r="E22" s="1041">
        <f>$C22*E$21</f>
        <v>3750</v>
      </c>
      <c r="F22" s="1041"/>
      <c r="G22" s="1041"/>
      <c r="H22" s="1041"/>
    </row>
    <row r="23" spans="2:11">
      <c r="B23" s="986" t="s">
        <v>1029</v>
      </c>
      <c r="C23" s="981">
        <v>7.5</v>
      </c>
      <c r="D23" s="981"/>
      <c r="E23" s="1041">
        <f t="shared" ref="E23:E26" si="11">$C23*E$21</f>
        <v>5625</v>
      </c>
      <c r="F23" s="1041"/>
      <c r="G23" s="1041"/>
      <c r="H23" s="1041"/>
    </row>
    <row r="24" spans="2:11">
      <c r="B24" s="986" t="s">
        <v>1030</v>
      </c>
      <c r="C24" s="981">
        <v>15</v>
      </c>
      <c r="D24" s="981"/>
      <c r="E24" s="1041">
        <f t="shared" si="11"/>
        <v>11250</v>
      </c>
      <c r="F24" s="1041"/>
      <c r="G24" s="1041"/>
      <c r="H24" s="1041"/>
    </row>
    <row r="25" spans="2:11">
      <c r="B25" s="986" t="s">
        <v>1031</v>
      </c>
      <c r="C25" s="981">
        <v>4</v>
      </c>
      <c r="D25" s="981"/>
      <c r="E25" s="1041">
        <f>$C25*E$21</f>
        <v>3000</v>
      </c>
      <c r="F25" s="1041"/>
      <c r="G25" s="1041"/>
      <c r="H25" s="1041"/>
    </row>
    <row r="26" spans="2:11">
      <c r="B26" s="986" t="s">
        <v>1032</v>
      </c>
      <c r="C26" s="981">
        <f>20-7.5</f>
        <v>12.5</v>
      </c>
      <c r="D26" s="981"/>
      <c r="E26" s="1041">
        <f t="shared" si="11"/>
        <v>9375</v>
      </c>
      <c r="F26" s="1041"/>
      <c r="G26" s="1041"/>
      <c r="H26" s="1041"/>
    </row>
    <row r="28" spans="2:11">
      <c r="B28" s="1" t="s">
        <v>1033</v>
      </c>
    </row>
    <row r="29" spans="2:11">
      <c r="B29" s="990" t="s">
        <v>769</v>
      </c>
      <c r="C29" s="991" t="s">
        <v>1034</v>
      </c>
      <c r="D29" s="991"/>
      <c r="E29" s="991"/>
      <c r="F29" s="991"/>
      <c r="G29" s="991"/>
      <c r="H29" s="991"/>
    </row>
    <row r="30" spans="2:11">
      <c r="B30" s="990" t="s">
        <v>1035</v>
      </c>
      <c r="C30" s="991" t="s">
        <v>1036</v>
      </c>
      <c r="D30" s="991"/>
      <c r="E30" s="991" t="s">
        <v>1037</v>
      </c>
      <c r="F30" s="991" t="s">
        <v>999</v>
      </c>
      <c r="G30" s="991" t="s">
        <v>1038</v>
      </c>
      <c r="H30" s="991" t="s">
        <v>1039</v>
      </c>
    </row>
    <row r="31" spans="2:11">
      <c r="B31" s="354" t="s">
        <v>1040</v>
      </c>
      <c r="C31" s="356"/>
      <c r="D31" s="356"/>
      <c r="E31" s="356">
        <v>260</v>
      </c>
      <c r="F31" s="356">
        <f>E31*2</f>
        <v>520</v>
      </c>
      <c r="G31" s="356">
        <f>E31*3</f>
        <v>780</v>
      </c>
      <c r="H31" s="356">
        <f>E31*4</f>
        <v>1040</v>
      </c>
    </row>
    <row r="32" spans="2:11">
      <c r="B32" s="354" t="s">
        <v>1041</v>
      </c>
      <c r="C32" s="982">
        <v>27</v>
      </c>
      <c r="D32" s="982"/>
      <c r="E32" s="1040">
        <f>C32*E31</f>
        <v>7020</v>
      </c>
      <c r="F32" s="1040">
        <f>C32*F31</f>
        <v>14040</v>
      </c>
      <c r="G32" s="1040">
        <f>C32*G31</f>
        <v>21060</v>
      </c>
      <c r="H32" s="1040">
        <f>C32*H31</f>
        <v>28080</v>
      </c>
    </row>
    <row r="33" spans="2:8">
      <c r="B33" s="354" t="s">
        <v>1042</v>
      </c>
      <c r="C33" s="982">
        <v>8000</v>
      </c>
      <c r="D33" s="982"/>
      <c r="E33" s="1040">
        <f>C33</f>
        <v>8000</v>
      </c>
      <c r="F33" s="1040">
        <f>C33*2</f>
        <v>16000</v>
      </c>
      <c r="G33" s="1040">
        <f>C33*3</f>
        <v>24000</v>
      </c>
      <c r="H33" s="1040">
        <f>C33*4</f>
        <v>32000</v>
      </c>
    </row>
    <row r="34" spans="2:8">
      <c r="B34" s="354" t="s">
        <v>1043</v>
      </c>
      <c r="C34" s="982">
        <v>8</v>
      </c>
      <c r="D34" s="982"/>
      <c r="E34" s="1040"/>
      <c r="F34" s="1040"/>
      <c r="G34" s="1040"/>
      <c r="H34" s="1040"/>
    </row>
    <row r="35" spans="2:8">
      <c r="B35" s="1042" t="s">
        <v>1044</v>
      </c>
      <c r="C35" s="1043">
        <f>C32-C34</f>
        <v>19</v>
      </c>
      <c r="D35" s="1043"/>
      <c r="E35" s="1044">
        <f>C35*E31</f>
        <v>4940</v>
      </c>
      <c r="F35" s="1044">
        <f>C35*F31</f>
        <v>9880</v>
      </c>
      <c r="G35" s="1044">
        <f>C35*G31</f>
        <v>14820</v>
      </c>
      <c r="H35" s="1044">
        <f>C35*H31</f>
        <v>19760</v>
      </c>
    </row>
    <row r="36" spans="2:8">
      <c r="B36" s="354" t="s">
        <v>1045</v>
      </c>
      <c r="C36" s="982"/>
      <c r="D36" s="982"/>
      <c r="E36" s="1040">
        <f>G36*0.66</f>
        <v>7920</v>
      </c>
      <c r="F36" s="1040">
        <f>G36*0.885</f>
        <v>10620</v>
      </c>
      <c r="G36" s="1040">
        <v>12000</v>
      </c>
      <c r="H36" s="1040">
        <f>G36</f>
        <v>12000</v>
      </c>
    </row>
    <row r="37" spans="2:8">
      <c r="E37" s="538" t="s">
        <v>1046</v>
      </c>
      <c r="F37" s="538" t="s">
        <v>1046</v>
      </c>
      <c r="G37" s="538" t="s">
        <v>1046</v>
      </c>
    </row>
    <row r="39" spans="2:8">
      <c r="B39" s="992" t="s">
        <v>1047</v>
      </c>
    </row>
    <row r="40" spans="2:8">
      <c r="B40" s="990" t="s">
        <v>769</v>
      </c>
      <c r="C40" s="991" t="s">
        <v>1034</v>
      </c>
      <c r="D40" s="991"/>
      <c r="E40" s="991"/>
      <c r="F40" s="991"/>
      <c r="G40" s="991"/>
      <c r="H40" s="991"/>
    </row>
    <row r="41" spans="2:8">
      <c r="B41" s="990" t="s">
        <v>1035</v>
      </c>
      <c r="C41" s="991" t="s">
        <v>1036</v>
      </c>
      <c r="D41" s="991"/>
      <c r="E41" s="991" t="s">
        <v>1037</v>
      </c>
      <c r="F41" s="991" t="s">
        <v>999</v>
      </c>
      <c r="G41" s="991" t="s">
        <v>1038</v>
      </c>
      <c r="H41" s="991" t="s">
        <v>1039</v>
      </c>
    </row>
    <row r="42" spans="2:8">
      <c r="B42" s="354" t="s">
        <v>1040</v>
      </c>
      <c r="C42" s="356"/>
      <c r="D42" s="356"/>
      <c r="E42" s="356">
        <v>260</v>
      </c>
      <c r="F42" s="356">
        <f>E42*2</f>
        <v>520</v>
      </c>
      <c r="G42" s="356">
        <f>E42*3</f>
        <v>780</v>
      </c>
      <c r="H42" s="356">
        <f>E42*4</f>
        <v>1040</v>
      </c>
    </row>
    <row r="43" spans="2:8">
      <c r="B43" s="354" t="s">
        <v>1041</v>
      </c>
      <c r="C43" s="982">
        <v>50</v>
      </c>
      <c r="D43" s="982"/>
      <c r="E43" s="1040">
        <f>C43*E42</f>
        <v>13000</v>
      </c>
      <c r="F43" s="1040">
        <f>C43*F42</f>
        <v>26000</v>
      </c>
      <c r="G43" s="1040">
        <f>C43*G42</f>
        <v>39000</v>
      </c>
      <c r="H43" s="1040">
        <f>C43*H42</f>
        <v>52000</v>
      </c>
    </row>
    <row r="44" spans="2:8">
      <c r="B44" s="354" t="s">
        <v>1048</v>
      </c>
      <c r="C44" s="982">
        <v>13700</v>
      </c>
      <c r="D44" s="982"/>
      <c r="E44" s="1040">
        <f>C44</f>
        <v>13700</v>
      </c>
      <c r="F44" s="1040">
        <f>E44*2</f>
        <v>27400</v>
      </c>
      <c r="G44" s="1040">
        <f>E44*3</f>
        <v>41100</v>
      </c>
      <c r="H44" s="1040">
        <f>E44*4</f>
        <v>54800</v>
      </c>
    </row>
    <row r="45" spans="2:8">
      <c r="B45" s="538" t="s">
        <v>1049</v>
      </c>
    </row>
  </sheetData>
  <mergeCells count="3">
    <mergeCell ref="B12:B15"/>
    <mergeCell ref="B9:B10"/>
    <mergeCell ref="B6:B8"/>
  </mergeCells>
  <conditionalFormatting sqref="I16:K16">
    <cfRule type="cellIs" dxfId="1" priority="2" operator="greaterThan">
      <formula>$E$16</formula>
    </cfRule>
  </conditionalFormatting>
  <conditionalFormatting sqref="I17:K17">
    <cfRule type="cellIs" dxfId="0" priority="1" operator="greaterThan">
      <formula>$E$17</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6"/>
  <sheetViews>
    <sheetView topLeftCell="B39" workbookViewId="0">
      <selection activeCell="B39" sqref="B39"/>
    </sheetView>
  </sheetViews>
  <sheetFormatPr defaultRowHeight="15"/>
  <cols>
    <col min="1" max="1" width="12.42578125" customWidth="1"/>
    <col min="2" max="2" width="31.7109375" style="567" customWidth="1"/>
    <col min="3" max="3" width="83.42578125" customWidth="1"/>
    <col min="4" max="4" width="60.5703125" customWidth="1"/>
    <col min="5" max="5" width="40.7109375" customWidth="1"/>
    <col min="6" max="6" width="66.28515625" customWidth="1"/>
  </cols>
  <sheetData>
    <row r="1" spans="2:6">
      <c r="B1" s="566" t="s">
        <v>1050</v>
      </c>
      <c r="C1" s="484">
        <v>45593</v>
      </c>
      <c r="D1" s="1" t="s">
        <v>1051</v>
      </c>
    </row>
    <row r="2" spans="2:6">
      <c r="B2" s="567" t="s">
        <v>1052</v>
      </c>
      <c r="C2" t="s">
        <v>1053</v>
      </c>
      <c r="D2" t="s">
        <v>1054</v>
      </c>
    </row>
    <row r="3" spans="2:6">
      <c r="C3" t="s">
        <v>1055</v>
      </c>
      <c r="D3" t="s">
        <v>1056</v>
      </c>
    </row>
    <row r="4" spans="2:6">
      <c r="B4" s="567" t="s">
        <v>1052</v>
      </c>
      <c r="C4" t="s">
        <v>1057</v>
      </c>
      <c r="D4" t="s">
        <v>1058</v>
      </c>
    </row>
    <row r="5" spans="2:6">
      <c r="C5" t="s">
        <v>1059</v>
      </c>
      <c r="D5" t="s">
        <v>1060</v>
      </c>
    </row>
    <row r="6" spans="2:6">
      <c r="B6" s="567" t="s">
        <v>1052</v>
      </c>
      <c r="C6" t="s">
        <v>1061</v>
      </c>
      <c r="D6" t="s">
        <v>1060</v>
      </c>
    </row>
    <row r="8" spans="2:6">
      <c r="C8" s="484" t="s">
        <v>1062</v>
      </c>
    </row>
    <row r="9" spans="2:6">
      <c r="B9" s="566"/>
      <c r="C9" s="1" t="s">
        <v>1063</v>
      </c>
      <c r="D9" s="1" t="s">
        <v>1051</v>
      </c>
      <c r="E9" s="1" t="s">
        <v>1064</v>
      </c>
      <c r="F9" s="568" t="s">
        <v>1065</v>
      </c>
    </row>
    <row r="10" spans="2:6" ht="60">
      <c r="B10" s="581" t="s">
        <v>1052</v>
      </c>
      <c r="C10" s="570" t="s">
        <v>1066</v>
      </c>
      <c r="D10" s="571" t="s">
        <v>1067</v>
      </c>
      <c r="E10" s="571" t="s">
        <v>1068</v>
      </c>
      <c r="F10" s="565" t="s">
        <v>1069</v>
      </c>
    </row>
    <row r="11" spans="2:6">
      <c r="C11" s="494"/>
      <c r="D11" s="494"/>
      <c r="E11" s="494"/>
      <c r="F11" s="569"/>
    </row>
    <row r="12" spans="2:6">
      <c r="C12" s="1" t="s">
        <v>1070</v>
      </c>
      <c r="D12" s="1"/>
      <c r="E12" s="494"/>
      <c r="F12" s="569"/>
    </row>
    <row r="13" spans="2:6">
      <c r="B13" s="1291" t="s">
        <v>1052</v>
      </c>
      <c r="C13" s="572" t="s">
        <v>1071</v>
      </c>
      <c r="D13" s="575"/>
      <c r="E13" s="578" t="s">
        <v>1072</v>
      </c>
      <c r="F13" s="1294" t="s">
        <v>1073</v>
      </c>
    </row>
    <row r="14" spans="2:6">
      <c r="B14" s="1292"/>
      <c r="C14" s="573" t="s">
        <v>275</v>
      </c>
      <c r="D14" s="576" t="s">
        <v>1074</v>
      </c>
      <c r="E14" s="579"/>
      <c r="F14" s="1295"/>
    </row>
    <row r="15" spans="2:6">
      <c r="B15" s="1292"/>
      <c r="C15" s="573" t="s">
        <v>905</v>
      </c>
      <c r="D15" s="573" t="s">
        <v>1075</v>
      </c>
      <c r="E15" s="576"/>
      <c r="F15" s="1295"/>
    </row>
    <row r="16" spans="2:6">
      <c r="B16" s="1292"/>
      <c r="C16" s="573" t="s">
        <v>276</v>
      </c>
      <c r="D16" s="573" t="s">
        <v>1076</v>
      </c>
      <c r="E16" s="576"/>
      <c r="F16" s="1295"/>
    </row>
    <row r="17" spans="2:7">
      <c r="B17" s="1293"/>
      <c r="C17" s="574" t="s">
        <v>1077</v>
      </c>
      <c r="D17" s="577"/>
      <c r="E17" s="580"/>
      <c r="F17" s="1296"/>
    </row>
    <row r="18" spans="2:7">
      <c r="C18" s="538"/>
      <c r="E18" s="494"/>
      <c r="F18" s="569"/>
    </row>
    <row r="19" spans="2:7">
      <c r="C19" s="539" t="s">
        <v>1078</v>
      </c>
      <c r="E19" s="494"/>
      <c r="F19" s="569"/>
    </row>
    <row r="20" spans="2:7">
      <c r="B20" s="1291" t="s">
        <v>1052</v>
      </c>
      <c r="C20" s="282" t="s">
        <v>1079</v>
      </c>
      <c r="D20" s="582" t="s">
        <v>1080</v>
      </c>
      <c r="E20" s="578"/>
      <c r="F20" s="1294" t="s">
        <v>1081</v>
      </c>
    </row>
    <row r="21" spans="2:7">
      <c r="B21" s="1292"/>
      <c r="C21" s="282" t="s">
        <v>1082</v>
      </c>
      <c r="D21" s="586" t="s">
        <v>1083</v>
      </c>
      <c r="E21" s="576"/>
      <c r="F21" s="1295"/>
    </row>
    <row r="22" spans="2:7">
      <c r="B22" s="1293"/>
      <c r="C22" s="282" t="s">
        <v>1084</v>
      </c>
      <c r="D22" s="577" t="s">
        <v>1085</v>
      </c>
      <c r="E22" s="580"/>
      <c r="F22" s="1296"/>
    </row>
    <row r="23" spans="2:7">
      <c r="C23" s="538"/>
      <c r="E23" s="494"/>
      <c r="F23" s="569"/>
    </row>
    <row r="24" spans="2:7">
      <c r="C24" s="494"/>
      <c r="D24" s="494"/>
      <c r="E24" s="494"/>
      <c r="F24" s="569"/>
    </row>
    <row r="25" spans="2:7">
      <c r="C25" s="1" t="s">
        <v>1086</v>
      </c>
      <c r="D25" s="1" t="s">
        <v>1087</v>
      </c>
      <c r="E25" s="494"/>
      <c r="F25" s="569"/>
    </row>
    <row r="26" spans="2:7" ht="60">
      <c r="B26" s="581" t="s">
        <v>1052</v>
      </c>
      <c r="C26" s="570" t="s">
        <v>1088</v>
      </c>
      <c r="D26" s="584"/>
      <c r="E26" s="584" t="s">
        <v>1089</v>
      </c>
      <c r="F26" s="565" t="s">
        <v>1090</v>
      </c>
    </row>
    <row r="27" spans="2:7" ht="30">
      <c r="B27" s="581" t="s">
        <v>1052</v>
      </c>
      <c r="C27" s="570" t="s">
        <v>1091</v>
      </c>
      <c r="D27" s="570" t="s">
        <v>1092</v>
      </c>
      <c r="E27" s="584" t="s">
        <v>1089</v>
      </c>
      <c r="F27" s="588" t="s">
        <v>1093</v>
      </c>
    </row>
    <row r="28" spans="2:7">
      <c r="C28" s="495"/>
      <c r="D28" s="495"/>
      <c r="E28" s="494"/>
      <c r="F28" s="569"/>
    </row>
    <row r="29" spans="2:7">
      <c r="B29" s="767" t="s">
        <v>1094</v>
      </c>
      <c r="C29" s="768" t="s">
        <v>1095</v>
      </c>
      <c r="D29" s="769"/>
      <c r="E29" s="494"/>
      <c r="F29" s="569"/>
    </row>
    <row r="30" spans="2:7" ht="30">
      <c r="B30" s="603" t="s">
        <v>1054</v>
      </c>
      <c r="C30" s="593" t="s">
        <v>1096</v>
      </c>
      <c r="D30" s="354" t="s">
        <v>1097</v>
      </c>
      <c r="E30" s="354"/>
      <c r="F30" s="585" t="s">
        <v>1098</v>
      </c>
      <c r="G30" t="s">
        <v>1099</v>
      </c>
    </row>
    <row r="31" spans="2:7">
      <c r="B31" s="581" t="s">
        <v>1054</v>
      </c>
      <c r="C31" s="354" t="s">
        <v>1100</v>
      </c>
      <c r="D31" s="354"/>
      <c r="E31" s="354"/>
      <c r="F31" s="594" t="s">
        <v>1101</v>
      </c>
    </row>
    <row r="32" spans="2:7">
      <c r="B32" s="581" t="s">
        <v>1054</v>
      </c>
      <c r="C32" s="354" t="s">
        <v>1102</v>
      </c>
      <c r="D32" s="354"/>
      <c r="E32" s="354"/>
      <c r="F32" s="594" t="s">
        <v>1103</v>
      </c>
    </row>
    <row r="33" spans="1:6" ht="14.25" customHeight="1">
      <c r="B33" s="1131" t="s">
        <v>1104</v>
      </c>
      <c r="C33" s="582" t="s">
        <v>1105</v>
      </c>
      <c r="D33" s="582"/>
      <c r="E33" s="582"/>
      <c r="F33" s="657" t="s">
        <v>1106</v>
      </c>
    </row>
    <row r="34" spans="1:6">
      <c r="B34" s="608" t="s">
        <v>1107</v>
      </c>
      <c r="C34" s="360" t="s">
        <v>1108</v>
      </c>
      <c r="D34" s="360"/>
      <c r="E34" s="360"/>
      <c r="F34" s="658"/>
    </row>
    <row r="35" spans="1:6">
      <c r="B35" s="608" t="s">
        <v>1107</v>
      </c>
      <c r="C35" s="360" t="s">
        <v>1109</v>
      </c>
      <c r="D35" s="360"/>
      <c r="E35" s="360"/>
      <c r="F35" s="658"/>
    </row>
    <row r="36" spans="1:6">
      <c r="B36" s="608" t="s">
        <v>1107</v>
      </c>
      <c r="C36" s="360" t="s">
        <v>1110</v>
      </c>
      <c r="D36" s="360"/>
      <c r="E36" s="360"/>
      <c r="F36" s="658"/>
    </row>
    <row r="37" spans="1:6">
      <c r="A37" t="s">
        <v>1111</v>
      </c>
      <c r="B37" s="751" t="s">
        <v>1112</v>
      </c>
      <c r="C37" s="360" t="s">
        <v>1113</v>
      </c>
      <c r="D37" s="360" t="s">
        <v>1114</v>
      </c>
      <c r="E37" s="360"/>
      <c r="F37" s="658"/>
    </row>
    <row r="38" spans="1:6">
      <c r="B38" s="608" t="s">
        <v>1115</v>
      </c>
      <c r="C38" s="360" t="s">
        <v>1116</v>
      </c>
      <c r="D38" s="360"/>
    </row>
    <row r="39" spans="1:6">
      <c r="B39" s="711" t="s">
        <v>1054</v>
      </c>
      <c r="C39" t="s">
        <v>1117</v>
      </c>
      <c r="D39" s="366" t="s">
        <v>1118</v>
      </c>
    </row>
    <row r="40" spans="1:6">
      <c r="B40" s="608" t="s">
        <v>1119</v>
      </c>
      <c r="C40" s="360" t="s">
        <v>1120</v>
      </c>
      <c r="D40" s="360"/>
    </row>
    <row r="41" spans="1:6">
      <c r="B41" s="608" t="s">
        <v>1054</v>
      </c>
      <c r="C41" s="360" t="s">
        <v>1121</v>
      </c>
      <c r="D41" s="360"/>
    </row>
    <row r="42" spans="1:6">
      <c r="B42" s="730" t="s">
        <v>1054</v>
      </c>
      <c r="C42" s="731" t="s">
        <v>1122</v>
      </c>
      <c r="D42" s="731"/>
    </row>
    <row r="43" spans="1:6">
      <c r="B43" s="711" t="s">
        <v>1054</v>
      </c>
      <c r="C43" s="366" t="s">
        <v>1123</v>
      </c>
      <c r="D43" s="366"/>
    </row>
    <row r="44" spans="1:6">
      <c r="B44" s="608" t="s">
        <v>1054</v>
      </c>
      <c r="C44" s="360" t="s">
        <v>1124</v>
      </c>
      <c r="D44" s="360"/>
    </row>
    <row r="45" spans="1:6">
      <c r="B45" s="751" t="s">
        <v>1112</v>
      </c>
      <c r="C45" s="360" t="s">
        <v>1125</v>
      </c>
      <c r="D45" s="360"/>
    </row>
    <row r="46" spans="1:6">
      <c r="B46" s="761" t="s">
        <v>1126</v>
      </c>
      <c r="C46" s="762" t="s">
        <v>1127</v>
      </c>
      <c r="D46" s="763"/>
    </row>
    <row r="47" spans="1:6">
      <c r="B47" s="761" t="s">
        <v>1126</v>
      </c>
      <c r="C47" s="762" t="s">
        <v>1128</v>
      </c>
      <c r="D47" s="763"/>
    </row>
    <row r="48" spans="1:6">
      <c r="B48" s="761"/>
      <c r="C48" s="762"/>
      <c r="D48" s="763"/>
    </row>
    <row r="49" spans="2:4">
      <c r="B49" s="764" t="s">
        <v>1094</v>
      </c>
      <c r="C49" s="765" t="s">
        <v>1129</v>
      </c>
      <c r="D49" s="766"/>
    </row>
    <row r="50" spans="2:4">
      <c r="B50" s="608" t="s">
        <v>1054</v>
      </c>
      <c r="C50" s="360" t="s">
        <v>1130</v>
      </c>
      <c r="D50" s="360"/>
    </row>
    <row r="51" spans="2:4">
      <c r="B51" s="608" t="s">
        <v>1054</v>
      </c>
      <c r="C51" s="360" t="s">
        <v>1131</v>
      </c>
      <c r="D51" s="360"/>
    </row>
    <row r="52" spans="2:4">
      <c r="B52" s="608" t="s">
        <v>1054</v>
      </c>
      <c r="C52" s="360" t="s">
        <v>1132</v>
      </c>
      <c r="D52" s="360"/>
    </row>
    <row r="53" spans="2:4">
      <c r="B53" s="608" t="s">
        <v>1133</v>
      </c>
      <c r="C53" s="360" t="s">
        <v>1134</v>
      </c>
      <c r="D53" s="360"/>
    </row>
    <row r="54" spans="2:4">
      <c r="B54" s="608" t="s">
        <v>1054</v>
      </c>
      <c r="C54" s="360" t="s">
        <v>1135</v>
      </c>
      <c r="D54" s="360"/>
    </row>
    <row r="55" spans="2:4">
      <c r="B55" s="711" t="s">
        <v>1054</v>
      </c>
      <c r="C55" s="366" t="s">
        <v>1136</v>
      </c>
      <c r="D55" s="366"/>
    </row>
    <row r="56" spans="2:4">
      <c r="B56" s="581" t="s">
        <v>1137</v>
      </c>
      <c r="C56" s="354" t="s">
        <v>1138</v>
      </c>
      <c r="D56" s="354" t="s">
        <v>1139</v>
      </c>
    </row>
    <row r="57" spans="2:4">
      <c r="B57" s="581" t="s">
        <v>1054</v>
      </c>
      <c r="C57" s="354" t="s">
        <v>1140</v>
      </c>
      <c r="D57" s="354"/>
    </row>
    <row r="58" spans="2:4">
      <c r="B58" s="608" t="s">
        <v>1054</v>
      </c>
      <c r="C58" s="980" t="s">
        <v>1141</v>
      </c>
      <c r="D58" s="354"/>
    </row>
    <row r="59" spans="2:4">
      <c r="B59" s="608" t="s">
        <v>1054</v>
      </c>
      <c r="C59" s="980" t="s">
        <v>1142</v>
      </c>
      <c r="D59" s="354"/>
    </row>
    <row r="62" spans="2:4">
      <c r="B62" s="977" t="s">
        <v>1094</v>
      </c>
      <c r="C62" s="978" t="s">
        <v>1143</v>
      </c>
      <c r="D62" s="979"/>
    </row>
    <row r="63" spans="2:4">
      <c r="B63" s="581" t="s">
        <v>1054</v>
      </c>
      <c r="C63" s="354" t="s">
        <v>1144</v>
      </c>
      <c r="D63" s="354"/>
    </row>
    <row r="64" spans="2:4">
      <c r="B64" s="581" t="s">
        <v>1054</v>
      </c>
      <c r="C64" s="354" t="s">
        <v>1145</v>
      </c>
      <c r="D64" s="354"/>
    </row>
    <row r="65" spans="2:4">
      <c r="B65" s="581" t="s">
        <v>1054</v>
      </c>
      <c r="C65" s="354" t="s">
        <v>1146</v>
      </c>
      <c r="D65" s="354"/>
    </row>
    <row r="66" spans="2:4">
      <c r="B66" s="581"/>
      <c r="C66" s="354" t="s">
        <v>1147</v>
      </c>
      <c r="D66" s="354"/>
    </row>
  </sheetData>
  <mergeCells count="4">
    <mergeCell ref="B13:B17"/>
    <mergeCell ref="F13:F17"/>
    <mergeCell ref="B20:B22"/>
    <mergeCell ref="F20:F2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446CC6322EE649981FA3B019705181" ma:contentTypeVersion="16" ma:contentTypeDescription="Create a new document." ma:contentTypeScope="" ma:versionID="bd6ede14fa770dffa5e678da4408ef9a">
  <xsd:schema xmlns:xsd="http://www.w3.org/2001/XMLSchema" xmlns:xs="http://www.w3.org/2001/XMLSchema" xmlns:p="http://schemas.microsoft.com/office/2006/metadata/properties" xmlns:ns2="3febc571-999e-4e71-a978-107aef08847b" xmlns:ns3="43bfd20f-d862-49f9-bdf7-0539a0231ce1" targetNamespace="http://schemas.microsoft.com/office/2006/metadata/properties" ma:root="true" ma:fieldsID="16f6bb0727b8ed48d733e6b12a8062c6" ns2:_="" ns3:_="">
    <xsd:import namespace="3febc571-999e-4e71-a978-107aef08847b"/>
    <xsd:import namespace="43bfd20f-d862-49f9-bdf7-0539a0231ce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ebc571-999e-4e71-a978-107aef088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b4f074c-b2b8-450b-8d7f-e48a28ce4cf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ink" ma:index="23"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bfd20f-d862-49f9-bdf7-0539a0231ce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c60ffd7-866a-4bb5-b0db-9980088c1e43}" ma:internalName="TaxCatchAll" ma:showField="CatchAllData" ma:web="43bfd20f-d862-49f9-bdf7-0539a0231c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P R l 9 W M 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9 G X 1 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R l 9 W C i K R 7 g O A A A A E Q A A A B M A H A B G b 3 J t d W x h c y 9 T Z W N 0 a W 9 u M S 5 t I K I Y A C i g F A A A A A A A A A A A A A A A A A A A A A A A A A A A A C t O T S 7 J z M 9 T C I b Q h t Y A U E s B A i 0 A F A A C A A g A P R l 9 W M 4 e l 8 e j A A A A 9 g A A A B I A A A A A A A A A A A A A A A A A A A A A A E N v b m Z p Z y 9 Q Y W N r Y W d l L n h t b F B L A Q I t A B Q A A g A I A D 0 Z f V g P y u m r p A A A A O k A A A A T A A A A A A A A A A A A A A A A A O 8 A A A B b Q 2 9 u d G V u d F 9 U e X B l c 1 0 u e G 1 s U E s B A i 0 A F A A C A A g A P R l 9 W C 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m / p B p e w 7 t B j 8 X N L P + K Y b 0 A A A A A A g A A A A A A A 2 Y A A M A A A A A Q A A A A G 6 5 8 N G m r Q n T A r p q e H 2 2 M y g A A A A A E g A A A o A A A A B A A A A D 9 e G M D o S a Y 1 i 7 9 T j e n L V I R U A A A A D 4 Y h 8 3 J e 8 I n 4 R r e s Z 2 8 x a T 6 S D B h o l / A 2 S G W 5 l j D 8 u r F s x 6 e 5 + H R s c / C v X r U U L / A M B o c w 3 / H g M B r 1 P I g 9 n W c J j J X M P A W o W q 9 R c s 9 G t e M u / X I F A A A A E + G A e 1 l C 8 c y Q D C w P J Z W I O 3 P K 4 z q < / 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43bfd20f-d862-49f9-bdf7-0539a0231ce1">
      <UserInfo>
        <DisplayName>Heo, Jean (HPD)</DisplayName>
        <AccountId>27</AccountId>
        <AccountType/>
      </UserInfo>
    </SharedWithUsers>
    <lcf76f155ced4ddcb4097134ff3c332f xmlns="3febc571-999e-4e71-a978-107aef08847b">
      <Terms xmlns="http://schemas.microsoft.com/office/infopath/2007/PartnerControls"/>
    </lcf76f155ced4ddcb4097134ff3c332f>
    <TaxCatchAll xmlns="43bfd20f-d862-49f9-bdf7-0539a0231ce1" xsi:nil="true"/>
    <link xmlns="3febc571-999e-4e71-a978-107aef08847b">
      <Url xsi:nil="true"/>
      <Description xsi:nil="true"/>
    </link>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904F2B-3CCC-464E-9ADC-491EFD5BA6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ebc571-999e-4e71-a978-107aef08847b"/>
    <ds:schemaRef ds:uri="43bfd20f-d862-49f9-bdf7-0539a0231c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79C27F-3A6B-4111-94E7-76D5AB193B56}">
  <ds:schemaRefs>
    <ds:schemaRef ds:uri="http://schemas.microsoft.com/DataMashup"/>
  </ds:schemaRefs>
</ds:datastoreItem>
</file>

<file path=customXml/itemProps3.xml><?xml version="1.0" encoding="utf-8"?>
<ds:datastoreItem xmlns:ds="http://schemas.openxmlformats.org/officeDocument/2006/customXml" ds:itemID="{386A0E9F-32B4-4914-960E-26BF1FF3ED7D}">
  <ds:schemaRefs>
    <ds:schemaRef ds:uri="http://www.w3.org/XML/1998/namespace"/>
    <ds:schemaRef ds:uri="http://purl.org/dc/dcmitype/"/>
    <ds:schemaRef ds:uri="238dd806-a5b7-46a5-9c55-c2d3786c84e5"/>
    <ds:schemaRef ds:uri="628f90bb-05dc-436f-994a-630b20d099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purl.org/dc/terms/"/>
    <ds:schemaRef ds:uri="43bfd20f-d862-49f9-bdf7-0539a0231ce1"/>
    <ds:schemaRef ds:uri="3febc571-999e-4e71-a978-107aef08847b"/>
  </ds:schemaRefs>
</ds:datastoreItem>
</file>

<file path=customXml/itemProps4.xml><?xml version="1.0" encoding="utf-8"?>
<ds:datastoreItem xmlns:ds="http://schemas.openxmlformats.org/officeDocument/2006/customXml" ds:itemID="{2E1156BF-73A2-4FA8-AC76-2516C7DBBAD0}">
  <ds:schemaRefs>
    <ds:schemaRef ds:uri="http://schemas.microsoft.com/sharepoint/v3/contenttype/forms"/>
  </ds:schemaRefs>
</ds:datastoreItem>
</file>

<file path=docMetadata/LabelInfo.xml><?xml version="1.0" encoding="utf-8"?>
<clbl:labelList xmlns:clbl="http://schemas.microsoft.com/office/2020/mipLabelMetadata">
  <clbl:label id="{448151e3-dd12-48c1-aa8d-045ec2a1daaa}" enabled="1" method="Standard" siteId="{9775d500-e49b-49a7-9e24-1ada087be6ee}" removed="0"/>
  <clbl:label id="{f46cb8ea-7900-4d10-8ceb-80e8c1c81ee7}" enabled="0" method="" siteId="{f46cb8ea-7900-4d10-8ceb-80e8c1c81ee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Proforma Active</vt:lpstr>
      <vt:lpstr>REDiTool</vt:lpstr>
      <vt:lpstr>Contact List</vt:lpstr>
      <vt:lpstr>Photo Links &amp; Misc</vt:lpstr>
      <vt:lpstr>TAP Instructions</vt:lpstr>
      <vt:lpstr>REDi Tool User Instructions</vt:lpstr>
      <vt:lpstr>Dropdowns_v2</vt:lpstr>
      <vt:lpstr>Updated Incentive Analysis</vt:lpstr>
      <vt:lpstr>Tool Fixes</vt:lpstr>
      <vt:lpstr>Heating Degree Days</vt:lpstr>
      <vt:lpstr>New Cadmus Notes</vt:lpstr>
      <vt:lpstr>_Cooking</vt:lpstr>
      <vt:lpstr>_Envelope_Wall</vt:lpstr>
      <vt:lpstr>_Envelope_Window</vt:lpstr>
      <vt:lpstr>Envelope_Wall</vt:lpstr>
      <vt:lpstr>'Contact List'!Print_Area</vt:lpstr>
      <vt:lpstr>'Proforma Active'!Print_Area</vt:lpstr>
      <vt:lpstr>REDiTool!Print_Area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Heo, Jean</dc:creator>
  <cp:keywords/>
  <dc:description/>
  <cp:lastModifiedBy>Leone, Jennifer (HPD)</cp:lastModifiedBy>
  <cp:revision/>
  <dcterms:created xsi:type="dcterms:W3CDTF">2022-07-21T15:49:04Z</dcterms:created>
  <dcterms:modified xsi:type="dcterms:W3CDTF">2025-06-02T18:56:49Z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0x01010093446CC6322EE649981FA3B019705181</vt:lpwstr>
  </property>
  <property fmtid="{D5CDD505-2E9C-101B-9397-08002B2CF9AE}" pid="3" name="MediaServiceImageTags">
    <vt:lpwstr/>
  </property>
  <property fmtid="{D5CDD505-2E9C-101B-9397-08002B2CF9AE}" pid="4" name="_dlc_DocIdItemGuid">
    <vt:lpwstr>ff225e32-d712-4f1d-9509-a03d9c3a8465</vt:lpwstr>
  </property>
  <property fmtid="{D5CDD505-2E9C-101B-9397-08002B2CF9AE}" pid="5" name="MSIP_Label_ebba276f-0474-4e48-a2bc-69b0eb22318c_Enabled">
    <vt:lpwstr>true</vt:lpwstr>
  </property>
  <property fmtid="{D5CDD505-2E9C-101B-9397-08002B2CF9AE}" pid="6" name="MSIP_Label_ebba276f-0474-4e48-a2bc-69b0eb22318c_SetDate">
    <vt:lpwstr>2024-07-18T20:48:07Z</vt:lpwstr>
  </property>
  <property fmtid="{D5CDD505-2E9C-101B-9397-08002B2CF9AE}" pid="7" name="MSIP_Label_ebba276f-0474-4e48-a2bc-69b0eb22318c_Method">
    <vt:lpwstr>Standard</vt:lpwstr>
  </property>
  <property fmtid="{D5CDD505-2E9C-101B-9397-08002B2CF9AE}" pid="8" name="MSIP_Label_ebba276f-0474-4e48-a2bc-69b0eb22318c_Name">
    <vt:lpwstr>Non-Restricted-Main</vt:lpwstr>
  </property>
  <property fmtid="{D5CDD505-2E9C-101B-9397-08002B2CF9AE}" pid="9" name="MSIP_Label_ebba276f-0474-4e48-a2bc-69b0eb22318c_SiteId">
    <vt:lpwstr>32f56fc7-5f81-4e22-a95b-15da66513bef</vt:lpwstr>
  </property>
  <property fmtid="{D5CDD505-2E9C-101B-9397-08002B2CF9AE}" pid="10" name="MSIP_Label_ebba276f-0474-4e48-a2bc-69b0eb22318c_ActionId">
    <vt:lpwstr>144010fc-42e6-4895-bc9d-961fc3347e00</vt:lpwstr>
  </property>
  <property fmtid="{D5CDD505-2E9C-101B-9397-08002B2CF9AE}" pid="11" name="MSIP_Label_ebba276f-0474-4e48-a2bc-69b0eb22318c_ContentBits">
    <vt:lpwstr>0</vt:lpwstr>
  </property>
</Properties>
</file>