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Ex2.xml" ContentType="application/vnd.ms-office.chartex+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3.xml" ContentType="application/vnd.openxmlformats-officedocument.spreadsheetml.comments+xml"/>
  <Override PartName="/xl/charts/chart7.xml" ContentType="application/vnd.openxmlformats-officedocument.drawingml.chart+xml"/>
  <Override PartName="/xl/charts/style9.xml" ContentType="application/vnd.ms-office.chartstyle+xml"/>
  <Override PartName="/xl/charts/colors9.xml" ContentType="application/vnd.ms-office.chartcolorstyle+xml"/>
  <Override PartName="/xl/charts/chart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ml.chartshapes+xml"/>
  <Override PartName="/xl/charts/chartEx3.xml" ContentType="application/vnd.ms-office.chartex+xml"/>
  <Override PartName="/xl/charts/style12.xml" ContentType="application/vnd.ms-office.chartstyle+xml"/>
  <Override PartName="/xl/charts/colors12.xml" ContentType="application/vnd.ms-office.chartcolorsty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nyco365.sharepoint.com/sites/HPD-OPS-SUS/Shared Documents/Mitchell-Lama Working Group/"/>
    </mc:Choice>
  </mc:AlternateContent>
  <xr:revisionPtr revIDLastSave="0" documentId="8_{CCB6DC18-4948-4924-A413-E1C87662F179}" xr6:coauthVersionLast="47" xr6:coauthVersionMax="47" xr10:uidLastSave="{00000000-0000-0000-0000-000000000000}"/>
  <workbookProtection workbookAlgorithmName="SHA-512" workbookHashValue="u3xt8suRn2OSUGcp5vs2QNhD7y7EYPNavABym5SWK/p3LbQYSNKFI1k8PEV62SCh3Dlicp9QFDRXzt9EN4Hl2Q==" workbookSaltValue="6UAnZRJHFgEcRoBBJz1q7A==" workbookSpinCount="100000" lockStructure="1"/>
  <bookViews>
    <workbookView xWindow="-98" yWindow="-98" windowWidth="20715" windowHeight="13155" tabRatio="866" xr2:uid="{D8AAE563-48D5-47BA-92C6-99D05AD1BC18}"/>
  </bookViews>
  <sheets>
    <sheet name="Readme" sheetId="12" r:id="rId1"/>
    <sheet name="LL97 Pathway" sheetId="38" r:id="rId2"/>
    <sheet name="Pre-filled Sample" sheetId="39" r:id="rId3"/>
    <sheet name="Pre-filled Sample-Old" sheetId="4" state="hidden" r:id="rId4"/>
    <sheet name="References" sheetId="5" state="veryHidden" r:id="rId5"/>
    <sheet name="Adjustable Lists" sheetId="32" state="hidden" r:id="rId6"/>
  </sheets>
  <definedNames>
    <definedName name="_xlchart.v1.0" hidden="1">'LL97 Pathway'!$D$101:$D$103</definedName>
    <definedName name="_xlchart.v1.1" hidden="1">'LL97 Pathway'!$I$101:$I$103</definedName>
    <definedName name="_xlchart.v1.2" hidden="1">'Pre-filled Sample'!$D$101:$D$103</definedName>
    <definedName name="_xlchart.v1.3" hidden="1">'Pre-filled Sample'!$I$101:$I$103</definedName>
    <definedName name="_xlchart.v1.4" hidden="1">'Pre-filled Sample-Old'!$D$101:$D$103</definedName>
    <definedName name="_xlchart.v1.5" hidden="1">'Pre-filled Sample-Old'!$I$101:$I$103</definedName>
    <definedName name="BaseYr" localSheetId="1">Table_UtilityInput[Usage Year]</definedName>
    <definedName name="BaseYr" localSheetId="2">Table_UtilityInput9[Usage Year]</definedName>
    <definedName name="BaseYr">Table_UtilityInputS1[Usage Year]</definedName>
    <definedName name="BuyOffsets">#REF!</definedName>
    <definedName name="BuyRECs">#REF!</definedName>
    <definedName name="CarbonIntensity_NG">References!$I$3</definedName>
    <definedName name="CarbonIntensity_Oil2">References!$I$4</definedName>
    <definedName name="EndYr">References!$C$3</definedName>
    <definedName name="Max_CashFlow">#REF!</definedName>
    <definedName name="Min_CashFlow">#REF!</definedName>
    <definedName name="PeriodDuration">References!$C$4</definedName>
    <definedName name="Port_Cost_ECMs">_xlfn.ANCHORARRAY(#REF!)</definedName>
    <definedName name="_xlnm.Print_Area" localSheetId="1">'LL97 Pathway'!$B$1:$AB$124</definedName>
    <definedName name="_xlnm.Print_Area" localSheetId="2">'Pre-filled Sample'!$B$1:$AB$124</definedName>
    <definedName name="Scope_TenantSubmeter">#REF!</definedName>
    <definedName name="UtilityDecardScenari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38" l="1" a="1"/>
  <c r="N7" i="38" s="1"/>
  <c r="N8" i="38" s="1" a="1"/>
  <c r="N8" i="38" s="1"/>
  <c r="H100" i="39" a="1"/>
  <c r="H100" i="39" s="1"/>
  <c r="G100" i="39" a="1"/>
  <c r="G100" i="39" s="1"/>
  <c r="F100" i="39" a="1"/>
  <c r="F100" i="39" s="1"/>
  <c r="E100" i="39" a="1"/>
  <c r="E100" i="39" s="1"/>
  <c r="S77" i="39" a="1"/>
  <c r="S77" i="39" s="1"/>
  <c r="R77" i="39" a="1"/>
  <c r="R77" i="39" s="1"/>
  <c r="D77" i="39"/>
  <c r="J77" i="39" s="1" a="1"/>
  <c r="J77" i="39" s="1"/>
  <c r="S76" i="39" a="1"/>
  <c r="S76" i="39" s="1"/>
  <c r="R76" i="39" a="1"/>
  <c r="R76" i="39" s="1"/>
  <c r="D76" i="39"/>
  <c r="AG76" i="39" s="1"/>
  <c r="AH76" i="39" s="1"/>
  <c r="S75" i="39" a="1"/>
  <c r="S75" i="39" s="1"/>
  <c r="R75" i="39" a="1"/>
  <c r="R75" i="39" s="1"/>
  <c r="D75" i="39"/>
  <c r="J75" i="39" s="1" a="1"/>
  <c r="J75" i="39" s="1"/>
  <c r="S74" i="39" a="1"/>
  <c r="S74" i="39" s="1"/>
  <c r="R74" i="39" a="1"/>
  <c r="R74" i="39" s="1"/>
  <c r="D74" i="39"/>
  <c r="L74" i="39" s="1" a="1"/>
  <c r="L74" i="39" s="1"/>
  <c r="V73" i="39" a="1"/>
  <c r="V73" i="39" s="1"/>
  <c r="S73" i="39" a="1"/>
  <c r="S73" i="39" s="1"/>
  <c r="R73" i="39" a="1"/>
  <c r="R73" i="39" s="1"/>
  <c r="D73" i="39"/>
  <c r="K73" i="39" s="1"/>
  <c r="S72" i="39" a="1"/>
  <c r="S72" i="39" s="1"/>
  <c r="R72" i="39" a="1"/>
  <c r="R72" i="39" s="1"/>
  <c r="D72" i="39"/>
  <c r="AG72" i="39" s="1"/>
  <c r="AH72" i="39" s="1"/>
  <c r="S71" i="39" a="1"/>
  <c r="S71" i="39" s="1"/>
  <c r="R71" i="39" a="1"/>
  <c r="R71" i="39" s="1"/>
  <c r="D71" i="39"/>
  <c r="S70" i="39" a="1"/>
  <c r="S70" i="39" s="1"/>
  <c r="R70" i="39" a="1"/>
  <c r="R70" i="39" s="1"/>
  <c r="D70" i="39"/>
  <c r="AG70" i="39" s="1"/>
  <c r="AH70" i="39" s="1"/>
  <c r="S69" i="39" a="1"/>
  <c r="S69" i="39" s="1"/>
  <c r="R69" i="39" a="1"/>
  <c r="R69" i="39" s="1"/>
  <c r="D69" i="39"/>
  <c r="AG69" i="39" s="1"/>
  <c r="AH69" i="39" s="1"/>
  <c r="S68" i="39" a="1"/>
  <c r="S68" i="39" s="1"/>
  <c r="R68" i="39" a="1"/>
  <c r="R68" i="39" s="1"/>
  <c r="D68" i="39"/>
  <c r="AG68" i="39" s="1"/>
  <c r="AH68" i="39" s="1"/>
  <c r="S67" i="39" a="1"/>
  <c r="S67" i="39" s="1"/>
  <c r="R67" i="39" a="1"/>
  <c r="R67" i="39" s="1"/>
  <c r="D67" i="39"/>
  <c r="S66" i="39" a="1"/>
  <c r="S66" i="39" s="1"/>
  <c r="R66" i="39" a="1"/>
  <c r="R66" i="39" s="1"/>
  <c r="D66" i="39"/>
  <c r="AG66" i="39" s="1"/>
  <c r="AH66" i="39" s="1"/>
  <c r="S65" i="39" a="1"/>
  <c r="S65" i="39" s="1"/>
  <c r="R65" i="39" a="1"/>
  <c r="R65" i="39" s="1"/>
  <c r="D65" i="39"/>
  <c r="S64" i="39" a="1"/>
  <c r="S64" i="39" s="1"/>
  <c r="R64" i="39" a="1"/>
  <c r="R64" i="39" s="1"/>
  <c r="D64" i="39"/>
  <c r="U64" i="39" s="1"/>
  <c r="S63" i="39" a="1"/>
  <c r="S63" i="39" s="1"/>
  <c r="R63" i="39" a="1"/>
  <c r="R63" i="39" s="1"/>
  <c r="D63" i="39"/>
  <c r="AG63" i="39" s="1"/>
  <c r="AH63" i="39" s="1"/>
  <c r="S62" i="39" a="1"/>
  <c r="S62" i="39" s="1"/>
  <c r="R62" i="39" a="1"/>
  <c r="R62" i="39" s="1"/>
  <c r="D62" i="39"/>
  <c r="S61" i="39" a="1"/>
  <c r="S61" i="39" s="1"/>
  <c r="R61" i="39" a="1"/>
  <c r="R61" i="39" s="1"/>
  <c r="D61" i="39"/>
  <c r="AG61" i="39" s="1"/>
  <c r="AH61" i="39" s="1"/>
  <c r="AG60" i="39"/>
  <c r="AH60" i="39" s="1"/>
  <c r="AI61" i="39" s="1"/>
  <c r="AJ61" i="39" s="1"/>
  <c r="S60" i="39" a="1"/>
  <c r="S60" i="39" s="1"/>
  <c r="R60" i="39" a="1"/>
  <c r="R60" i="39" s="1"/>
  <c r="D60" i="39"/>
  <c r="S59" i="39" a="1"/>
  <c r="S59" i="39" s="1"/>
  <c r="R59" i="39" a="1"/>
  <c r="R59" i="39" s="1"/>
  <c r="D59" i="39"/>
  <c r="AG59" i="39" s="1"/>
  <c r="AH59" i="39" s="1"/>
  <c r="S58" i="39" a="1"/>
  <c r="S58" i="39" s="1"/>
  <c r="R58" i="39" a="1"/>
  <c r="R58" i="39" s="1"/>
  <c r="D58" i="39"/>
  <c r="K58" i="39" s="1"/>
  <c r="S57" i="39" a="1"/>
  <c r="S57" i="39" s="1"/>
  <c r="R57" i="39" a="1"/>
  <c r="R57" i="39" s="1"/>
  <c r="D57" i="39"/>
  <c r="V57" i="39" s="1" a="1"/>
  <c r="V57" i="39" s="1"/>
  <c r="S56" i="39" a="1"/>
  <c r="S56" i="39" s="1"/>
  <c r="R56" i="39" a="1"/>
  <c r="R56" i="39" s="1"/>
  <c r="D56" i="39"/>
  <c r="U56" i="39" s="1"/>
  <c r="S55" i="39" a="1"/>
  <c r="S55" i="39" s="1"/>
  <c r="R55" i="39" a="1"/>
  <c r="R55" i="39" s="1"/>
  <c r="D55" i="39"/>
  <c r="U55" i="39" s="1"/>
  <c r="S54" i="39" a="1"/>
  <c r="S54" i="39" s="1"/>
  <c r="R54" i="39" a="1"/>
  <c r="R54" i="39" s="1"/>
  <c r="D54" i="39"/>
  <c r="U54" i="39" s="1"/>
  <c r="S53" i="39" a="1"/>
  <c r="S53" i="39" s="1"/>
  <c r="R53" i="39" a="1"/>
  <c r="R53" i="39" s="1"/>
  <c r="D53" i="39"/>
  <c r="S52" i="39" a="1"/>
  <c r="S52" i="39" s="1"/>
  <c r="R52" i="39" a="1"/>
  <c r="R52" i="39" s="1"/>
  <c r="D52" i="39"/>
  <c r="U52" i="39" s="1"/>
  <c r="X52" i="39" s="1"/>
  <c r="S51" i="39" a="1"/>
  <c r="S51" i="39" s="1"/>
  <c r="R51" i="39" a="1"/>
  <c r="R51" i="39" s="1"/>
  <c r="D51" i="39"/>
  <c r="S50" i="39" a="1"/>
  <c r="S50" i="39" s="1"/>
  <c r="R50" i="39" a="1"/>
  <c r="R50" i="39" s="1"/>
  <c r="D50" i="39"/>
  <c r="V50" i="39" s="1" a="1"/>
  <c r="V50" i="39" s="1"/>
  <c r="S49" i="39" a="1"/>
  <c r="S49" i="39" s="1"/>
  <c r="R49" i="39" a="1"/>
  <c r="R49" i="39" s="1"/>
  <c r="D49" i="39"/>
  <c r="U49" i="39" s="1"/>
  <c r="S48" i="39" a="1"/>
  <c r="S48" i="39" s="1"/>
  <c r="R48" i="39" a="1"/>
  <c r="R48" i="39" s="1"/>
  <c r="D48" i="39"/>
  <c r="AG48" i="39" s="1"/>
  <c r="AH48" i="39" s="1"/>
  <c r="S46" i="39"/>
  <c r="R46" i="39"/>
  <c r="Y42" i="39"/>
  <c r="Z42" i="39" s="1"/>
  <c r="X42" i="39"/>
  <c r="W42" i="39"/>
  <c r="V42" i="39"/>
  <c r="Z41" i="39"/>
  <c r="Y41" i="39"/>
  <c r="X41" i="39"/>
  <c r="W41" i="39"/>
  <c r="V41" i="39"/>
  <c r="M41" i="39"/>
  <c r="Z40" i="39"/>
  <c r="Y40" i="39"/>
  <c r="X40" i="39"/>
  <c r="W40" i="39"/>
  <c r="V40" i="39"/>
  <c r="M40" i="39"/>
  <c r="Y39" i="39"/>
  <c r="Z39" i="39" s="1"/>
  <c r="X39" i="39"/>
  <c r="W39" i="39"/>
  <c r="V39" i="39"/>
  <c r="M39" i="39"/>
  <c r="Y38" i="39"/>
  <c r="Z38" i="39" s="1"/>
  <c r="X38" i="39"/>
  <c r="W38" i="39"/>
  <c r="V38" i="39"/>
  <c r="M38" i="39"/>
  <c r="Z37" i="39"/>
  <c r="Y37" i="39"/>
  <c r="X37" i="39"/>
  <c r="W37" i="39"/>
  <c r="V37" i="39"/>
  <c r="M37" i="39"/>
  <c r="Y36" i="39"/>
  <c r="Z36" i="39" s="1"/>
  <c r="X36" i="39"/>
  <c r="W36" i="39"/>
  <c r="V36" i="39"/>
  <c r="M36" i="39"/>
  <c r="Y35" i="39"/>
  <c r="Z35" i="39" s="1"/>
  <c r="X35" i="39"/>
  <c r="W35" i="39"/>
  <c r="V35" i="39"/>
  <c r="M35" i="39"/>
  <c r="Y34" i="39"/>
  <c r="Z34" i="39" s="1"/>
  <c r="X34" i="39"/>
  <c r="W34" i="39"/>
  <c r="V34" i="39"/>
  <c r="M34" i="39"/>
  <c r="E34" i="39"/>
  <c r="V22" i="39" s="1"/>
  <c r="Y33" i="39"/>
  <c r="Z33" i="39" s="1"/>
  <c r="X33" i="39"/>
  <c r="W33" i="39"/>
  <c r="V33" i="39"/>
  <c r="M33" i="39"/>
  <c r="Z32" i="39"/>
  <c r="Y32" i="39"/>
  <c r="X32" i="39"/>
  <c r="W32" i="39"/>
  <c r="V32" i="39"/>
  <c r="M32" i="39"/>
  <c r="E32" i="39"/>
  <c r="Z31" i="39"/>
  <c r="Y31" i="39"/>
  <c r="X31" i="39"/>
  <c r="W31" i="39"/>
  <c r="V31" i="39"/>
  <c r="M31" i="39"/>
  <c r="Y30" i="39"/>
  <c r="Z30" i="39" s="1"/>
  <c r="X30" i="39"/>
  <c r="W30" i="39"/>
  <c r="V30" i="39"/>
  <c r="M30" i="39"/>
  <c r="Y29" i="39"/>
  <c r="Z29" i="39" s="1"/>
  <c r="X29" i="39"/>
  <c r="W29" i="39"/>
  <c r="V29" i="39"/>
  <c r="M29" i="39"/>
  <c r="Y28" i="39"/>
  <c r="Z28" i="39" s="1"/>
  <c r="X28" i="39"/>
  <c r="W28" i="39"/>
  <c r="V28" i="39"/>
  <c r="M28" i="39"/>
  <c r="Z27" i="39"/>
  <c r="Y27" i="39"/>
  <c r="X27" i="39"/>
  <c r="W27" i="39"/>
  <c r="V27" i="39"/>
  <c r="M27" i="39"/>
  <c r="Y26" i="39"/>
  <c r="Z26" i="39" s="1"/>
  <c r="X26" i="39"/>
  <c r="W26" i="39"/>
  <c r="V26" i="39"/>
  <c r="M26" i="39"/>
  <c r="Z25" i="39"/>
  <c r="Y25" i="39"/>
  <c r="X25" i="39"/>
  <c r="W25" i="39"/>
  <c r="V25" i="39"/>
  <c r="M25" i="39"/>
  <c r="Y24" i="39"/>
  <c r="Z24" i="39" s="1"/>
  <c r="X24" i="39"/>
  <c r="W24" i="39"/>
  <c r="V24" i="39"/>
  <c r="M24" i="39"/>
  <c r="X23" i="39"/>
  <c r="W23" i="39"/>
  <c r="V23" i="39"/>
  <c r="M23" i="39"/>
  <c r="X20" i="39" s="1"/>
  <c r="X22" i="39"/>
  <c r="W22" i="39"/>
  <c r="M22" i="39"/>
  <c r="X21" i="39"/>
  <c r="W21" i="39"/>
  <c r="V21" i="39"/>
  <c r="M21" i="39"/>
  <c r="W20" i="39"/>
  <c r="V20" i="39"/>
  <c r="M20" i="39"/>
  <c r="W19" i="39"/>
  <c r="V19" i="39"/>
  <c r="M19" i="39"/>
  <c r="X19" i="39" s="1"/>
  <c r="E15" i="39"/>
  <c r="U11" i="39"/>
  <c r="V11" i="39" s="1"/>
  <c r="U11" i="39" a="1"/>
  <c r="W10" i="39"/>
  <c r="W9" i="39"/>
  <c r="W8" i="39" a="1"/>
  <c r="W8" i="39" s="1"/>
  <c r="W7" i="39"/>
  <c r="N7" i="39"/>
  <c r="N8" i="39" s="1" a="1"/>
  <c r="N8" i="39" s="1"/>
  <c r="N7" i="39" a="1"/>
  <c r="W7" i="38"/>
  <c r="F35" i="32"/>
  <c r="F34" i="32"/>
  <c r="F33" i="32"/>
  <c r="F32" i="32"/>
  <c r="F31" i="32"/>
  <c r="V12" i="4"/>
  <c r="V11" i="4"/>
  <c r="U11" i="4" a="1"/>
  <c r="U11" i="4"/>
  <c r="W11" i="4"/>
  <c r="U12" i="4" a="1"/>
  <c r="U12" i="4"/>
  <c r="W12" i="4"/>
  <c r="AY9" i="5"/>
  <c r="AX9" i="5"/>
  <c r="AV9" i="5"/>
  <c r="AU9" i="5"/>
  <c r="AT9" i="5"/>
  <c r="AW9" i="5"/>
  <c r="AS9" i="5"/>
  <c r="AR9" i="5"/>
  <c r="AU10" i="5"/>
  <c r="AY10" i="5"/>
  <c r="AY38" i="5" s="1" a="1"/>
  <c r="AY38" i="5" s="1"/>
  <c r="BG38" i="5" s="1"/>
  <c r="AX10" i="5"/>
  <c r="AW10" i="5"/>
  <c r="AV10" i="5"/>
  <c r="AT10" i="5"/>
  <c r="AS10" i="5"/>
  <c r="AR10" i="5"/>
  <c r="H100" i="38" a="1"/>
  <c r="H100" i="38" s="1"/>
  <c r="G100" i="38" a="1"/>
  <c r="G100" i="38" s="1"/>
  <c r="F100" i="38" a="1"/>
  <c r="F100" i="38" s="1"/>
  <c r="E100" i="38" a="1"/>
  <c r="E100" i="38" s="1"/>
  <c r="D77" i="38"/>
  <c r="V77" i="38" s="1" a="1"/>
  <c r="V77" i="38" s="1"/>
  <c r="D76" i="38"/>
  <c r="D75" i="38"/>
  <c r="AG75" i="38" s="1"/>
  <c r="AH75" i="38" s="1"/>
  <c r="D74" i="38"/>
  <c r="U74" i="38" s="1"/>
  <c r="D73" i="38"/>
  <c r="AG73" i="38" s="1"/>
  <c r="AH73" i="38" s="1"/>
  <c r="D72" i="38"/>
  <c r="AG72" i="38" s="1"/>
  <c r="AH72" i="38" s="1"/>
  <c r="D71" i="38"/>
  <c r="AG71" i="38" s="1"/>
  <c r="AH71" i="38" s="1"/>
  <c r="D70" i="38"/>
  <c r="AG70" i="38" s="1"/>
  <c r="AH70" i="38" s="1"/>
  <c r="D69" i="38"/>
  <c r="D68" i="38"/>
  <c r="AG68" i="38" s="1"/>
  <c r="AH68" i="38" s="1"/>
  <c r="D67" i="38"/>
  <c r="V67" i="38" s="1" a="1"/>
  <c r="V67" i="38" s="1"/>
  <c r="D66" i="38"/>
  <c r="D65" i="38"/>
  <c r="AG65" i="38" s="1"/>
  <c r="AH65" i="38" s="1"/>
  <c r="D64" i="38"/>
  <c r="K64" i="38" s="1"/>
  <c r="D63" i="38"/>
  <c r="AG63" i="38" s="1"/>
  <c r="AH63" i="38" s="1"/>
  <c r="D62" i="38"/>
  <c r="V62" i="38" s="1" a="1"/>
  <c r="V62" i="38" s="1"/>
  <c r="D61" i="38"/>
  <c r="K61" i="38" s="1"/>
  <c r="D60" i="38"/>
  <c r="AG60" i="38" s="1"/>
  <c r="AH60" i="38" s="1"/>
  <c r="D59" i="38"/>
  <c r="U59" i="38" s="1"/>
  <c r="D58" i="38"/>
  <c r="AG58" i="38" s="1"/>
  <c r="AH58" i="38" s="1"/>
  <c r="D57" i="38"/>
  <c r="K57" i="38" s="1"/>
  <c r="D56" i="38"/>
  <c r="U56" i="38" s="1"/>
  <c r="D55" i="38"/>
  <c r="AG55" i="38" s="1"/>
  <c r="AH55" i="38" s="1"/>
  <c r="D54" i="38"/>
  <c r="D53" i="38"/>
  <c r="K53" i="38" s="1"/>
  <c r="D52" i="38"/>
  <c r="K52" i="38" s="1"/>
  <c r="D51" i="38"/>
  <c r="L51" i="38" s="1" a="1"/>
  <c r="L51" i="38" s="1"/>
  <c r="D50" i="38"/>
  <c r="AG50" i="38" s="1"/>
  <c r="AH50" i="38" s="1"/>
  <c r="D49" i="38"/>
  <c r="U49" i="38" s="1"/>
  <c r="D48" i="38"/>
  <c r="U48" i="38" s="1"/>
  <c r="W48" i="38" s="1"/>
  <c r="AB48" i="38" s="1"/>
  <c r="S46" i="38"/>
  <c r="R46" i="38"/>
  <c r="Y42" i="38"/>
  <c r="Z42" i="38" s="1"/>
  <c r="X42" i="38"/>
  <c r="W42" i="38"/>
  <c r="V42" i="38"/>
  <c r="Y41" i="38"/>
  <c r="Z41" i="38" s="1"/>
  <c r="X41" i="38"/>
  <c r="W41" i="38"/>
  <c r="V41" i="38"/>
  <c r="M41" i="38"/>
  <c r="Y40" i="38"/>
  <c r="Z40" i="38" s="1"/>
  <c r="X40" i="38"/>
  <c r="W40" i="38"/>
  <c r="V40" i="38"/>
  <c r="M40" i="38"/>
  <c r="Y39" i="38"/>
  <c r="Z39" i="38" s="1"/>
  <c r="X39" i="38"/>
  <c r="W39" i="38"/>
  <c r="V39" i="38"/>
  <c r="M39" i="38"/>
  <c r="Y38" i="38"/>
  <c r="Z38" i="38" s="1"/>
  <c r="X38" i="38"/>
  <c r="W38" i="38"/>
  <c r="V38" i="38"/>
  <c r="M38" i="38"/>
  <c r="Y37" i="38"/>
  <c r="Z37" i="38" s="1"/>
  <c r="X37" i="38"/>
  <c r="W37" i="38"/>
  <c r="V37" i="38"/>
  <c r="M37" i="38"/>
  <c r="Y36" i="38"/>
  <c r="Z36" i="38" s="1"/>
  <c r="X36" i="38"/>
  <c r="W36" i="38"/>
  <c r="V36" i="38"/>
  <c r="M36" i="38"/>
  <c r="Y35" i="38"/>
  <c r="Z35" i="38" s="1"/>
  <c r="X35" i="38"/>
  <c r="W35" i="38"/>
  <c r="V35" i="38"/>
  <c r="M35" i="38"/>
  <c r="Y34" i="38"/>
  <c r="Z34" i="38" s="1"/>
  <c r="X34" i="38"/>
  <c r="W34" i="38"/>
  <c r="V34" i="38"/>
  <c r="M34" i="38"/>
  <c r="Y33" i="38"/>
  <c r="Z33" i="38" s="1"/>
  <c r="X33" i="38"/>
  <c r="W33" i="38"/>
  <c r="V33" i="38"/>
  <c r="M33" i="38"/>
  <c r="Y32" i="38"/>
  <c r="Z32" i="38" s="1"/>
  <c r="X32" i="38"/>
  <c r="W32" i="38"/>
  <c r="V32" i="38"/>
  <c r="M32" i="38"/>
  <c r="Y31" i="38"/>
  <c r="Z31" i="38" s="1"/>
  <c r="X31" i="38"/>
  <c r="W31" i="38"/>
  <c r="V31" i="38"/>
  <c r="M31" i="38"/>
  <c r="Y30" i="38"/>
  <c r="Z30" i="38" s="1"/>
  <c r="X30" i="38"/>
  <c r="W30" i="38"/>
  <c r="V30" i="38"/>
  <c r="M30" i="38"/>
  <c r="Y29" i="38"/>
  <c r="Z29" i="38" s="1"/>
  <c r="X29" i="38"/>
  <c r="W29" i="38"/>
  <c r="V29" i="38"/>
  <c r="M29" i="38"/>
  <c r="Y28" i="38"/>
  <c r="Z28" i="38" s="1"/>
  <c r="X28" i="38"/>
  <c r="W28" i="38"/>
  <c r="V28" i="38"/>
  <c r="M28" i="38"/>
  <c r="Y27" i="38"/>
  <c r="Z27" i="38" s="1"/>
  <c r="X27" i="38"/>
  <c r="W27" i="38"/>
  <c r="V27" i="38"/>
  <c r="M27" i="38"/>
  <c r="Y26" i="38"/>
  <c r="Z26" i="38" s="1"/>
  <c r="X26" i="38"/>
  <c r="W26" i="38"/>
  <c r="V26" i="38"/>
  <c r="M26" i="38"/>
  <c r="Y25" i="38"/>
  <c r="Z25" i="38" s="1"/>
  <c r="X25" i="38"/>
  <c r="W25" i="38"/>
  <c r="V25" i="38"/>
  <c r="M25" i="38"/>
  <c r="Y24" i="38"/>
  <c r="Z24" i="38" s="1"/>
  <c r="X24" i="38"/>
  <c r="W24" i="38"/>
  <c r="V24" i="38"/>
  <c r="M24" i="38"/>
  <c r="X23" i="38"/>
  <c r="W23" i="38"/>
  <c r="V23" i="38"/>
  <c r="M23" i="38"/>
  <c r="W22" i="38"/>
  <c r="V22" i="38"/>
  <c r="M22" i="38"/>
  <c r="X21" i="38"/>
  <c r="W21" i="38"/>
  <c r="V21" i="38"/>
  <c r="M21" i="38"/>
  <c r="W20" i="38"/>
  <c r="V20" i="38"/>
  <c r="M20" i="38"/>
  <c r="W19" i="38"/>
  <c r="V19" i="38"/>
  <c r="M19" i="38"/>
  <c r="E15" i="38"/>
  <c r="U11" i="38" a="1"/>
  <c r="U11" i="38" s="1"/>
  <c r="W11" i="38" s="1"/>
  <c r="W10" i="38"/>
  <c r="M12" i="32" s="1"/>
  <c r="W9" i="38"/>
  <c r="M11" i="32" s="1"/>
  <c r="W8" i="38" a="1"/>
  <c r="W8" i="38" s="1"/>
  <c r="M10" i="32" s="1"/>
  <c r="E100" i="4" a="1"/>
  <c r="E100" i="4" s="1"/>
  <c r="W10" i="4"/>
  <c r="W9" i="4"/>
  <c r="W8" i="4" a="1"/>
  <c r="W8" i="4" s="1"/>
  <c r="Y23" i="4"/>
  <c r="Z23" i="4" s="1"/>
  <c r="Y24" i="4"/>
  <c r="Z24" i="4" s="1"/>
  <c r="Y25" i="4"/>
  <c r="Z25" i="4" s="1"/>
  <c r="Y26" i="4"/>
  <c r="Z26" i="4" s="1"/>
  <c r="Y27" i="4"/>
  <c r="Z27" i="4" s="1"/>
  <c r="Y28" i="4"/>
  <c r="Z28" i="4" s="1"/>
  <c r="Y29" i="4"/>
  <c r="Z29" i="4" s="1"/>
  <c r="Y30" i="4"/>
  <c r="Z30" i="4" s="1"/>
  <c r="Y31" i="4"/>
  <c r="Z31" i="4" s="1"/>
  <c r="Y32" i="4"/>
  <c r="Z32" i="4" s="1"/>
  <c r="Y33" i="4"/>
  <c r="Z33" i="4" s="1"/>
  <c r="Y34" i="4"/>
  <c r="Z34" i="4" s="1"/>
  <c r="Y35" i="4"/>
  <c r="Z35" i="4" s="1"/>
  <c r="Y36" i="4"/>
  <c r="Z36" i="4" s="1"/>
  <c r="Y37" i="4"/>
  <c r="Z37" i="4" s="1"/>
  <c r="Y38" i="4"/>
  <c r="Z38" i="4" s="1"/>
  <c r="Y39" i="4"/>
  <c r="Z39" i="4" s="1"/>
  <c r="Y40" i="4"/>
  <c r="Z40" i="4" s="1"/>
  <c r="Y41" i="4"/>
  <c r="Z41" i="4" s="1"/>
  <c r="Y42" i="4"/>
  <c r="Z42" i="4" s="1"/>
  <c r="F100" i="4" a="1"/>
  <c r="F100" i="4" s="1"/>
  <c r="F26" i="32"/>
  <c r="F27" i="32" s="1"/>
  <c r="F21" i="32"/>
  <c r="F25" i="32" s="1"/>
  <c r="H100" i="4" a="1"/>
  <c r="H100" i="4" s="1"/>
  <c r="G100" i="4" a="1"/>
  <c r="G100" i="4" s="1"/>
  <c r="W19" i="4"/>
  <c r="W20" i="4"/>
  <c r="W21" i="4"/>
  <c r="W22" i="4"/>
  <c r="W23" i="4"/>
  <c r="W24" i="4"/>
  <c r="W25" i="4"/>
  <c r="W26" i="4"/>
  <c r="W27" i="4"/>
  <c r="W28" i="4"/>
  <c r="W29" i="4"/>
  <c r="W30" i="4"/>
  <c r="W31" i="4"/>
  <c r="W32" i="4"/>
  <c r="W33" i="4"/>
  <c r="W34" i="4"/>
  <c r="W35" i="4"/>
  <c r="W36" i="4"/>
  <c r="W37" i="4"/>
  <c r="W38" i="4"/>
  <c r="W39" i="4"/>
  <c r="W40" i="4"/>
  <c r="W41" i="4"/>
  <c r="W42" i="4"/>
  <c r="X23" i="4"/>
  <c r="X24" i="4"/>
  <c r="X25" i="4"/>
  <c r="X26" i="4"/>
  <c r="X27" i="4"/>
  <c r="X28" i="4"/>
  <c r="X29" i="4"/>
  <c r="X30" i="4"/>
  <c r="X31" i="4"/>
  <c r="X32" i="4"/>
  <c r="X33" i="4"/>
  <c r="X34" i="4"/>
  <c r="X35" i="4"/>
  <c r="X36" i="4"/>
  <c r="X37" i="4"/>
  <c r="X38" i="4"/>
  <c r="X39" i="4"/>
  <c r="X40" i="4"/>
  <c r="X41" i="4"/>
  <c r="X42" i="4"/>
  <c r="V19" i="4"/>
  <c r="V20" i="4"/>
  <c r="V21" i="4"/>
  <c r="V22" i="4"/>
  <c r="V23" i="4"/>
  <c r="V24" i="4"/>
  <c r="V25" i="4"/>
  <c r="V26" i="4"/>
  <c r="V27" i="4"/>
  <c r="V28" i="4"/>
  <c r="V29" i="4"/>
  <c r="V30" i="4"/>
  <c r="V31" i="4"/>
  <c r="V32" i="4"/>
  <c r="V33" i="4"/>
  <c r="V34" i="4"/>
  <c r="V35" i="4"/>
  <c r="V36" i="4"/>
  <c r="V37" i="4"/>
  <c r="V38" i="4"/>
  <c r="V39" i="4"/>
  <c r="V40" i="4"/>
  <c r="V41" i="4"/>
  <c r="V42" i="4"/>
  <c r="BS10" i="5"/>
  <c r="BS33" i="5" s="1" a="1"/>
  <c r="BS33" i="5" s="1"/>
  <c r="BR10" i="5"/>
  <c r="BR20" i="5" s="1" a="1"/>
  <c r="BR20" i="5" s="1"/>
  <c r="BQ10" i="5"/>
  <c r="BQ12" i="5" s="1" a="1"/>
  <c r="BQ12" i="5" s="1"/>
  <c r="BP10" i="5"/>
  <c r="BS9" i="5"/>
  <c r="BR9" i="5"/>
  <c r="BQ9" i="5"/>
  <c r="AX18" i="5" a="1"/>
  <c r="AX18" i="5" s="1"/>
  <c r="N7" i="4" a="1"/>
  <c r="N7" i="4" s="1"/>
  <c r="N8" i="4" s="1" a="1"/>
  <c r="N8" i="4" s="1"/>
  <c r="D48" i="4"/>
  <c r="L48" i="4" s="1" a="1"/>
  <c r="L48" i="4" s="1"/>
  <c r="D49" i="4"/>
  <c r="L49" i="4" s="1" a="1"/>
  <c r="L49" i="4" s="1"/>
  <c r="D50" i="4"/>
  <c r="L50" i="4" s="1" a="1"/>
  <c r="L50" i="4" s="1"/>
  <c r="D51" i="4"/>
  <c r="L51" i="4" s="1" a="1"/>
  <c r="L51" i="4" s="1"/>
  <c r="D52" i="4"/>
  <c r="L52" i="4" s="1" a="1"/>
  <c r="L52" i="4" s="1"/>
  <c r="D53" i="4"/>
  <c r="L53" i="4" s="1" a="1"/>
  <c r="L53" i="4" s="1"/>
  <c r="D54" i="4"/>
  <c r="L54" i="4" s="1" a="1"/>
  <c r="L54" i="4" s="1"/>
  <c r="D55" i="4"/>
  <c r="L55" i="4" s="1" a="1"/>
  <c r="L55" i="4" s="1"/>
  <c r="D56" i="4"/>
  <c r="L56" i="4" s="1" a="1"/>
  <c r="L56" i="4" s="1"/>
  <c r="D57" i="4"/>
  <c r="L57" i="4" s="1" a="1"/>
  <c r="L57" i="4" s="1"/>
  <c r="D58" i="4"/>
  <c r="L58" i="4" s="1" a="1"/>
  <c r="L58" i="4" s="1"/>
  <c r="D59" i="4"/>
  <c r="L59" i="4" s="1" a="1"/>
  <c r="L59" i="4" s="1"/>
  <c r="D60" i="4"/>
  <c r="L60" i="4" s="1" a="1"/>
  <c r="L60" i="4" s="1"/>
  <c r="D61" i="4"/>
  <c r="L61" i="4" s="1" a="1"/>
  <c r="L61" i="4" s="1"/>
  <c r="D62" i="4"/>
  <c r="L62" i="4" s="1" a="1"/>
  <c r="L62" i="4" s="1"/>
  <c r="D63" i="4"/>
  <c r="L63" i="4" s="1" a="1"/>
  <c r="L63" i="4" s="1"/>
  <c r="D64" i="4"/>
  <c r="L64" i="4" s="1" a="1"/>
  <c r="L64" i="4" s="1"/>
  <c r="D65" i="4"/>
  <c r="L65" i="4" s="1" a="1"/>
  <c r="L65" i="4" s="1"/>
  <c r="D66" i="4"/>
  <c r="L66" i="4" s="1" a="1"/>
  <c r="L66" i="4" s="1"/>
  <c r="D67" i="4"/>
  <c r="L67" i="4" s="1" a="1"/>
  <c r="L67" i="4" s="1"/>
  <c r="D68" i="4"/>
  <c r="L68" i="4" s="1" a="1"/>
  <c r="L68" i="4" s="1"/>
  <c r="D69" i="4"/>
  <c r="L69" i="4" s="1" a="1"/>
  <c r="L69" i="4" s="1"/>
  <c r="D70" i="4"/>
  <c r="L70" i="4" s="1" a="1"/>
  <c r="L70" i="4" s="1"/>
  <c r="D71" i="4"/>
  <c r="L71" i="4" s="1" a="1"/>
  <c r="L71" i="4" s="1"/>
  <c r="D72" i="4"/>
  <c r="L72" i="4" s="1" a="1"/>
  <c r="L72" i="4" s="1"/>
  <c r="D73" i="4"/>
  <c r="L73" i="4" s="1" a="1"/>
  <c r="L73" i="4" s="1"/>
  <c r="D74" i="4"/>
  <c r="L74" i="4" s="1" a="1"/>
  <c r="L74" i="4" s="1"/>
  <c r="D75" i="4"/>
  <c r="L75" i="4" s="1" a="1"/>
  <c r="L75" i="4" s="1"/>
  <c r="D76" i="4"/>
  <c r="L76" i="4" s="1" a="1"/>
  <c r="L76" i="4" s="1"/>
  <c r="D77" i="4"/>
  <c r="K77" i="4" s="1"/>
  <c r="BO10" i="5"/>
  <c r="BN10" i="5"/>
  <c r="BN38" i="5" s="1" a="1"/>
  <c r="BN38" i="5" s="1"/>
  <c r="BM10" i="5"/>
  <c r="BM12" i="5" s="1" a="1"/>
  <c r="BM12" i="5" s="1"/>
  <c r="BL10" i="5"/>
  <c r="BP9" i="5"/>
  <c r="BO9" i="5"/>
  <c r="BN9" i="5"/>
  <c r="BM9" i="5"/>
  <c r="BL9" i="5"/>
  <c r="E15" i="4"/>
  <c r="R46" i="4"/>
  <c r="S46" i="4"/>
  <c r="U75" i="39" l="1"/>
  <c r="AD77" i="39"/>
  <c r="AG73" i="39"/>
  <c r="AH73" i="39" s="1"/>
  <c r="K61" i="39"/>
  <c r="K63" i="39"/>
  <c r="L63" i="39" a="1"/>
  <c r="L63" i="39" s="1"/>
  <c r="L73" i="39" a="1"/>
  <c r="L73" i="39" s="1"/>
  <c r="L59" i="39" a="1"/>
  <c r="L59" i="39" s="1"/>
  <c r="V59" i="39" a="1"/>
  <c r="V59" i="39" s="1"/>
  <c r="V74" i="39" a="1"/>
  <c r="V74" i="39" s="1"/>
  <c r="AG55" i="39"/>
  <c r="AH55" i="39" s="1"/>
  <c r="Z76" i="39"/>
  <c r="AI69" i="39"/>
  <c r="AJ69" i="39" s="1"/>
  <c r="X56" i="39"/>
  <c r="AA56" i="39" s="1"/>
  <c r="AC56" i="39" s="1"/>
  <c r="W56" i="39"/>
  <c r="AB56" i="39" s="1"/>
  <c r="AD56" i="39" s="1"/>
  <c r="G48" i="39" a="1"/>
  <c r="G48" i="39" s="1"/>
  <c r="G49" i="39" s="1" a="1"/>
  <c r="G49" i="39" s="1"/>
  <c r="P49" i="39" s="1"/>
  <c r="K49" i="39"/>
  <c r="V54" i="39" a="1"/>
  <c r="V54" i="39" s="1"/>
  <c r="L64" i="39" a="1"/>
  <c r="L64" i="39" s="1"/>
  <c r="K69" i="39"/>
  <c r="AF76" i="39"/>
  <c r="L69" i="39" a="1"/>
  <c r="L69" i="39" s="1"/>
  <c r="E76" i="39" a="1"/>
  <c r="E76" i="39" s="1"/>
  <c r="N76" i="39" s="1" a="1"/>
  <c r="N76" i="39" s="1"/>
  <c r="H48" i="39" a="1"/>
  <c r="H48" i="39" s="1"/>
  <c r="Q48" i="39" s="1" a="1"/>
  <c r="Q48" i="39" s="1"/>
  <c r="L49" i="39" a="1"/>
  <c r="L49" i="39" s="1"/>
  <c r="K54" i="39"/>
  <c r="K48" i="39"/>
  <c r="L54" i="39" a="1"/>
  <c r="L54" i="39" s="1"/>
  <c r="K55" i="39"/>
  <c r="K56" i="39"/>
  <c r="AF56" i="39" s="1"/>
  <c r="AG56" i="39"/>
  <c r="AH56" i="39" s="1"/>
  <c r="AI56" i="39" s="1"/>
  <c r="AJ56" i="39" s="1"/>
  <c r="V61" i="39" a="1"/>
  <c r="V61" i="39" s="1"/>
  <c r="V70" i="39" a="1"/>
  <c r="V70" i="39" s="1"/>
  <c r="AG74" i="39"/>
  <c r="AH74" i="39" s="1"/>
  <c r="AI74" i="39" s="1"/>
  <c r="F77" i="39" a="1"/>
  <c r="F77" i="39" s="1"/>
  <c r="O77" i="39" s="1"/>
  <c r="L48" i="39" a="1"/>
  <c r="L48" i="39" s="1"/>
  <c r="V52" i="39" a="1"/>
  <c r="V52" i="39" s="1"/>
  <c r="L56" i="39" a="1"/>
  <c r="L56" i="39" s="1"/>
  <c r="H76" i="39" a="1"/>
  <c r="H76" i="39" s="1"/>
  <c r="Q76" i="39" s="1" a="1"/>
  <c r="Q76" i="39" s="1"/>
  <c r="G77" i="39" a="1"/>
  <c r="G77" i="39" s="1"/>
  <c r="P77" i="39" s="1"/>
  <c r="K52" i="39"/>
  <c r="W52" i="39"/>
  <c r="AB52" i="39" s="1"/>
  <c r="K57" i="39"/>
  <c r="L61" i="39" a="1"/>
  <c r="L61" i="39" s="1"/>
  <c r="U66" i="39"/>
  <c r="U69" i="39"/>
  <c r="I76" i="39" a="1"/>
  <c r="I76" i="39" s="1"/>
  <c r="L52" i="39" a="1"/>
  <c r="L52" i="39" s="1"/>
  <c r="K59" i="39"/>
  <c r="V63" i="39" a="1"/>
  <c r="V63" i="39" s="1"/>
  <c r="U68" i="39"/>
  <c r="T76" i="39"/>
  <c r="L76" i="39" a="1"/>
  <c r="L76" i="39" s="1"/>
  <c r="V76" i="39" a="1"/>
  <c r="V76" i="39" s="1"/>
  <c r="AI48" i="39"/>
  <c r="P48" i="39"/>
  <c r="O30" i="39" a="1"/>
  <c r="O30" i="39" s="1"/>
  <c r="P30" i="39" s="1"/>
  <c r="O36" i="39" a="1"/>
  <c r="O36" i="39" s="1"/>
  <c r="P36" i="39" s="1"/>
  <c r="O29" i="39" a="1"/>
  <c r="O29" i="39" s="1"/>
  <c r="P29" i="39" s="1"/>
  <c r="O35" i="39" a="1"/>
  <c r="O35" i="39" s="1"/>
  <c r="O40" i="39" a="1"/>
  <c r="O40" i="39" s="1"/>
  <c r="P40" i="39" s="1"/>
  <c r="O32" i="39" a="1"/>
  <c r="O32" i="39" s="1"/>
  <c r="O25" i="39" a="1"/>
  <c r="O25" i="39" s="1"/>
  <c r="P25" i="39" s="1"/>
  <c r="O39" i="39" a="1"/>
  <c r="O39" i="39" s="1"/>
  <c r="P39" i="39" s="1"/>
  <c r="O24" i="39" a="1"/>
  <c r="O24" i="39" s="1"/>
  <c r="P24" i="39" s="1"/>
  <c r="O38" i="39" a="1"/>
  <c r="O38" i="39" s="1"/>
  <c r="P38" i="39" s="1"/>
  <c r="O31" i="39" a="1"/>
  <c r="O31" i="39" s="1"/>
  <c r="P31" i="39" s="1"/>
  <c r="O23" i="39" a="1"/>
  <c r="O23" i="39" s="1"/>
  <c r="O37" i="39" a="1"/>
  <c r="O37" i="39" s="1"/>
  <c r="P37" i="39" s="1"/>
  <c r="W11" i="39"/>
  <c r="V51" i="39" a="1"/>
  <c r="V51" i="39" s="1"/>
  <c r="U51" i="39"/>
  <c r="L51" i="39" a="1"/>
  <c r="L51" i="39" s="1"/>
  <c r="K51" i="39"/>
  <c r="AG51" i="39"/>
  <c r="AH51" i="39" s="1"/>
  <c r="V58" i="39" a="1"/>
  <c r="V58" i="39" s="1"/>
  <c r="AG58" i="39"/>
  <c r="AH58" i="39" s="1"/>
  <c r="AI59" i="39" s="1"/>
  <c r="U58" i="39"/>
  <c r="L58" i="39" a="1"/>
  <c r="L58" i="39" s="1"/>
  <c r="U65" i="39"/>
  <c r="L65" i="39" a="1"/>
  <c r="L65" i="39" s="1"/>
  <c r="AG65" i="39"/>
  <c r="AH65" i="39" s="1"/>
  <c r="AI66" i="39" s="1"/>
  <c r="AJ66" i="39" s="1"/>
  <c r="K65" i="39"/>
  <c r="AG67" i="39"/>
  <c r="AH67" i="39" s="1"/>
  <c r="AI68" i="39" s="1"/>
  <c r="AJ68" i="39" s="1"/>
  <c r="V67" i="39" a="1"/>
  <c r="V67" i="39" s="1"/>
  <c r="U67" i="39"/>
  <c r="L67" i="39" a="1"/>
  <c r="L67" i="39" s="1"/>
  <c r="K67" i="39"/>
  <c r="X49" i="39"/>
  <c r="W49" i="39"/>
  <c r="AB49" i="39" s="1"/>
  <c r="L53" i="39" a="1"/>
  <c r="L53" i="39" s="1"/>
  <c r="V53" i="39" a="1"/>
  <c r="V53" i="39" s="1"/>
  <c r="U53" i="39"/>
  <c r="AG53" i="39"/>
  <c r="AH53" i="39" s="1"/>
  <c r="K53" i="39"/>
  <c r="X55" i="39"/>
  <c r="W55" i="39"/>
  <c r="AB55" i="39" s="1"/>
  <c r="O19" i="39" a="1"/>
  <c r="O19" i="39" s="1"/>
  <c r="AI70" i="39"/>
  <c r="AJ70" i="39" s="1"/>
  <c r="X54" i="39"/>
  <c r="W54" i="39"/>
  <c r="AB54" i="39" s="1"/>
  <c r="O20" i="39" a="1"/>
  <c r="O20" i="39" s="1"/>
  <c r="P20" i="39" s="1"/>
  <c r="O21" i="39" a="1"/>
  <c r="O21" i="39" s="1"/>
  <c r="P21" i="39" s="1"/>
  <c r="O22" i="39" a="1"/>
  <c r="O22" i="39" s="1"/>
  <c r="P22" i="39" s="1"/>
  <c r="V62" i="39" a="1"/>
  <c r="V62" i="39" s="1"/>
  <c r="AG62" i="39"/>
  <c r="AH62" i="39" s="1"/>
  <c r="AI63" i="39" s="1"/>
  <c r="AJ63" i="39" s="1"/>
  <c r="U62" i="39"/>
  <c r="L62" i="39" a="1"/>
  <c r="L62" i="39" s="1"/>
  <c r="K62" i="39"/>
  <c r="O26" i="39" a="1"/>
  <c r="O26" i="39" s="1"/>
  <c r="P26" i="39" s="1"/>
  <c r="O27" i="39" a="1"/>
  <c r="O27" i="39" s="1"/>
  <c r="P27" i="39" s="1"/>
  <c r="O33" i="39" a="1"/>
  <c r="O33" i="39" s="1"/>
  <c r="P33" i="39" s="1"/>
  <c r="AA52" i="39"/>
  <c r="Z52" i="39"/>
  <c r="X75" i="39"/>
  <c r="AA75" i="39" s="1"/>
  <c r="AC75" i="39" s="1"/>
  <c r="W75" i="39"/>
  <c r="AB75" i="39" s="1"/>
  <c r="O28" i="39" a="1"/>
  <c r="O28" i="39" s="1"/>
  <c r="O34" i="39" a="1"/>
  <c r="O34" i="39" s="1"/>
  <c r="P34" i="39" s="1"/>
  <c r="O41" i="39" a="1"/>
  <c r="O41" i="39" s="1"/>
  <c r="P41" i="39" s="1"/>
  <c r="U50" i="39"/>
  <c r="L50" i="39" a="1"/>
  <c r="L50" i="39" s="1"/>
  <c r="AG50" i="39"/>
  <c r="AH50" i="39" s="1"/>
  <c r="K50" i="39"/>
  <c r="AI60" i="39"/>
  <c r="AJ60" i="39" s="1"/>
  <c r="V65" i="39" a="1"/>
  <c r="V65" i="39" s="1"/>
  <c r="V60" i="39" a="1"/>
  <c r="V60" i="39" s="1"/>
  <c r="K60" i="39"/>
  <c r="U60" i="39"/>
  <c r="K70" i="39"/>
  <c r="U70" i="39"/>
  <c r="L70" i="39" a="1"/>
  <c r="L70" i="39" s="1"/>
  <c r="Z75" i="39"/>
  <c r="I75" i="39" a="1"/>
  <c r="I75" i="39" s="1"/>
  <c r="E75" i="39" a="1"/>
  <c r="E75" i="39" s="1"/>
  <c r="N75" i="39" s="1" a="1"/>
  <c r="N75" i="39" s="1"/>
  <c r="AF75" i="39"/>
  <c r="H75" i="39" a="1"/>
  <c r="H75" i="39" s="1"/>
  <c r="Q75" i="39" s="1" a="1"/>
  <c r="Q75" i="39" s="1"/>
  <c r="AG75" i="39"/>
  <c r="AH75" i="39" s="1"/>
  <c r="AI76" i="39" s="1"/>
  <c r="AJ76" i="39" s="1"/>
  <c r="V75" i="39" a="1"/>
  <c r="V75" i="39" s="1"/>
  <c r="T75" i="39"/>
  <c r="L75" i="39" a="1"/>
  <c r="L75" i="39" s="1"/>
  <c r="K75" i="39"/>
  <c r="F75" i="39" a="1"/>
  <c r="F75" i="39" s="1"/>
  <c r="O75" i="39" s="1"/>
  <c r="AD75" i="39"/>
  <c r="G75" i="39" a="1"/>
  <c r="G75" i="39" s="1"/>
  <c r="P75" i="39" s="1"/>
  <c r="V49" i="39" a="1"/>
  <c r="V49" i="39" s="1"/>
  <c r="L55" i="39" a="1"/>
  <c r="L55" i="39" s="1"/>
  <c r="V55" i="39" a="1"/>
  <c r="V55" i="39" s="1"/>
  <c r="L57" i="39" a="1"/>
  <c r="L57" i="39" s="1"/>
  <c r="K68" i="39"/>
  <c r="L68" i="39" a="1"/>
  <c r="L68" i="39" s="1"/>
  <c r="V68" i="39" a="1"/>
  <c r="V68" i="39" s="1"/>
  <c r="W68" i="39" s="1"/>
  <c r="U48" i="39"/>
  <c r="J48" i="39" a="1"/>
  <c r="J48" i="39" s="1"/>
  <c r="J49" i="39" s="1" a="1"/>
  <c r="J49" i="39" s="1"/>
  <c r="J50" i="39" s="1" a="1"/>
  <c r="J50" i="39" s="1"/>
  <c r="J51" i="39" s="1" a="1"/>
  <c r="J51" i="39" s="1"/>
  <c r="J52" i="39" s="1" a="1"/>
  <c r="J52" i="39" s="1"/>
  <c r="J53" i="39" s="1" a="1"/>
  <c r="J53" i="39" s="1"/>
  <c r="J54" i="39" s="1" a="1"/>
  <c r="J54" i="39" s="1"/>
  <c r="J55" i="39" s="1" a="1"/>
  <c r="J55" i="39" s="1"/>
  <c r="J56" i="39" s="1" a="1"/>
  <c r="J56" i="39" s="1"/>
  <c r="J57" i="39" s="1" a="1"/>
  <c r="J57" i="39" s="1"/>
  <c r="J58" i="39" s="1" a="1"/>
  <c r="J58" i="39" s="1"/>
  <c r="J59" i="39" s="1" a="1"/>
  <c r="J59" i="39" s="1"/>
  <c r="J60" i="39" s="1" a="1"/>
  <c r="J60" i="39" s="1"/>
  <c r="J61" i="39" s="1" a="1"/>
  <c r="J61" i="39" s="1"/>
  <c r="J62" i="39" s="1" a="1"/>
  <c r="J62" i="39" s="1"/>
  <c r="J63" i="39" s="1" a="1"/>
  <c r="J63" i="39" s="1"/>
  <c r="J64" i="39" s="1" a="1"/>
  <c r="J64" i="39" s="1"/>
  <c r="J65" i="39" s="1" a="1"/>
  <c r="J65" i="39" s="1"/>
  <c r="J66" i="39" s="1" a="1"/>
  <c r="J66" i="39" s="1"/>
  <c r="J67" i="39" s="1" a="1"/>
  <c r="J67" i="39" s="1"/>
  <c r="J68" i="39" s="1" a="1"/>
  <c r="J68" i="39" s="1"/>
  <c r="J69" i="39" s="1" a="1"/>
  <c r="J69" i="39" s="1"/>
  <c r="J70" i="39" s="1" a="1"/>
  <c r="J70" i="39" s="1"/>
  <c r="J71" i="39" s="1" a="1"/>
  <c r="J71" i="39" s="1"/>
  <c r="J72" i="39" s="1" a="1"/>
  <c r="J72" i="39" s="1"/>
  <c r="J73" i="39" s="1" a="1"/>
  <c r="J73" i="39" s="1"/>
  <c r="J74" i="39" s="1" a="1"/>
  <c r="J74" i="39" s="1"/>
  <c r="F48" i="39" a="1"/>
  <c r="F48" i="39" s="1"/>
  <c r="O48" i="39" s="1"/>
  <c r="I48" i="39" a="1"/>
  <c r="I48" i="39" s="1"/>
  <c r="I49" i="39" s="1" a="1"/>
  <c r="I49" i="39" s="1"/>
  <c r="I50" i="39" s="1" a="1"/>
  <c r="I50" i="39" s="1"/>
  <c r="I51" i="39" s="1" a="1"/>
  <c r="I51" i="39" s="1"/>
  <c r="I52" i="39" s="1" a="1"/>
  <c r="I52" i="39" s="1"/>
  <c r="I53" i="39" s="1" a="1"/>
  <c r="I53" i="39" s="1"/>
  <c r="I54" i="39" s="1" a="1"/>
  <c r="I54" i="39" s="1"/>
  <c r="I55" i="39" s="1" a="1"/>
  <c r="I55" i="39" s="1"/>
  <c r="I56" i="39" s="1" a="1"/>
  <c r="I56" i="39" s="1"/>
  <c r="I57" i="39" s="1" a="1"/>
  <c r="I57" i="39" s="1"/>
  <c r="I58" i="39" s="1" a="1"/>
  <c r="I58" i="39" s="1"/>
  <c r="I59" i="39" s="1" a="1"/>
  <c r="I59" i="39" s="1"/>
  <c r="I60" i="39" s="1" a="1"/>
  <c r="I60" i="39" s="1"/>
  <c r="I61" i="39" s="1" a="1"/>
  <c r="I61" i="39" s="1"/>
  <c r="I62" i="39" s="1" a="1"/>
  <c r="I62" i="39" s="1"/>
  <c r="I63" i="39" s="1" a="1"/>
  <c r="I63" i="39" s="1"/>
  <c r="I64" i="39" s="1" a="1"/>
  <c r="I64" i="39" s="1"/>
  <c r="I65" i="39" s="1" a="1"/>
  <c r="I65" i="39" s="1"/>
  <c r="I66" i="39" s="1" a="1"/>
  <c r="I66" i="39" s="1"/>
  <c r="I67" i="39" s="1" a="1"/>
  <c r="I67" i="39" s="1"/>
  <c r="I68" i="39" s="1" a="1"/>
  <c r="I68" i="39" s="1"/>
  <c r="I69" i="39" s="1" a="1"/>
  <c r="I69" i="39" s="1"/>
  <c r="I70" i="39" s="1" a="1"/>
  <c r="I70" i="39" s="1"/>
  <c r="I71" i="39" s="1" a="1"/>
  <c r="I71" i="39" s="1"/>
  <c r="I72" i="39" s="1" a="1"/>
  <c r="I72" i="39" s="1"/>
  <c r="I73" i="39" s="1" a="1"/>
  <c r="I73" i="39" s="1"/>
  <c r="I74" i="39" s="1" a="1"/>
  <c r="I74" i="39" s="1"/>
  <c r="V48" i="39" a="1"/>
  <c r="V48" i="39" s="1"/>
  <c r="AG57" i="39"/>
  <c r="AH57" i="39" s="1"/>
  <c r="U57" i="39"/>
  <c r="E48" i="39" a="1"/>
  <c r="E48" i="39" s="1"/>
  <c r="N48" i="39" s="1" a="1"/>
  <c r="N48" i="39" s="1"/>
  <c r="AG49" i="39"/>
  <c r="AH49" i="39" s="1"/>
  <c r="L60" i="39" a="1"/>
  <c r="L60" i="39" s="1"/>
  <c r="AI73" i="39"/>
  <c r="AJ73" i="39" s="1"/>
  <c r="L71" i="39" a="1"/>
  <c r="L71" i="39" s="1"/>
  <c r="K71" i="39"/>
  <c r="AG71" i="39"/>
  <c r="AH71" i="39" s="1"/>
  <c r="AI72" i="39" s="1"/>
  <c r="AJ72" i="39" s="1"/>
  <c r="AG52" i="39"/>
  <c r="AH52" i="39" s="1"/>
  <c r="AG54" i="39"/>
  <c r="AH54" i="39" s="1"/>
  <c r="AI55" i="39" s="1"/>
  <c r="AJ55" i="39" s="1"/>
  <c r="K64" i="39"/>
  <c r="V64" i="39" a="1"/>
  <c r="V64" i="39" s="1"/>
  <c r="W64" i="39" s="1"/>
  <c r="U71" i="39"/>
  <c r="AG64" i="39"/>
  <c r="AH64" i="39" s="1"/>
  <c r="K66" i="39"/>
  <c r="V66" i="39" a="1"/>
  <c r="V66" i="39" s="1"/>
  <c r="L66" i="39" a="1"/>
  <c r="L66" i="39" s="1"/>
  <c r="V71" i="39" a="1"/>
  <c r="V71" i="39" s="1"/>
  <c r="V56" i="39" a="1"/>
  <c r="V56" i="39" s="1"/>
  <c r="U59" i="39"/>
  <c r="U61" i="39"/>
  <c r="U63" i="39"/>
  <c r="V72" i="39" a="1"/>
  <c r="V72" i="39" s="1"/>
  <c r="U73" i="39"/>
  <c r="K72" i="39"/>
  <c r="U72" i="39"/>
  <c r="V77" i="39" a="1"/>
  <c r="V77" i="39" s="1"/>
  <c r="Z77" i="39"/>
  <c r="I77" i="39" a="1"/>
  <c r="I77" i="39" s="1"/>
  <c r="E77" i="39" a="1"/>
  <c r="E77" i="39" s="1"/>
  <c r="N77" i="39" s="1" a="1"/>
  <c r="N77" i="39" s="1"/>
  <c r="AF77" i="39"/>
  <c r="H77" i="39" a="1"/>
  <c r="H77" i="39" s="1"/>
  <c r="Q77" i="39" s="1" a="1"/>
  <c r="Q77" i="39" s="1"/>
  <c r="K77" i="39"/>
  <c r="T77" i="39"/>
  <c r="V69" i="39" a="1"/>
  <c r="V69" i="39" s="1"/>
  <c r="L72" i="39" a="1"/>
  <c r="L72" i="39" s="1"/>
  <c r="K74" i="39"/>
  <c r="U74" i="39"/>
  <c r="L77" i="39" a="1"/>
  <c r="L77" i="39" s="1"/>
  <c r="U77" i="39"/>
  <c r="AG77" i="39"/>
  <c r="AH77" i="39" s="1"/>
  <c r="AI77" i="39" s="1"/>
  <c r="AJ77" i="39" s="1"/>
  <c r="F76" i="39" a="1"/>
  <c r="F76" i="39" s="1"/>
  <c r="O76" i="39" s="1"/>
  <c r="J76" i="39" a="1"/>
  <c r="J76" i="39" s="1"/>
  <c r="U76" i="39"/>
  <c r="G76" i="39" a="1"/>
  <c r="G76" i="39" s="1"/>
  <c r="P76" i="39" s="1"/>
  <c r="K76" i="39"/>
  <c r="AD76" i="39"/>
  <c r="AD76" i="4"/>
  <c r="AD77" i="4"/>
  <c r="AD75" i="4"/>
  <c r="V69" i="38" a="1"/>
  <c r="V69" i="38" s="1"/>
  <c r="M8" i="32"/>
  <c r="M9" i="32"/>
  <c r="X22" i="38"/>
  <c r="K69" i="38"/>
  <c r="L69" i="38" a="1"/>
  <c r="L69" i="38" s="1"/>
  <c r="AG69" i="38"/>
  <c r="AH69" i="38" s="1"/>
  <c r="AI70" i="38" s="1"/>
  <c r="AJ70" i="38" s="1"/>
  <c r="AG61" i="38"/>
  <c r="AH61" i="38" s="1"/>
  <c r="AI61" i="38" s="1"/>
  <c r="AJ61" i="38" s="1"/>
  <c r="V64" i="38" a="1"/>
  <c r="V64" i="38" s="1"/>
  <c r="V75" i="38" a="1"/>
  <c r="V75" i="38" s="1"/>
  <c r="U65" i="38"/>
  <c r="V55" i="38" a="1"/>
  <c r="V55" i="38" s="1"/>
  <c r="U75" i="38"/>
  <c r="X75" i="38" s="1"/>
  <c r="AA75" i="38" s="1"/>
  <c r="AC75" i="38" s="1"/>
  <c r="AG64" i="38"/>
  <c r="AH64" i="38" s="1"/>
  <c r="AI65" i="38" s="1"/>
  <c r="AJ65" i="38" s="1"/>
  <c r="U64" i="38"/>
  <c r="K75" i="38"/>
  <c r="V70" i="38" a="1"/>
  <c r="V70" i="38" s="1"/>
  <c r="U70" i="38"/>
  <c r="U61" i="38"/>
  <c r="V11" i="38"/>
  <c r="K59" i="38"/>
  <c r="AG62" i="38"/>
  <c r="AH62" i="38" s="1"/>
  <c r="AI63" i="38" s="1"/>
  <c r="V59" i="38" a="1"/>
  <c r="V59" i="38" s="1"/>
  <c r="W59" i="38" s="1"/>
  <c r="V76" i="38" a="1"/>
  <c r="V76" i="38" s="1"/>
  <c r="AG59" i="38"/>
  <c r="AH59" i="38" s="1"/>
  <c r="AI60" i="38" s="1"/>
  <c r="AJ60" i="38" s="1"/>
  <c r="L59" i="38" a="1"/>
  <c r="L59" i="38" s="1"/>
  <c r="V49" i="38" a="1"/>
  <c r="V49" i="38" s="1"/>
  <c r="AG49" i="38"/>
  <c r="AH49" i="38" s="1"/>
  <c r="AI50" i="38" s="1"/>
  <c r="AJ50" i="38" s="1"/>
  <c r="L64" i="38" a="1"/>
  <c r="L64" i="38" s="1"/>
  <c r="U55" i="38"/>
  <c r="W55" i="38" s="1"/>
  <c r="AB55" i="38" s="1"/>
  <c r="V56" i="38" a="1"/>
  <c r="V56" i="38" s="1"/>
  <c r="L65" i="38" a="1"/>
  <c r="L65" i="38" s="1"/>
  <c r="W49" i="38"/>
  <c r="AB49" i="38" s="1"/>
  <c r="X49" i="38"/>
  <c r="Z49" i="38" s="1"/>
  <c r="AG48" i="38"/>
  <c r="AH48" i="38" s="1"/>
  <c r="AI48" i="38" s="1"/>
  <c r="AG52" i="38"/>
  <c r="AH52" i="38" s="1"/>
  <c r="V50" i="38" a="1"/>
  <c r="V50" i="38" s="1"/>
  <c r="AG57" i="38"/>
  <c r="AH57" i="38" s="1"/>
  <c r="AI58" i="38" s="1"/>
  <c r="AJ58" i="38" s="1"/>
  <c r="K73" i="38"/>
  <c r="L75" i="38" a="1"/>
  <c r="L75" i="38" s="1"/>
  <c r="U50" i="38"/>
  <c r="X50" i="38" s="1"/>
  <c r="AA50" i="38" s="1"/>
  <c r="AC50" i="38" s="1"/>
  <c r="V57" i="38" a="1"/>
  <c r="V57" i="38" s="1"/>
  <c r="K49" i="38"/>
  <c r="U60" i="38"/>
  <c r="K70" i="38"/>
  <c r="L73" i="38" a="1"/>
  <c r="L73" i="38" s="1"/>
  <c r="L76" i="38" a="1"/>
  <c r="L76" i="38" s="1"/>
  <c r="L49" i="38" a="1"/>
  <c r="L49" i="38" s="1"/>
  <c r="V60" i="38" a="1"/>
  <c r="V60" i="38" s="1"/>
  <c r="L70" i="38" a="1"/>
  <c r="L70" i="38" s="1"/>
  <c r="L50" i="38" a="1"/>
  <c r="L50" i="38" s="1"/>
  <c r="K55" i="38"/>
  <c r="L55" i="38" a="1"/>
  <c r="L55" i="38" s="1"/>
  <c r="U76" i="38"/>
  <c r="W76" i="38" s="1"/>
  <c r="AB76" i="38" s="1"/>
  <c r="AI72" i="38"/>
  <c r="AJ72" i="38" s="1"/>
  <c r="K65" i="38"/>
  <c r="Z75" i="38"/>
  <c r="K50" i="38"/>
  <c r="G48" i="38" a="1"/>
  <c r="G48" i="38" s="1"/>
  <c r="P48" i="38" s="1"/>
  <c r="K60" i="38"/>
  <c r="L60" i="38" a="1"/>
  <c r="L60" i="38" s="1"/>
  <c r="V65" i="38" a="1"/>
  <c r="V65" i="38" s="1"/>
  <c r="U69" i="38"/>
  <c r="V72" i="38" a="1"/>
  <c r="V72" i="38" s="1"/>
  <c r="AG77" i="38"/>
  <c r="AH77" i="38" s="1"/>
  <c r="X56" i="38"/>
  <c r="AA56" i="38" s="1"/>
  <c r="AC56" i="38" s="1"/>
  <c r="W56" i="38"/>
  <c r="AB56" i="38" s="1"/>
  <c r="I48" i="38" a="1"/>
  <c r="I48" i="38" s="1"/>
  <c r="L66" i="38" a="1"/>
  <c r="L66" i="38" s="1"/>
  <c r="AG66" i="38"/>
  <c r="AH66" i="38" s="1"/>
  <c r="K66" i="38"/>
  <c r="V66" i="38" a="1"/>
  <c r="V66" i="38" s="1"/>
  <c r="L48" i="38" a="1"/>
  <c r="L48" i="38" s="1"/>
  <c r="AG51" i="38"/>
  <c r="AH51" i="38" s="1"/>
  <c r="AI71" i="38"/>
  <c r="AJ71" i="38" s="1"/>
  <c r="K58" i="38"/>
  <c r="X20" i="38"/>
  <c r="K51" i="38"/>
  <c r="AG56" i="38"/>
  <c r="AH56" i="38" s="1"/>
  <c r="L56" i="38" a="1"/>
  <c r="L56" i="38" s="1"/>
  <c r="K56" i="38"/>
  <c r="L58" i="38" a="1"/>
  <c r="L58" i="38" s="1"/>
  <c r="U66" i="38"/>
  <c r="X48" i="38"/>
  <c r="AA48" i="38" s="1"/>
  <c r="AC48" i="38" s="1"/>
  <c r="U58" i="38"/>
  <c r="U54" i="38"/>
  <c r="V48" i="38" a="1"/>
  <c r="V48" i="38" s="1"/>
  <c r="F48" i="38" a="1"/>
  <c r="F48" i="38" s="1"/>
  <c r="V54" i="38" a="1"/>
  <c r="V54" i="38" s="1"/>
  <c r="L67" i="38" a="1"/>
  <c r="L67" i="38" s="1"/>
  <c r="K67" i="38"/>
  <c r="U67" i="38"/>
  <c r="AG67" i="38"/>
  <c r="AH67" i="38" s="1"/>
  <c r="AI68" i="38" s="1"/>
  <c r="AJ68" i="38" s="1"/>
  <c r="V53" i="38" a="1"/>
  <c r="V53" i="38" s="1"/>
  <c r="U53" i="38"/>
  <c r="AG53" i="38"/>
  <c r="AH53" i="38" s="1"/>
  <c r="E48" i="38" a="1"/>
  <c r="E48" i="38" s="1"/>
  <c r="L61" i="38" a="1"/>
  <c r="L61" i="38" s="1"/>
  <c r="V61" i="38" a="1"/>
  <c r="V61" i="38" s="1"/>
  <c r="L62" i="38" a="1"/>
  <c r="L62" i="38" s="1"/>
  <c r="K62" i="38"/>
  <c r="U62" i="38"/>
  <c r="V51" i="38" a="1"/>
  <c r="V51" i="38" s="1"/>
  <c r="AG54" i="38"/>
  <c r="AH54" i="38" s="1"/>
  <c r="AI55" i="38" s="1"/>
  <c r="AJ55" i="38" s="1"/>
  <c r="K54" i="38"/>
  <c r="AI73" i="38"/>
  <c r="AG74" i="38"/>
  <c r="AH74" i="38" s="1"/>
  <c r="AI75" i="38" s="1"/>
  <c r="L74" i="38" a="1"/>
  <c r="L74" i="38" s="1"/>
  <c r="V74" i="38" a="1"/>
  <c r="V74" i="38" s="1"/>
  <c r="W74" i="38" s="1"/>
  <c r="V58" i="38" a="1"/>
  <c r="V58" i="38" s="1"/>
  <c r="H48" i="38" a="1"/>
  <c r="H48" i="38" s="1"/>
  <c r="Q48" i="38" s="1" a="1"/>
  <c r="Q48" i="38" s="1"/>
  <c r="K71" i="38"/>
  <c r="L71" i="38" a="1"/>
  <c r="L71" i="38" s="1"/>
  <c r="V71" i="38" a="1"/>
  <c r="V71" i="38" s="1"/>
  <c r="U71" i="38"/>
  <c r="X19" i="38"/>
  <c r="K74" i="38"/>
  <c r="L53" i="38" a="1"/>
  <c r="L53" i="38" s="1"/>
  <c r="U51" i="38"/>
  <c r="J48" i="38" a="1"/>
  <c r="J48" i="38" s="1"/>
  <c r="K48" i="38"/>
  <c r="AD48" i="38" s="1"/>
  <c r="L54" i="38" a="1"/>
  <c r="L54" i="38" s="1"/>
  <c r="K63" i="38"/>
  <c r="K68" i="38"/>
  <c r="L52" i="38" a="1"/>
  <c r="L52" i="38" s="1"/>
  <c r="U52" i="38"/>
  <c r="L63" i="38" a="1"/>
  <c r="L63" i="38" s="1"/>
  <c r="L68" i="38" a="1"/>
  <c r="L68" i="38" s="1"/>
  <c r="V52" i="38" a="1"/>
  <c r="V52" i="38" s="1"/>
  <c r="V73" i="38" a="1"/>
  <c r="V73" i="38" s="1"/>
  <c r="U73" i="38"/>
  <c r="L57" i="38" a="1"/>
  <c r="L57" i="38" s="1"/>
  <c r="U57" i="38"/>
  <c r="V63" i="38" a="1"/>
  <c r="V63" i="38" s="1"/>
  <c r="V68" i="38" a="1"/>
  <c r="V68" i="38" s="1"/>
  <c r="L72" i="38" a="1"/>
  <c r="L72" i="38" s="1"/>
  <c r="K72" i="38"/>
  <c r="U72" i="38"/>
  <c r="U63" i="38"/>
  <c r="U68" i="38"/>
  <c r="L77" i="38" a="1"/>
  <c r="L77" i="38" s="1"/>
  <c r="Z77" i="38"/>
  <c r="K77" i="38"/>
  <c r="U77" i="38"/>
  <c r="AG76" i="38"/>
  <c r="AH76" i="38" s="1"/>
  <c r="K76" i="38"/>
  <c r="Z76" i="38"/>
  <c r="E102" i="4" a="1"/>
  <c r="E102" i="4" s="1"/>
  <c r="F102" i="4"/>
  <c r="F28" i="32"/>
  <c r="F29" i="32"/>
  <c r="F30" i="32"/>
  <c r="F22" i="32"/>
  <c r="F23" i="32"/>
  <c r="F24" i="32"/>
  <c r="H102" i="4"/>
  <c r="G102" i="4"/>
  <c r="U57" i="4"/>
  <c r="U50" i="4"/>
  <c r="U77" i="4"/>
  <c r="U76" i="4"/>
  <c r="U53" i="4"/>
  <c r="U56" i="4"/>
  <c r="U58" i="4"/>
  <c r="U51" i="4"/>
  <c r="U75" i="4"/>
  <c r="U55" i="4"/>
  <c r="U54" i="4"/>
  <c r="U52" i="4"/>
  <c r="U49" i="4"/>
  <c r="U48" i="4"/>
  <c r="BR27" i="5" a="1"/>
  <c r="BR27" i="5" s="1"/>
  <c r="BS20" i="5" a="1"/>
  <c r="BS20" i="5" s="1"/>
  <c r="BS21" i="5" a="1"/>
  <c r="BS21" i="5" s="1"/>
  <c r="CA12" i="5"/>
  <c r="BR28" i="5" a="1"/>
  <c r="BR28" i="5" s="1"/>
  <c r="BR29" i="5" a="1"/>
  <c r="BR29" i="5" s="1"/>
  <c r="BS22" i="5" a="1"/>
  <c r="BS22" i="5" s="1"/>
  <c r="BR30" i="5" a="1"/>
  <c r="BR30" i="5" s="1"/>
  <c r="BS23" i="5" a="1"/>
  <c r="BS23" i="5" s="1"/>
  <c r="BS28" i="5" a="1"/>
  <c r="BS28" i="5" s="1"/>
  <c r="BR21" i="5" a="1"/>
  <c r="BR21" i="5" s="1"/>
  <c r="BS14" i="5" a="1"/>
  <c r="BS14" i="5" s="1"/>
  <c r="BS34" i="5" a="1"/>
  <c r="BS34" i="5" s="1"/>
  <c r="BS29" i="5" a="1"/>
  <c r="BS29" i="5" s="1"/>
  <c r="BS12" i="5" a="1"/>
  <c r="BS12" i="5" s="1"/>
  <c r="BR22" i="5" a="1"/>
  <c r="BR22" i="5" s="1"/>
  <c r="BS15" i="5" a="1"/>
  <c r="BS15" i="5" s="1"/>
  <c r="BS35" i="5" a="1"/>
  <c r="BS35" i="5" s="1"/>
  <c r="BR31" i="5" a="1"/>
  <c r="BR31" i="5" s="1"/>
  <c r="BR23" i="5" a="1"/>
  <c r="BR23" i="5" s="1"/>
  <c r="BS16" i="5" a="1"/>
  <c r="BS16" i="5" s="1"/>
  <c r="BS36" i="5" a="1"/>
  <c r="BS36" i="5" s="1"/>
  <c r="BR25" i="5" a="1"/>
  <c r="BR25" i="5" s="1"/>
  <c r="BS18" i="5" a="1"/>
  <c r="BS18" i="5" s="1"/>
  <c r="BS38" i="5" a="1"/>
  <c r="BS38" i="5" s="1"/>
  <c r="BS24" i="5" a="1"/>
  <c r="BS24" i="5" s="1"/>
  <c r="BR35" i="5" a="1"/>
  <c r="BR35" i="5" s="1"/>
  <c r="BR36" i="5" a="1"/>
  <c r="BR36" i="5" s="1"/>
  <c r="BR38" i="5" a="1"/>
  <c r="BR38" i="5" s="1"/>
  <c r="BR24" i="5" a="1"/>
  <c r="BR24" i="5" s="1"/>
  <c r="BS17" i="5" a="1"/>
  <c r="BS17" i="5" s="1"/>
  <c r="BS37" i="5" a="1"/>
  <c r="BS37" i="5" s="1"/>
  <c r="BR26" i="5" a="1"/>
  <c r="BR26" i="5" s="1"/>
  <c r="BS19" i="5" a="1"/>
  <c r="BS19" i="5" s="1"/>
  <c r="BZ12" i="5"/>
  <c r="BR13" i="5" a="1"/>
  <c r="BR13" i="5" s="1"/>
  <c r="BR33" i="5" a="1"/>
  <c r="BR33" i="5" s="1"/>
  <c r="BS26" i="5" a="1"/>
  <c r="BS26" i="5" s="1"/>
  <c r="BR34" i="5" a="1"/>
  <c r="BR34" i="5" s="1"/>
  <c r="BS27" i="5" a="1"/>
  <c r="BS27" i="5" s="1"/>
  <c r="BR17" i="5" a="1"/>
  <c r="BR17" i="5" s="1"/>
  <c r="BR37" i="5" a="1"/>
  <c r="BR37" i="5" s="1"/>
  <c r="BS30" i="5" a="1"/>
  <c r="BS30" i="5" s="1"/>
  <c r="BR32" i="5" a="1"/>
  <c r="BR32" i="5" s="1"/>
  <c r="BS32" i="5" a="1"/>
  <c r="BS32" i="5" s="1"/>
  <c r="BR12" i="5" a="1"/>
  <c r="BR12" i="5" s="1"/>
  <c r="BS25" i="5" a="1"/>
  <c r="BS25" i="5" s="1"/>
  <c r="BR14" i="5" a="1"/>
  <c r="BR14" i="5" s="1"/>
  <c r="BR15" i="5" a="1"/>
  <c r="BR15" i="5" s="1"/>
  <c r="BR16" i="5" a="1"/>
  <c r="BR16" i="5" s="1"/>
  <c r="BR18" i="5" a="1"/>
  <c r="BR18" i="5" s="1"/>
  <c r="BS31" i="5" a="1"/>
  <c r="BS31" i="5" s="1"/>
  <c r="BR19" i="5" a="1"/>
  <c r="BR19" i="5" s="1"/>
  <c r="BS13" i="5" a="1"/>
  <c r="BS13" i="5" s="1"/>
  <c r="BF18" i="5"/>
  <c r="L77" i="4" a="1"/>
  <c r="L77" i="4" s="1"/>
  <c r="AX28" i="5" a="1"/>
  <c r="AX28" i="5" s="1"/>
  <c r="BF28" i="5" s="1"/>
  <c r="AY28" i="5" a="1"/>
  <c r="AY28" i="5" s="1"/>
  <c r="BG28" i="5" s="1"/>
  <c r="AY18" i="5" a="1"/>
  <c r="AY18" i="5" s="1"/>
  <c r="BG18" i="5" s="1"/>
  <c r="AX38" i="5" a="1"/>
  <c r="AX38" i="5" s="1"/>
  <c r="BF38" i="5" s="1"/>
  <c r="AX12" i="5" a="1"/>
  <c r="AX12" i="5" s="1"/>
  <c r="BF12" i="5" s="1"/>
  <c r="AY12" i="5" a="1"/>
  <c r="AY12" i="5" s="1"/>
  <c r="BG12" i="5" s="1"/>
  <c r="AX23" i="5" a="1"/>
  <c r="AX23" i="5" s="1"/>
  <c r="BF23" i="5" s="1"/>
  <c r="AY23" i="5" a="1"/>
  <c r="AY23" i="5" s="1"/>
  <c r="BG23" i="5" s="1"/>
  <c r="AF77" i="4"/>
  <c r="AF76" i="4"/>
  <c r="AG76" i="4"/>
  <c r="AH76" i="4" s="1"/>
  <c r="AG77" i="4"/>
  <c r="AH77" i="4" s="1"/>
  <c r="V76" i="4" a="1"/>
  <c r="V76" i="4" s="1"/>
  <c r="V77" i="4" a="1"/>
  <c r="V77" i="4" s="1"/>
  <c r="K76" i="4"/>
  <c r="BM38" i="5" a="1"/>
  <c r="BM38" i="5" s="1"/>
  <c r="BU38" i="5" s="1"/>
  <c r="BM28" i="5" a="1"/>
  <c r="BM28" i="5" s="1"/>
  <c r="BU28" i="5" s="1"/>
  <c r="BN18" i="5" a="1"/>
  <c r="BN18" i="5" s="1"/>
  <c r="BV18" i="5" s="1"/>
  <c r="BO12" i="5" a="1"/>
  <c r="BO12" i="5" s="1"/>
  <c r="BW12" i="5" s="1"/>
  <c r="BP18" i="5" a="1"/>
  <c r="BP18" i="5" s="1"/>
  <c r="BX18" i="5" s="1"/>
  <c r="BO18" i="5" a="1"/>
  <c r="BO18" i="5" s="1"/>
  <c r="BW18" i="5" s="1"/>
  <c r="BN23" i="5" a="1"/>
  <c r="BN23" i="5" s="1"/>
  <c r="BV23" i="5" s="1"/>
  <c r="BQ23" i="5" a="1"/>
  <c r="BQ23" i="5" s="1"/>
  <c r="BO38" i="5" a="1"/>
  <c r="BO38" i="5" s="1"/>
  <c r="BW38" i="5" s="1"/>
  <c r="BU12" i="5"/>
  <c r="BO23" i="5" a="1"/>
  <c r="BO23" i="5" s="1"/>
  <c r="BW23" i="5" s="1"/>
  <c r="BV38" i="5"/>
  <c r="BL23" i="5" a="1"/>
  <c r="BL23" i="5" s="1"/>
  <c r="BT23" i="5" s="1"/>
  <c r="BL28" i="5" a="1"/>
  <c r="BL28" i="5" s="1"/>
  <c r="BT28" i="5" s="1"/>
  <c r="BL38" i="5" a="1"/>
  <c r="BL38" i="5" s="1"/>
  <c r="BT38" i="5" s="1"/>
  <c r="BL18" i="5" a="1"/>
  <c r="BL18" i="5" s="1"/>
  <c r="BT18" i="5" s="1"/>
  <c r="BL12" i="5" a="1"/>
  <c r="BL12" i="5" s="1"/>
  <c r="BT12" i="5" s="1"/>
  <c r="BP28" i="5" a="1"/>
  <c r="BP28" i="5" s="1"/>
  <c r="BX28" i="5" s="1"/>
  <c r="BP12" i="5" a="1"/>
  <c r="BP12" i="5" s="1"/>
  <c r="BX12" i="5" s="1"/>
  <c r="BP38" i="5" a="1"/>
  <c r="BP38" i="5" s="1"/>
  <c r="BX38" i="5" s="1"/>
  <c r="BP23" i="5" a="1"/>
  <c r="BP23" i="5" s="1"/>
  <c r="BX23" i="5" s="1"/>
  <c r="BY12" i="5"/>
  <c r="BQ38" i="5" a="1"/>
  <c r="BQ38" i="5" s="1"/>
  <c r="BQ18" i="5" a="1"/>
  <c r="BQ18" i="5" s="1"/>
  <c r="CA18" i="5" s="1"/>
  <c r="BQ28" i="5" a="1"/>
  <c r="BQ28" i="5" s="1"/>
  <c r="BM18" i="5" a="1"/>
  <c r="BM18" i="5" s="1"/>
  <c r="BU18" i="5" s="1"/>
  <c r="BM23" i="5" a="1"/>
  <c r="BM23" i="5" s="1"/>
  <c r="BU23" i="5" s="1"/>
  <c r="BN28" i="5" a="1"/>
  <c r="BN28" i="5" s="1"/>
  <c r="BV28" i="5" s="1"/>
  <c r="BN12" i="5" a="1"/>
  <c r="BN12" i="5" s="1"/>
  <c r="BV12" i="5" s="1"/>
  <c r="BO28" i="5" a="1"/>
  <c r="BO28" i="5" s="1"/>
  <c r="BW28" i="5" s="1"/>
  <c r="W66" i="39" l="1"/>
  <c r="Y76" i="39"/>
  <c r="AI71" i="39"/>
  <c r="AJ71" i="39" s="1"/>
  <c r="AF75" i="38"/>
  <c r="AI57" i="39"/>
  <c r="AJ57" i="39" s="1"/>
  <c r="AD76" i="38"/>
  <c r="G102" i="39"/>
  <c r="AD49" i="39"/>
  <c r="AI67" i="39"/>
  <c r="AJ67" i="39" s="1"/>
  <c r="AD52" i="39"/>
  <c r="F102" i="39"/>
  <c r="H49" i="39" a="1"/>
  <c r="H49" i="39" s="1"/>
  <c r="F101" i="39"/>
  <c r="Z56" i="39"/>
  <c r="G50" i="39" a="1"/>
  <c r="G50" i="39" s="1"/>
  <c r="AI53" i="39"/>
  <c r="AJ53" i="39" s="1"/>
  <c r="F49" i="39" a="1"/>
  <c r="F49" i="39" s="1"/>
  <c r="O49" i="39" s="1"/>
  <c r="E102" i="39" a="1"/>
  <c r="E102" i="39" s="1"/>
  <c r="T48" i="39"/>
  <c r="G101" i="39"/>
  <c r="AD55" i="39"/>
  <c r="AI50" i="39"/>
  <c r="AJ50" i="39" s="1"/>
  <c r="E101" i="39" a="1"/>
  <c r="E101" i="39" s="1"/>
  <c r="AI75" i="39"/>
  <c r="AJ75" i="39" s="1"/>
  <c r="H102" i="39"/>
  <c r="AI58" i="39"/>
  <c r="AJ58" i="39" s="1"/>
  <c r="E49" i="39" a="1"/>
  <c r="E49" i="39" s="1"/>
  <c r="N49" i="39" s="1" a="1"/>
  <c r="N49" i="39" s="1"/>
  <c r="AD54" i="39"/>
  <c r="Y77" i="39"/>
  <c r="W73" i="39"/>
  <c r="W59" i="39"/>
  <c r="K78" i="39"/>
  <c r="AI65" i="39"/>
  <c r="AJ65" i="39" s="1"/>
  <c r="AI64" i="39"/>
  <c r="W57" i="39"/>
  <c r="AB57" i="39" s="1"/>
  <c r="X57" i="39"/>
  <c r="X48" i="39"/>
  <c r="W48" i="39"/>
  <c r="AB48" i="39" s="1"/>
  <c r="Y75" i="39"/>
  <c r="AC52" i="39"/>
  <c r="AF52" i="39"/>
  <c r="P19" i="39"/>
  <c r="Y19" i="39"/>
  <c r="Z19" i="39" s="1"/>
  <c r="AI54" i="39"/>
  <c r="X51" i="39"/>
  <c r="W51" i="39"/>
  <c r="AB51" i="39" s="1"/>
  <c r="AD51" i="39" s="1"/>
  <c r="L78" i="39"/>
  <c r="Q49" i="39" a="1"/>
  <c r="Q49" i="39" s="1"/>
  <c r="T49" i="39" s="1"/>
  <c r="H50" i="39" a="1"/>
  <c r="H50" i="39" s="1"/>
  <c r="P32" i="39"/>
  <c r="Y22" i="39"/>
  <c r="Z22" i="39" s="1"/>
  <c r="W72" i="39"/>
  <c r="W70" i="39"/>
  <c r="AI62" i="39"/>
  <c r="AJ62" i="39" s="1"/>
  <c r="AI52" i="39"/>
  <c r="AJ52" i="39" s="1"/>
  <c r="P23" i="39"/>
  <c r="Y20" i="39"/>
  <c r="Z20" i="39" s="1"/>
  <c r="X76" i="39"/>
  <c r="AA76" i="39" s="1"/>
  <c r="AC76" i="39" s="1"/>
  <c r="W76" i="39"/>
  <c r="AB76" i="39" s="1"/>
  <c r="W74" i="39"/>
  <c r="W63" i="39"/>
  <c r="W71" i="39"/>
  <c r="W60" i="39"/>
  <c r="AI51" i="39"/>
  <c r="AJ51" i="39" s="1"/>
  <c r="AA54" i="39"/>
  <c r="Z54" i="39"/>
  <c r="X53" i="39"/>
  <c r="W53" i="39"/>
  <c r="AB53" i="39" s="1"/>
  <c r="AD53" i="39" s="1"/>
  <c r="Z49" i="39"/>
  <c r="AA49" i="39"/>
  <c r="W67" i="39"/>
  <c r="W69" i="39"/>
  <c r="E50" i="39" a="1"/>
  <c r="E50" i="39" s="1"/>
  <c r="X50" i="39"/>
  <c r="W50" i="39"/>
  <c r="AB50" i="39" s="1"/>
  <c r="AD50" i="39" s="1"/>
  <c r="W61" i="39"/>
  <c r="X77" i="39"/>
  <c r="AA77" i="39" s="1"/>
  <c r="AC77" i="39" s="1"/>
  <c r="W77" i="39"/>
  <c r="AB77" i="39" s="1"/>
  <c r="H101" i="39"/>
  <c r="P28" i="39"/>
  <c r="Y21" i="39"/>
  <c r="Z21" i="39" s="1"/>
  <c r="W62" i="39"/>
  <c r="AA55" i="39"/>
  <c r="Z55" i="39"/>
  <c r="X58" i="39"/>
  <c r="W58" i="39"/>
  <c r="AB58" i="39" s="1"/>
  <c r="AD58" i="39" s="1"/>
  <c r="P35" i="39"/>
  <c r="Y23" i="39"/>
  <c r="Z23" i="39" s="1"/>
  <c r="AJ48" i="39"/>
  <c r="Y48" i="39"/>
  <c r="W65" i="39"/>
  <c r="AI49" i="39"/>
  <c r="AD55" i="38"/>
  <c r="AD56" i="38"/>
  <c r="AD49" i="38"/>
  <c r="W69" i="38"/>
  <c r="W65" i="38"/>
  <c r="W64" i="38"/>
  <c r="X55" i="38"/>
  <c r="Z55" i="38" s="1"/>
  <c r="AI69" i="38"/>
  <c r="AJ69" i="38" s="1"/>
  <c r="AI64" i="38"/>
  <c r="X76" i="38"/>
  <c r="AA76" i="38" s="1"/>
  <c r="AC76" i="38" s="1"/>
  <c r="AI62" i="38"/>
  <c r="AJ62" i="38" s="1"/>
  <c r="AI74" i="38"/>
  <c r="W70" i="38"/>
  <c r="AI59" i="38"/>
  <c r="AI77" i="38"/>
  <c r="AJ77" i="38" s="1"/>
  <c r="AI49" i="38"/>
  <c r="W75" i="38"/>
  <c r="AB75" i="38" s="1"/>
  <c r="AD75" i="38" s="1"/>
  <c r="H49" i="38" a="1"/>
  <c r="H49" i="38" s="1"/>
  <c r="H50" i="38" s="1" a="1"/>
  <c r="H50" i="38" s="1"/>
  <c r="J49" i="38" a="1"/>
  <c r="J49" i="38" s="1"/>
  <c r="S48" i="38" a="1"/>
  <c r="S48" i="38" s="1"/>
  <c r="W60" i="38"/>
  <c r="I49" i="38" a="1"/>
  <c r="I49" i="38" s="1"/>
  <c r="R48" i="38" a="1"/>
  <c r="R48" i="38" s="1"/>
  <c r="G49" i="38" a="1"/>
  <c r="G49" i="38" s="1"/>
  <c r="P49" i="38" s="1"/>
  <c r="Z50" i="38"/>
  <c r="AA49" i="38"/>
  <c r="AC49" i="38" s="1"/>
  <c r="H102" i="38"/>
  <c r="G102" i="38"/>
  <c r="W50" i="38"/>
  <c r="AB50" i="38" s="1"/>
  <c r="AD50" i="38" s="1"/>
  <c r="AF50" i="38"/>
  <c r="AI54" i="38"/>
  <c r="AJ75" i="38"/>
  <c r="Z56" i="38"/>
  <c r="F101" i="38"/>
  <c r="G101" i="38"/>
  <c r="K78" i="38"/>
  <c r="AI66" i="38"/>
  <c r="AJ66" i="38" s="1"/>
  <c r="AI67" i="38"/>
  <c r="AJ67" i="38" s="1"/>
  <c r="AI53" i="38"/>
  <c r="AJ53" i="38" s="1"/>
  <c r="W72" i="38"/>
  <c r="F102" i="38"/>
  <c r="X77" i="38"/>
  <c r="AA77" i="38" s="1"/>
  <c r="AC77" i="38" s="1"/>
  <c r="W77" i="38"/>
  <c r="AB77" i="38" s="1"/>
  <c r="AD77" i="38" s="1"/>
  <c r="W73" i="38"/>
  <c r="W71" i="38"/>
  <c r="Z48" i="38"/>
  <c r="H101" i="38"/>
  <c r="X57" i="38"/>
  <c r="W57" i="38"/>
  <c r="AB57" i="38" s="1"/>
  <c r="AD57" i="38" s="1"/>
  <c r="W52" i="38"/>
  <c r="AB52" i="38" s="1"/>
  <c r="AD52" i="38" s="1"/>
  <c r="X52" i="38"/>
  <c r="AI76" i="38"/>
  <c r="AJ76" i="38" s="1"/>
  <c r="W66" i="38"/>
  <c r="E102" i="38" a="1"/>
  <c r="E102" i="38" s="1"/>
  <c r="X51" i="38"/>
  <c r="W51" i="38"/>
  <c r="AB51" i="38" s="1"/>
  <c r="AD51" i="38" s="1"/>
  <c r="E49" i="38" a="1"/>
  <c r="E49" i="38" s="1"/>
  <c r="N48" i="38" a="1"/>
  <c r="N48" i="38" s="1"/>
  <c r="O48" i="38"/>
  <c r="F49" i="38" a="1"/>
  <c r="F49" i="38" s="1"/>
  <c r="AI52" i="38"/>
  <c r="AJ52" i="38" s="1"/>
  <c r="AI51" i="38"/>
  <c r="W67" i="38"/>
  <c r="E101" i="38" a="1"/>
  <c r="E101" i="38" s="1"/>
  <c r="L78" i="38"/>
  <c r="W68" i="38"/>
  <c r="W62" i="38"/>
  <c r="W53" i="38"/>
  <c r="AB53" i="38" s="1"/>
  <c r="AD53" i="38" s="1"/>
  <c r="X53" i="38"/>
  <c r="AF48" i="38"/>
  <c r="W54" i="38"/>
  <c r="AB54" i="38" s="1"/>
  <c r="AD54" i="38" s="1"/>
  <c r="X54" i="38"/>
  <c r="AF56" i="38"/>
  <c r="W63" i="38"/>
  <c r="W58" i="38"/>
  <c r="AB58" i="38" s="1"/>
  <c r="AD58" i="38" s="1"/>
  <c r="X58" i="38"/>
  <c r="AI57" i="38"/>
  <c r="AJ57" i="38" s="1"/>
  <c r="AI56" i="38"/>
  <c r="AJ56" i="38" s="1"/>
  <c r="W61" i="38"/>
  <c r="I102" i="4"/>
  <c r="BY28" i="5"/>
  <c r="CB28" i="5" s="1"/>
  <c r="BZ28" i="5"/>
  <c r="CA28" i="5"/>
  <c r="BY23" i="5"/>
  <c r="CB23" i="5" s="1"/>
  <c r="BZ23" i="5"/>
  <c r="BY38" i="5"/>
  <c r="CB38" i="5" s="1"/>
  <c r="BZ38" i="5"/>
  <c r="CA38" i="5"/>
  <c r="BY18" i="5"/>
  <c r="CB18" i="5" s="1"/>
  <c r="BZ18" i="5"/>
  <c r="CA23" i="5"/>
  <c r="CB12" i="5"/>
  <c r="AI77" i="4"/>
  <c r="AJ77" i="4" s="1"/>
  <c r="M22" i="4"/>
  <c r="M23" i="4"/>
  <c r="M24" i="4"/>
  <c r="M25" i="4"/>
  <c r="M26" i="4"/>
  <c r="M27" i="4"/>
  <c r="M28" i="4"/>
  <c r="M29" i="4"/>
  <c r="M30" i="4"/>
  <c r="M31" i="4"/>
  <c r="M32" i="4"/>
  <c r="M33" i="4"/>
  <c r="M34" i="4"/>
  <c r="M35" i="4"/>
  <c r="AF77" i="38" l="1"/>
  <c r="I102" i="39"/>
  <c r="AF76" i="38"/>
  <c r="F50" i="39" a="1"/>
  <c r="F50" i="39" s="1"/>
  <c r="F51" i="39" s="1" a="1"/>
  <c r="F51" i="39" s="1"/>
  <c r="P50" i="39"/>
  <c r="G51" i="39" a="1"/>
  <c r="G51" i="39" s="1"/>
  <c r="Y49" i="39"/>
  <c r="Q50" i="39" a="1"/>
  <c r="Q50" i="39" s="1"/>
  <c r="H51" i="39" a="1"/>
  <c r="H51" i="39" s="1"/>
  <c r="AA50" i="39"/>
  <c r="Z50" i="39"/>
  <c r="AC49" i="39"/>
  <c r="AF49" i="39"/>
  <c r="AA58" i="39"/>
  <c r="Z58" i="39"/>
  <c r="N50" i="39" a="1"/>
  <c r="N50" i="39" s="1"/>
  <c r="E51" i="39" a="1"/>
  <c r="E51" i="39" s="1"/>
  <c r="AC55" i="39"/>
  <c r="AF55" i="39"/>
  <c r="AA53" i="39"/>
  <c r="Z53" i="39"/>
  <c r="AA51" i="39"/>
  <c r="Z51" i="39"/>
  <c r="E103" i="39" a="1"/>
  <c r="E103" i="39" s="1"/>
  <c r="AD48" i="39"/>
  <c r="I101" i="39"/>
  <c r="AJ49" i="39"/>
  <c r="AA48" i="39"/>
  <c r="Z48" i="39"/>
  <c r="AA57" i="39"/>
  <c r="Z57" i="39"/>
  <c r="AF54" i="39"/>
  <c r="AC54" i="39"/>
  <c r="AD57" i="39"/>
  <c r="F103" i="39"/>
  <c r="F104" i="39" s="1"/>
  <c r="AA55" i="38"/>
  <c r="AC55" i="38" s="1"/>
  <c r="Q49" i="38" a="1"/>
  <c r="Q49" i="38" s="1"/>
  <c r="G50" i="38" a="1"/>
  <c r="G50" i="38" s="1"/>
  <c r="P50" i="38" s="1"/>
  <c r="AE49" i="38"/>
  <c r="J50" i="38" a="1"/>
  <c r="J50" i="38" s="1"/>
  <c r="S49" i="38" a="1"/>
  <c r="S49" i="38" s="1"/>
  <c r="I50" i="38" a="1"/>
  <c r="I50" i="38" s="1"/>
  <c r="R49" i="38" a="1"/>
  <c r="R49" i="38" s="1"/>
  <c r="AF49" i="38"/>
  <c r="AE48" i="38"/>
  <c r="F50" i="38" a="1"/>
  <c r="F50" i="38" s="1"/>
  <c r="O49" i="38"/>
  <c r="AA58" i="38"/>
  <c r="Z58" i="38"/>
  <c r="I101" i="38"/>
  <c r="Z51" i="38"/>
  <c r="AA51" i="38"/>
  <c r="AA54" i="38"/>
  <c r="Z54" i="38"/>
  <c r="AA53" i="38"/>
  <c r="Z53" i="38"/>
  <c r="AA57" i="38"/>
  <c r="Z57" i="38"/>
  <c r="E103" i="38" a="1"/>
  <c r="E103" i="38" s="1"/>
  <c r="E104" i="38" s="1"/>
  <c r="Q50" i="38" a="1"/>
  <c r="Q50" i="38" s="1"/>
  <c r="H51" i="38" a="1"/>
  <c r="H51" i="38" s="1"/>
  <c r="F103" i="38"/>
  <c r="F104" i="38" s="1"/>
  <c r="I102" i="38"/>
  <c r="T48" i="38"/>
  <c r="E50" i="38" a="1"/>
  <c r="E50" i="38" s="1"/>
  <c r="N49" i="38" a="1"/>
  <c r="N49" i="38" s="1"/>
  <c r="AA52" i="38"/>
  <c r="Z52" i="38"/>
  <c r="X22" i="4"/>
  <c r="U64" i="4"/>
  <c r="U74" i="4"/>
  <c r="U59" i="4"/>
  <c r="X20" i="4"/>
  <c r="V61" i="4" a="1"/>
  <c r="V61" i="4" s="1"/>
  <c r="V59" i="4" a="1"/>
  <c r="V59" i="4" s="1"/>
  <c r="V60" i="4" a="1"/>
  <c r="V60" i="4" s="1"/>
  <c r="V62" i="4" a="1"/>
  <c r="V62" i="4" s="1"/>
  <c r="V58" i="4" a="1"/>
  <c r="V58" i="4" s="1"/>
  <c r="V57" i="4" a="1"/>
  <c r="V57" i="4" s="1"/>
  <c r="V63" i="4" a="1"/>
  <c r="V63" i="4" s="1"/>
  <c r="V72" i="4" a="1"/>
  <c r="V72" i="4" s="1"/>
  <c r="V52" i="4" a="1"/>
  <c r="V52" i="4" s="1"/>
  <c r="V71" i="4" a="1"/>
  <c r="V71" i="4" s="1"/>
  <c r="V51" i="4" a="1"/>
  <c r="V51" i="4" s="1"/>
  <c r="V74" i="4" a="1"/>
  <c r="V74" i="4" s="1"/>
  <c r="V50" i="4" a="1"/>
  <c r="V50" i="4" s="1"/>
  <c r="V49" i="4" a="1"/>
  <c r="V49" i="4" s="1"/>
  <c r="V54" i="4" a="1"/>
  <c r="V54" i="4" s="1"/>
  <c r="V56" i="4" a="1"/>
  <c r="V56" i="4" s="1"/>
  <c r="V66" i="4" a="1"/>
  <c r="V66" i="4" s="1"/>
  <c r="V55" i="4" a="1"/>
  <c r="V55" i="4" s="1"/>
  <c r="V73" i="4" a="1"/>
  <c r="V73" i="4" s="1"/>
  <c r="V69" i="4" a="1"/>
  <c r="V69" i="4" s="1"/>
  <c r="V65" i="4" a="1"/>
  <c r="V65" i="4" s="1"/>
  <c r="V75" i="4" a="1"/>
  <c r="V75" i="4" s="1"/>
  <c r="V53" i="4" a="1"/>
  <c r="V53" i="4" s="1"/>
  <c r="V70" i="4" a="1"/>
  <c r="V70" i="4" s="1"/>
  <c r="V68" i="4" a="1"/>
  <c r="V68" i="4" s="1"/>
  <c r="V67" i="4" a="1"/>
  <c r="V67" i="4" s="1"/>
  <c r="V64" i="4" a="1"/>
  <c r="V64" i="4" s="1"/>
  <c r="V48" i="4" a="1"/>
  <c r="V48" i="4" s="1"/>
  <c r="M19" i="4"/>
  <c r="M20" i="4"/>
  <c r="M36" i="4"/>
  <c r="M37" i="4"/>
  <c r="M38" i="4"/>
  <c r="M39" i="4"/>
  <c r="M40" i="4"/>
  <c r="M41" i="4"/>
  <c r="M42" i="4"/>
  <c r="AW38" i="5" a="1"/>
  <c r="AW38" i="5" s="1"/>
  <c r="BE38" i="5" s="1"/>
  <c r="AW28" i="5" a="1"/>
  <c r="AW28" i="5" s="1"/>
  <c r="BE28" i="5" s="1"/>
  <c r="AW23" i="5" a="1"/>
  <c r="AW23" i="5" s="1"/>
  <c r="BE23" i="5" s="1"/>
  <c r="AW18" i="5" a="1"/>
  <c r="AW18" i="5" s="1"/>
  <c r="BE18" i="5" s="1"/>
  <c r="AW12" i="5" a="1"/>
  <c r="AW12" i="5" s="1"/>
  <c r="BE12" i="5" s="1"/>
  <c r="AV38" i="5" a="1"/>
  <c r="AV38" i="5" s="1"/>
  <c r="BD38" i="5" s="1"/>
  <c r="AU38" i="5" a="1"/>
  <c r="AU38" i="5" s="1"/>
  <c r="AT38" i="5" a="1"/>
  <c r="AT38" i="5" s="1"/>
  <c r="BB38" i="5" s="1"/>
  <c r="AS38" i="5" a="1"/>
  <c r="AS38" i="5" s="1"/>
  <c r="BA38" i="5" s="1"/>
  <c r="AV28" i="5" a="1"/>
  <c r="AV28" i="5" s="1"/>
  <c r="BD28" i="5" s="1"/>
  <c r="AU28" i="5" a="1"/>
  <c r="AU28" i="5" s="1"/>
  <c r="AT28" i="5" a="1"/>
  <c r="AT28" i="5" s="1"/>
  <c r="BB28" i="5" s="1"/>
  <c r="AS28" i="5" a="1"/>
  <c r="AS28" i="5" s="1"/>
  <c r="BA28" i="5" s="1"/>
  <c r="AV23" i="5" a="1"/>
  <c r="AV23" i="5" s="1"/>
  <c r="BD23" i="5" s="1"/>
  <c r="AU23" i="5" a="1"/>
  <c r="AU23" i="5" s="1"/>
  <c r="AT23" i="5" a="1"/>
  <c r="AT23" i="5" s="1"/>
  <c r="BB23" i="5" s="1"/>
  <c r="AS23" i="5" a="1"/>
  <c r="AS23" i="5" s="1"/>
  <c r="BA23" i="5" s="1"/>
  <c r="AV18" i="5" a="1"/>
  <c r="AV18" i="5" s="1"/>
  <c r="BD18" i="5" s="1"/>
  <c r="AU18" i="5" a="1"/>
  <c r="AU18" i="5" s="1"/>
  <c r="AT18" i="5" a="1"/>
  <c r="AT18" i="5" s="1"/>
  <c r="BB18" i="5" s="1"/>
  <c r="AS18" i="5" a="1"/>
  <c r="AS18" i="5" s="1"/>
  <c r="BA18" i="5" s="1"/>
  <c r="AV12" i="5" a="1"/>
  <c r="AV12" i="5" s="1"/>
  <c r="BD12" i="5" s="1"/>
  <c r="AU12" i="5" a="1"/>
  <c r="AU12" i="5" s="1"/>
  <c r="AT12" i="5" a="1"/>
  <c r="AT12" i="5" s="1"/>
  <c r="BB12" i="5" s="1"/>
  <c r="AS12" i="5" a="1"/>
  <c r="AS12" i="5" s="1"/>
  <c r="BA12" i="5" s="1"/>
  <c r="AR12" i="5" a="1"/>
  <c r="AR12" i="5" s="1"/>
  <c r="AZ12" i="5" s="1"/>
  <c r="AR18" i="5" a="1"/>
  <c r="AR18" i="5" s="1"/>
  <c r="AZ18" i="5" s="1"/>
  <c r="AR23" i="5" a="1"/>
  <c r="AR23" i="5" s="1"/>
  <c r="AZ23" i="5" s="1"/>
  <c r="AR28" i="5" a="1"/>
  <c r="AR28" i="5" s="1"/>
  <c r="AZ28" i="5" s="1"/>
  <c r="AR38" i="5" a="1"/>
  <c r="AR38" i="5" s="1"/>
  <c r="AZ38" i="5" s="1"/>
  <c r="AE13" i="5"/>
  <c r="AF13" i="5" s="1"/>
  <c r="AG13" i="5" s="1"/>
  <c r="AH13" i="5" s="1"/>
  <c r="AI13" i="5" s="1"/>
  <c r="AJ13" i="5" s="1"/>
  <c r="AK13" i="5" s="1"/>
  <c r="AL13" i="5" s="1"/>
  <c r="AM13" i="5" s="1"/>
  <c r="AE14" i="5"/>
  <c r="AF14" i="5" s="1"/>
  <c r="AG14" i="5" s="1"/>
  <c r="AH14" i="5" s="1"/>
  <c r="AI14" i="5" s="1"/>
  <c r="AJ14" i="5" s="1"/>
  <c r="AK14" i="5" s="1"/>
  <c r="AL14" i="5" s="1"/>
  <c r="AM14" i="5" s="1"/>
  <c r="AE15" i="5"/>
  <c r="AE16" i="5"/>
  <c r="AF16" i="5" s="1"/>
  <c r="AG16" i="5" s="1"/>
  <c r="AH16" i="5" s="1"/>
  <c r="AI16" i="5" s="1"/>
  <c r="AJ16" i="5" s="1"/>
  <c r="AK16" i="5" s="1"/>
  <c r="AL16" i="5" s="1"/>
  <c r="AM16" i="5" s="1"/>
  <c r="AE17" i="5"/>
  <c r="AF17" i="5" s="1"/>
  <c r="AG17" i="5" s="1"/>
  <c r="AH17" i="5" s="1"/>
  <c r="AI17" i="5" s="1"/>
  <c r="AJ17" i="5" s="1"/>
  <c r="AK17" i="5" s="1"/>
  <c r="AL17" i="5" s="1"/>
  <c r="AM17" i="5" s="1"/>
  <c r="AE18" i="5"/>
  <c r="AF18" i="5" s="1"/>
  <c r="AG18" i="5" s="1"/>
  <c r="AH18" i="5" s="1"/>
  <c r="AI18" i="5" s="1"/>
  <c r="AJ18" i="5" s="1"/>
  <c r="AK18" i="5" s="1"/>
  <c r="AL18" i="5" s="1"/>
  <c r="AM18" i="5" s="1"/>
  <c r="AE19" i="5"/>
  <c r="AF19" i="5" s="1"/>
  <c r="AG19" i="5" s="1"/>
  <c r="AH19" i="5" s="1"/>
  <c r="AI19" i="5" s="1"/>
  <c r="AJ19" i="5" s="1"/>
  <c r="AK19" i="5" s="1"/>
  <c r="AL19" i="5" s="1"/>
  <c r="AM19" i="5" s="1"/>
  <c r="AE20" i="5"/>
  <c r="AF20" i="5" s="1"/>
  <c r="AG20" i="5" s="1"/>
  <c r="AH20" i="5" s="1"/>
  <c r="AI20" i="5" s="1"/>
  <c r="AJ20" i="5" s="1"/>
  <c r="AK20" i="5" s="1"/>
  <c r="AL20" i="5" s="1"/>
  <c r="AM20" i="5" s="1"/>
  <c r="AE21" i="5"/>
  <c r="AF21" i="5" s="1"/>
  <c r="AG21" i="5" s="1"/>
  <c r="AH21" i="5" s="1"/>
  <c r="AI21" i="5" s="1"/>
  <c r="AJ21" i="5" s="1"/>
  <c r="AK21" i="5" s="1"/>
  <c r="AL21" i="5" s="1"/>
  <c r="AM21" i="5" s="1"/>
  <c r="AE22" i="5"/>
  <c r="AF22" i="5" s="1"/>
  <c r="AG22" i="5" s="1"/>
  <c r="AH22" i="5" s="1"/>
  <c r="AI22" i="5" s="1"/>
  <c r="AJ22" i="5" s="1"/>
  <c r="AK22" i="5" s="1"/>
  <c r="AL22" i="5" s="1"/>
  <c r="AM22" i="5" s="1"/>
  <c r="AE23" i="5"/>
  <c r="AF23" i="5" s="1"/>
  <c r="AG23" i="5" s="1"/>
  <c r="AH23" i="5" s="1"/>
  <c r="AI23" i="5" s="1"/>
  <c r="AJ23" i="5" s="1"/>
  <c r="AK23" i="5" s="1"/>
  <c r="AL23" i="5" s="1"/>
  <c r="AM23" i="5" s="1"/>
  <c r="AE24" i="5"/>
  <c r="AY29" i="5" s="1" a="1"/>
  <c r="AY29" i="5" s="1"/>
  <c r="BG29" i="5" s="1"/>
  <c r="AE25" i="5"/>
  <c r="AF25" i="5" s="1"/>
  <c r="AG25" i="5" s="1"/>
  <c r="AH25" i="5" s="1"/>
  <c r="AI25" i="5" s="1"/>
  <c r="AJ25" i="5" s="1"/>
  <c r="AK25" i="5" s="1"/>
  <c r="AL25" i="5" s="1"/>
  <c r="AM25" i="5" s="1"/>
  <c r="AE26" i="5"/>
  <c r="AE27" i="5"/>
  <c r="AF27" i="5" s="1"/>
  <c r="AG27" i="5" s="1"/>
  <c r="AH27" i="5" s="1"/>
  <c r="AI27" i="5" s="1"/>
  <c r="AJ27" i="5" s="1"/>
  <c r="AK27" i="5" s="1"/>
  <c r="AL27" i="5" s="1"/>
  <c r="AM27" i="5" s="1"/>
  <c r="AE28" i="5"/>
  <c r="AF28" i="5" s="1"/>
  <c r="AG28" i="5" s="1"/>
  <c r="AH28" i="5" s="1"/>
  <c r="AI28" i="5" s="1"/>
  <c r="AJ28" i="5" s="1"/>
  <c r="AK28" i="5" s="1"/>
  <c r="AL28" i="5" s="1"/>
  <c r="AM28" i="5" s="1"/>
  <c r="AE29" i="5"/>
  <c r="AF29" i="5" s="1"/>
  <c r="AG29" i="5" s="1"/>
  <c r="AH29" i="5" s="1"/>
  <c r="AI29" i="5" s="1"/>
  <c r="AJ29" i="5" s="1"/>
  <c r="AK29" i="5" s="1"/>
  <c r="AL29" i="5" s="1"/>
  <c r="AM29" i="5" s="1"/>
  <c r="AE30" i="5"/>
  <c r="AF30" i="5" s="1"/>
  <c r="AG30" i="5" s="1"/>
  <c r="AH30" i="5" s="1"/>
  <c r="AI30" i="5" s="1"/>
  <c r="AJ30" i="5" s="1"/>
  <c r="AK30" i="5" s="1"/>
  <c r="AL30" i="5" s="1"/>
  <c r="AM30" i="5" s="1"/>
  <c r="AE31" i="5"/>
  <c r="AF31" i="5" s="1"/>
  <c r="AG31" i="5" s="1"/>
  <c r="AH31" i="5" s="1"/>
  <c r="AI31" i="5" s="1"/>
  <c r="AJ31" i="5" s="1"/>
  <c r="AK31" i="5" s="1"/>
  <c r="AL31" i="5" s="1"/>
  <c r="AM31" i="5" s="1"/>
  <c r="AE32" i="5"/>
  <c r="AF32" i="5" s="1"/>
  <c r="AG32" i="5" s="1"/>
  <c r="AH32" i="5" s="1"/>
  <c r="AI32" i="5" s="1"/>
  <c r="AJ32" i="5" s="1"/>
  <c r="AK32" i="5" s="1"/>
  <c r="AL32" i="5" s="1"/>
  <c r="AM32" i="5" s="1"/>
  <c r="AE33" i="5"/>
  <c r="AF33" i="5" s="1"/>
  <c r="AG33" i="5" s="1"/>
  <c r="AH33" i="5" s="1"/>
  <c r="AI33" i="5" s="1"/>
  <c r="AJ33" i="5" s="1"/>
  <c r="AK33" i="5" s="1"/>
  <c r="AL33" i="5" s="1"/>
  <c r="AM33" i="5" s="1"/>
  <c r="AE34" i="5"/>
  <c r="AF34" i="5" s="1"/>
  <c r="AG34" i="5" s="1"/>
  <c r="AH34" i="5" s="1"/>
  <c r="AI34" i="5" s="1"/>
  <c r="AJ34" i="5" s="1"/>
  <c r="AK34" i="5" s="1"/>
  <c r="AL34" i="5" s="1"/>
  <c r="AM34" i="5" s="1"/>
  <c r="AE35" i="5"/>
  <c r="AE36" i="5"/>
  <c r="AF36" i="5" s="1"/>
  <c r="AG36" i="5" s="1"/>
  <c r="AH36" i="5" s="1"/>
  <c r="AI36" i="5" s="1"/>
  <c r="AJ36" i="5" s="1"/>
  <c r="AK36" i="5" s="1"/>
  <c r="AL36" i="5" s="1"/>
  <c r="AM36" i="5" s="1"/>
  <c r="AE37" i="5"/>
  <c r="AE38" i="5"/>
  <c r="AF38" i="5" s="1"/>
  <c r="AG38" i="5" s="1"/>
  <c r="AH38" i="5" s="1"/>
  <c r="AI38" i="5" s="1"/>
  <c r="AJ38" i="5" s="1"/>
  <c r="AK38" i="5" s="1"/>
  <c r="AL38" i="5" s="1"/>
  <c r="AM38" i="5" s="1"/>
  <c r="AE39" i="5"/>
  <c r="AF39" i="5" s="1"/>
  <c r="AG39" i="5" s="1"/>
  <c r="AH39" i="5" s="1"/>
  <c r="AI39" i="5" s="1"/>
  <c r="AJ39" i="5" s="1"/>
  <c r="AK39" i="5" s="1"/>
  <c r="AL39" i="5" s="1"/>
  <c r="AM39" i="5" s="1"/>
  <c r="AE40" i="5"/>
  <c r="AF40" i="5" s="1"/>
  <c r="AG40" i="5" s="1"/>
  <c r="AH40" i="5" s="1"/>
  <c r="AI40" i="5" s="1"/>
  <c r="AJ40" i="5" s="1"/>
  <c r="AK40" i="5" s="1"/>
  <c r="AL40" i="5" s="1"/>
  <c r="AM40" i="5" s="1"/>
  <c r="AE41" i="5"/>
  <c r="AF41" i="5" s="1"/>
  <c r="AG41" i="5" s="1"/>
  <c r="AH41" i="5" s="1"/>
  <c r="AI41" i="5" s="1"/>
  <c r="AJ41" i="5" s="1"/>
  <c r="AK41" i="5" s="1"/>
  <c r="AL41" i="5" s="1"/>
  <c r="AM41" i="5" s="1"/>
  <c r="AE42" i="5"/>
  <c r="AF42" i="5" s="1"/>
  <c r="AG42" i="5" s="1"/>
  <c r="AH42" i="5" s="1"/>
  <c r="AI42" i="5" s="1"/>
  <c r="AJ42" i="5" s="1"/>
  <c r="AK42" i="5" s="1"/>
  <c r="AL42" i="5" s="1"/>
  <c r="AM42" i="5" s="1"/>
  <c r="AE43" i="5"/>
  <c r="AF43" i="5" s="1"/>
  <c r="AG43" i="5" s="1"/>
  <c r="AH43" i="5" s="1"/>
  <c r="AI43" i="5" s="1"/>
  <c r="AJ43" i="5" s="1"/>
  <c r="AK43" i="5" s="1"/>
  <c r="AL43" i="5" s="1"/>
  <c r="AM43" i="5" s="1"/>
  <c r="AE44" i="5"/>
  <c r="AF44" i="5" s="1"/>
  <c r="AG44" i="5" s="1"/>
  <c r="AH44" i="5" s="1"/>
  <c r="AI44" i="5" s="1"/>
  <c r="AJ44" i="5" s="1"/>
  <c r="AK44" i="5" s="1"/>
  <c r="AL44" i="5" s="1"/>
  <c r="AM44" i="5" s="1"/>
  <c r="AE45" i="5"/>
  <c r="AF45" i="5" s="1"/>
  <c r="AG45" i="5" s="1"/>
  <c r="AH45" i="5" s="1"/>
  <c r="AI45" i="5" s="1"/>
  <c r="AJ45" i="5" s="1"/>
  <c r="AK45" i="5" s="1"/>
  <c r="AL45" i="5" s="1"/>
  <c r="AM45" i="5" s="1"/>
  <c r="AE46" i="5"/>
  <c r="AF46" i="5" s="1"/>
  <c r="AG46" i="5" s="1"/>
  <c r="AH46" i="5" s="1"/>
  <c r="AI46" i="5" s="1"/>
  <c r="AJ46" i="5" s="1"/>
  <c r="AK46" i="5" s="1"/>
  <c r="AL46" i="5" s="1"/>
  <c r="AM46" i="5" s="1"/>
  <c r="AE47" i="5"/>
  <c r="AF47" i="5" s="1"/>
  <c r="AG47" i="5" s="1"/>
  <c r="AH47" i="5" s="1"/>
  <c r="AI47" i="5" s="1"/>
  <c r="AJ47" i="5" s="1"/>
  <c r="AK47" i="5" s="1"/>
  <c r="AL47" i="5" s="1"/>
  <c r="AM47" i="5" s="1"/>
  <c r="AE48" i="5"/>
  <c r="AF48" i="5" s="1"/>
  <c r="AG48" i="5" s="1"/>
  <c r="AH48" i="5" s="1"/>
  <c r="AI48" i="5" s="1"/>
  <c r="AJ48" i="5" s="1"/>
  <c r="AK48" i="5" s="1"/>
  <c r="AL48" i="5" s="1"/>
  <c r="AM48" i="5" s="1"/>
  <c r="AE49" i="5"/>
  <c r="AF49" i="5" s="1"/>
  <c r="AG49" i="5" s="1"/>
  <c r="AH49" i="5" s="1"/>
  <c r="AI49" i="5" s="1"/>
  <c r="AJ49" i="5" s="1"/>
  <c r="AK49" i="5" s="1"/>
  <c r="AL49" i="5" s="1"/>
  <c r="AM49" i="5" s="1"/>
  <c r="AE50" i="5"/>
  <c r="AF50" i="5" s="1"/>
  <c r="AG50" i="5" s="1"/>
  <c r="AH50" i="5" s="1"/>
  <c r="AI50" i="5" s="1"/>
  <c r="AJ50" i="5" s="1"/>
  <c r="AK50" i="5" s="1"/>
  <c r="AL50" i="5" s="1"/>
  <c r="AM50" i="5" s="1"/>
  <c r="AE51" i="5"/>
  <c r="AF51" i="5" s="1"/>
  <c r="AG51" i="5" s="1"/>
  <c r="AH51" i="5" s="1"/>
  <c r="AI51" i="5" s="1"/>
  <c r="AJ51" i="5" s="1"/>
  <c r="AK51" i="5" s="1"/>
  <c r="AL51" i="5" s="1"/>
  <c r="AM51" i="5" s="1"/>
  <c r="AE52" i="5"/>
  <c r="AE53" i="5"/>
  <c r="AF53" i="5" s="1"/>
  <c r="AG53" i="5" s="1"/>
  <c r="AH53" i="5" s="1"/>
  <c r="AI53" i="5" s="1"/>
  <c r="AJ53" i="5" s="1"/>
  <c r="AK53" i="5" s="1"/>
  <c r="AL53" i="5" s="1"/>
  <c r="AM53" i="5" s="1"/>
  <c r="AE54" i="5"/>
  <c r="AF54" i="5" s="1"/>
  <c r="AG54" i="5" s="1"/>
  <c r="AH54" i="5" s="1"/>
  <c r="AI54" i="5" s="1"/>
  <c r="AJ54" i="5" s="1"/>
  <c r="AK54" i="5" s="1"/>
  <c r="AL54" i="5" s="1"/>
  <c r="AM54" i="5" s="1"/>
  <c r="AE55" i="5"/>
  <c r="AF55" i="5" s="1"/>
  <c r="AG55" i="5" s="1"/>
  <c r="AH55" i="5" s="1"/>
  <c r="AI55" i="5" s="1"/>
  <c r="AJ55" i="5" s="1"/>
  <c r="AK55" i="5" s="1"/>
  <c r="AL55" i="5" s="1"/>
  <c r="AM55" i="5" s="1"/>
  <c r="AE56" i="5"/>
  <c r="AF56" i="5" s="1"/>
  <c r="AG56" i="5" s="1"/>
  <c r="AH56" i="5" s="1"/>
  <c r="AI56" i="5" s="1"/>
  <c r="AJ56" i="5" s="1"/>
  <c r="AK56" i="5" s="1"/>
  <c r="AL56" i="5" s="1"/>
  <c r="AM56" i="5" s="1"/>
  <c r="AE57" i="5"/>
  <c r="AF57" i="5" s="1"/>
  <c r="AG57" i="5" s="1"/>
  <c r="AH57" i="5" s="1"/>
  <c r="AI57" i="5" s="1"/>
  <c r="AJ57" i="5" s="1"/>
  <c r="AK57" i="5" s="1"/>
  <c r="AL57" i="5" s="1"/>
  <c r="AM57" i="5" s="1"/>
  <c r="AE58" i="5"/>
  <c r="AF58" i="5" s="1"/>
  <c r="AG58" i="5" s="1"/>
  <c r="AH58" i="5" s="1"/>
  <c r="AI58" i="5" s="1"/>
  <c r="AJ58" i="5" s="1"/>
  <c r="AK58" i="5" s="1"/>
  <c r="AL58" i="5" s="1"/>
  <c r="AM58" i="5" s="1"/>
  <c r="AE59" i="5"/>
  <c r="AF59" i="5" s="1"/>
  <c r="AG59" i="5" s="1"/>
  <c r="AH59" i="5" s="1"/>
  <c r="AI59" i="5" s="1"/>
  <c r="AJ59" i="5" s="1"/>
  <c r="AK59" i="5" s="1"/>
  <c r="AL59" i="5" s="1"/>
  <c r="AM59" i="5" s="1"/>
  <c r="AE60" i="5"/>
  <c r="AE61" i="5"/>
  <c r="AE62" i="5"/>
  <c r="AE63" i="5"/>
  <c r="AF63" i="5" s="1"/>
  <c r="AG63" i="5" s="1"/>
  <c r="AH63" i="5" s="1"/>
  <c r="AI63" i="5" s="1"/>
  <c r="AJ63" i="5" s="1"/>
  <c r="AK63" i="5" s="1"/>
  <c r="AL63" i="5" s="1"/>
  <c r="AM63" i="5" s="1"/>
  <c r="AE64" i="5"/>
  <c r="AF64" i="5" s="1"/>
  <c r="AG64" i="5" s="1"/>
  <c r="AH64" i="5" s="1"/>
  <c r="AI64" i="5" s="1"/>
  <c r="AJ64" i="5" s="1"/>
  <c r="AK64" i="5" s="1"/>
  <c r="AL64" i="5" s="1"/>
  <c r="AM64" i="5" s="1"/>
  <c r="AE65" i="5"/>
  <c r="AF65" i="5" s="1"/>
  <c r="AG65" i="5" s="1"/>
  <c r="AH65" i="5" s="1"/>
  <c r="AI65" i="5" s="1"/>
  <c r="AJ65" i="5" s="1"/>
  <c r="AK65" i="5" s="1"/>
  <c r="AL65" i="5" s="1"/>
  <c r="AM65" i="5" s="1"/>
  <c r="AE66" i="5"/>
  <c r="AF66" i="5" s="1"/>
  <c r="AG66" i="5" s="1"/>
  <c r="AH66" i="5" s="1"/>
  <c r="AI66" i="5" s="1"/>
  <c r="AJ66" i="5" s="1"/>
  <c r="AK66" i="5" s="1"/>
  <c r="AL66" i="5" s="1"/>
  <c r="AM66" i="5" s="1"/>
  <c r="AE67" i="5"/>
  <c r="AF67" i="5" s="1"/>
  <c r="AG67" i="5" s="1"/>
  <c r="AH67" i="5" s="1"/>
  <c r="AI67" i="5" s="1"/>
  <c r="AJ67" i="5" s="1"/>
  <c r="AK67" i="5" s="1"/>
  <c r="AL67" i="5" s="1"/>
  <c r="AM67" i="5" s="1"/>
  <c r="AE68" i="5"/>
  <c r="AF68" i="5" s="1"/>
  <c r="AG68" i="5" s="1"/>
  <c r="AH68" i="5" s="1"/>
  <c r="AI68" i="5" s="1"/>
  <c r="AJ68" i="5" s="1"/>
  <c r="AK68" i="5" s="1"/>
  <c r="AL68" i="5" s="1"/>
  <c r="AM68" i="5" s="1"/>
  <c r="AE69" i="5"/>
  <c r="AF69" i="5" s="1"/>
  <c r="AG69" i="5" s="1"/>
  <c r="AH69" i="5" s="1"/>
  <c r="AI69" i="5" s="1"/>
  <c r="AJ69" i="5" s="1"/>
  <c r="AK69" i="5" s="1"/>
  <c r="AL69" i="5" s="1"/>
  <c r="AM69" i="5" s="1"/>
  <c r="AE70" i="5"/>
  <c r="AF70" i="5" s="1"/>
  <c r="AG70" i="5" s="1"/>
  <c r="AH70" i="5" s="1"/>
  <c r="AI70" i="5" s="1"/>
  <c r="AJ70" i="5" s="1"/>
  <c r="AK70" i="5" s="1"/>
  <c r="AL70" i="5" s="1"/>
  <c r="AM70" i="5" s="1"/>
  <c r="AE71" i="5"/>
  <c r="AF71" i="5" s="1"/>
  <c r="AG71" i="5" s="1"/>
  <c r="AH71" i="5" s="1"/>
  <c r="AI71" i="5" s="1"/>
  <c r="AJ71" i="5" s="1"/>
  <c r="AK71" i="5" s="1"/>
  <c r="AL71" i="5" s="1"/>
  <c r="AM71" i="5" s="1"/>
  <c r="AE12" i="5"/>
  <c r="AF12" i="5" s="1"/>
  <c r="AG12" i="5" s="1"/>
  <c r="AH12" i="5" s="1"/>
  <c r="AI12" i="5" s="1"/>
  <c r="AJ12" i="5" s="1"/>
  <c r="AK12" i="5" s="1"/>
  <c r="AL12" i="5" s="1"/>
  <c r="AM12" i="5" s="1"/>
  <c r="Z13" i="5"/>
  <c r="AA13" i="5" s="1"/>
  <c r="AB13" i="5" s="1"/>
  <c r="AC13" i="5" s="1"/>
  <c r="Z14" i="5"/>
  <c r="AA14" i="5" s="1"/>
  <c r="AB14" i="5" s="1"/>
  <c r="AC14" i="5" s="1"/>
  <c r="Z15" i="5"/>
  <c r="Z16" i="5"/>
  <c r="AA16" i="5" s="1"/>
  <c r="AB16" i="5" s="1"/>
  <c r="AC16" i="5" s="1"/>
  <c r="Z17" i="5"/>
  <c r="AA17" i="5" s="1"/>
  <c r="AB17" i="5" s="1"/>
  <c r="AC17" i="5" s="1"/>
  <c r="Z18" i="5"/>
  <c r="AA18" i="5" s="1"/>
  <c r="AB18" i="5" s="1"/>
  <c r="AC18" i="5" s="1"/>
  <c r="Z19" i="5"/>
  <c r="AA19" i="5" s="1"/>
  <c r="AB19" i="5" s="1"/>
  <c r="AC19" i="5" s="1"/>
  <c r="Z20" i="5"/>
  <c r="AA20" i="5" s="1"/>
  <c r="AB20" i="5" s="1"/>
  <c r="AC20" i="5" s="1"/>
  <c r="Z21" i="5"/>
  <c r="AA21" i="5" s="1"/>
  <c r="AB21" i="5" s="1"/>
  <c r="AC21" i="5" s="1"/>
  <c r="Z22" i="5"/>
  <c r="AA22" i="5" s="1"/>
  <c r="AB22" i="5" s="1"/>
  <c r="AC22" i="5" s="1"/>
  <c r="Z23" i="5"/>
  <c r="AA23" i="5" s="1"/>
  <c r="AB23" i="5" s="1"/>
  <c r="AC23" i="5" s="1"/>
  <c r="Z24" i="5"/>
  <c r="Z25" i="5"/>
  <c r="Z26" i="5"/>
  <c r="Z27" i="5"/>
  <c r="AA27" i="5" s="1"/>
  <c r="AB27" i="5" s="1"/>
  <c r="AC27" i="5" s="1"/>
  <c r="Z28" i="5"/>
  <c r="AA28" i="5" s="1"/>
  <c r="AB28" i="5" s="1"/>
  <c r="AC28" i="5" s="1"/>
  <c r="Z29" i="5"/>
  <c r="AA29" i="5" s="1"/>
  <c r="AB29" i="5" s="1"/>
  <c r="AC29" i="5" s="1"/>
  <c r="Z30" i="5"/>
  <c r="AA30" i="5" s="1"/>
  <c r="AB30" i="5" s="1"/>
  <c r="AC30" i="5" s="1"/>
  <c r="Z31" i="5"/>
  <c r="AA31" i="5" s="1"/>
  <c r="AB31" i="5" s="1"/>
  <c r="AC31" i="5" s="1"/>
  <c r="Z32" i="5"/>
  <c r="AA32" i="5" s="1"/>
  <c r="AB32" i="5" s="1"/>
  <c r="AC32" i="5" s="1"/>
  <c r="Z33" i="5"/>
  <c r="AA33" i="5" s="1"/>
  <c r="AB33" i="5" s="1"/>
  <c r="AC33" i="5" s="1"/>
  <c r="Z34" i="5"/>
  <c r="AA34" i="5" s="1"/>
  <c r="AB34" i="5" s="1"/>
  <c r="AC34" i="5" s="1"/>
  <c r="Z35" i="5"/>
  <c r="Z36" i="5"/>
  <c r="AA36" i="5" s="1"/>
  <c r="AB36" i="5" s="1"/>
  <c r="AC36" i="5" s="1"/>
  <c r="Z37" i="5"/>
  <c r="Z38" i="5"/>
  <c r="AA38" i="5" s="1"/>
  <c r="AB38" i="5" s="1"/>
  <c r="AC38" i="5" s="1"/>
  <c r="Z39" i="5"/>
  <c r="AA39" i="5" s="1"/>
  <c r="AB39" i="5" s="1"/>
  <c r="AC39" i="5" s="1"/>
  <c r="Z40" i="5"/>
  <c r="AA40" i="5" s="1"/>
  <c r="AB40" i="5" s="1"/>
  <c r="AC40" i="5" s="1"/>
  <c r="Z41" i="5"/>
  <c r="AA41" i="5" s="1"/>
  <c r="AB41" i="5" s="1"/>
  <c r="AC41" i="5" s="1"/>
  <c r="Z42" i="5"/>
  <c r="AA42" i="5" s="1"/>
  <c r="AB42" i="5" s="1"/>
  <c r="AC42" i="5" s="1"/>
  <c r="Z43" i="5"/>
  <c r="AA43" i="5" s="1"/>
  <c r="AB43" i="5" s="1"/>
  <c r="AC43" i="5" s="1"/>
  <c r="Z44" i="5"/>
  <c r="AA44" i="5" s="1"/>
  <c r="AB44" i="5" s="1"/>
  <c r="AC44" i="5" s="1"/>
  <c r="Z45" i="5"/>
  <c r="AA45" i="5" s="1"/>
  <c r="AB45" i="5" s="1"/>
  <c r="AC45" i="5" s="1"/>
  <c r="Z46" i="5"/>
  <c r="AA46" i="5" s="1"/>
  <c r="AB46" i="5" s="1"/>
  <c r="AC46" i="5" s="1"/>
  <c r="Z47" i="5"/>
  <c r="AA47" i="5" s="1"/>
  <c r="AB47" i="5" s="1"/>
  <c r="AC47" i="5" s="1"/>
  <c r="Z48" i="5"/>
  <c r="AA48" i="5" s="1"/>
  <c r="AB48" i="5" s="1"/>
  <c r="AC48" i="5" s="1"/>
  <c r="Z49" i="5"/>
  <c r="AA49" i="5" s="1"/>
  <c r="AB49" i="5" s="1"/>
  <c r="AC49" i="5" s="1"/>
  <c r="Z50" i="5"/>
  <c r="AA50" i="5" s="1"/>
  <c r="AB50" i="5" s="1"/>
  <c r="AC50" i="5" s="1"/>
  <c r="Z51" i="5"/>
  <c r="AA51" i="5" s="1"/>
  <c r="AB51" i="5" s="1"/>
  <c r="AC51" i="5" s="1"/>
  <c r="Z52" i="5"/>
  <c r="Z53" i="5"/>
  <c r="AA53" i="5" s="1"/>
  <c r="AB53" i="5" s="1"/>
  <c r="AC53" i="5" s="1"/>
  <c r="Z54" i="5"/>
  <c r="AA54" i="5" s="1"/>
  <c r="AB54" i="5" s="1"/>
  <c r="AC54" i="5" s="1"/>
  <c r="Z55" i="5"/>
  <c r="AA55" i="5" s="1"/>
  <c r="AB55" i="5" s="1"/>
  <c r="AC55" i="5" s="1"/>
  <c r="Z56" i="5"/>
  <c r="AA56" i="5" s="1"/>
  <c r="AB56" i="5" s="1"/>
  <c r="AC56" i="5" s="1"/>
  <c r="Z57" i="5"/>
  <c r="AA57" i="5" s="1"/>
  <c r="AB57" i="5" s="1"/>
  <c r="AC57" i="5" s="1"/>
  <c r="Z58" i="5"/>
  <c r="AA58" i="5" s="1"/>
  <c r="AB58" i="5" s="1"/>
  <c r="AC58" i="5" s="1"/>
  <c r="Z59" i="5"/>
  <c r="AA59" i="5" s="1"/>
  <c r="AB59" i="5" s="1"/>
  <c r="AC59" i="5" s="1"/>
  <c r="Z60" i="5"/>
  <c r="AA60" i="5" s="1"/>
  <c r="AB60" i="5" s="1"/>
  <c r="Z61" i="5"/>
  <c r="Z62" i="5"/>
  <c r="Z63" i="5"/>
  <c r="AA63" i="5" s="1"/>
  <c r="AB63" i="5" s="1"/>
  <c r="AC63" i="5" s="1"/>
  <c r="Z64" i="5"/>
  <c r="AA64" i="5" s="1"/>
  <c r="AB64" i="5" s="1"/>
  <c r="AC64" i="5" s="1"/>
  <c r="Z65" i="5"/>
  <c r="AA65" i="5" s="1"/>
  <c r="AB65" i="5" s="1"/>
  <c r="AC65" i="5" s="1"/>
  <c r="Z66" i="5"/>
  <c r="AA66" i="5" s="1"/>
  <c r="AB66" i="5" s="1"/>
  <c r="AC66" i="5" s="1"/>
  <c r="Z67" i="5"/>
  <c r="AA67" i="5" s="1"/>
  <c r="AB67" i="5" s="1"/>
  <c r="AC67" i="5" s="1"/>
  <c r="Z68" i="5"/>
  <c r="AA68" i="5" s="1"/>
  <c r="AB68" i="5" s="1"/>
  <c r="AC68" i="5" s="1"/>
  <c r="Z69" i="5"/>
  <c r="AA69" i="5" s="1"/>
  <c r="AB69" i="5" s="1"/>
  <c r="AC69" i="5" s="1"/>
  <c r="Z70" i="5"/>
  <c r="AA70" i="5" s="1"/>
  <c r="AB70" i="5" s="1"/>
  <c r="AC70" i="5" s="1"/>
  <c r="Z71" i="5"/>
  <c r="AA71" i="5" s="1"/>
  <c r="AB71" i="5" s="1"/>
  <c r="AC71" i="5" s="1"/>
  <c r="Z12" i="5"/>
  <c r="AA12" i="5" s="1"/>
  <c r="AB12" i="5" s="1"/>
  <c r="AC12" i="5" s="1"/>
  <c r="U13" i="5"/>
  <c r="V13" i="5" s="1"/>
  <c r="W13" i="5" s="1"/>
  <c r="X13" i="5" s="1"/>
  <c r="U14" i="5"/>
  <c r="V14" i="5" s="1"/>
  <c r="W14" i="5" s="1"/>
  <c r="X14" i="5" s="1"/>
  <c r="U15" i="5"/>
  <c r="U16" i="5"/>
  <c r="V16" i="5" s="1"/>
  <c r="W16" i="5" s="1"/>
  <c r="X16" i="5" s="1"/>
  <c r="U17" i="5"/>
  <c r="V17" i="5" s="1"/>
  <c r="W17" i="5" s="1"/>
  <c r="X17" i="5" s="1"/>
  <c r="U18" i="5"/>
  <c r="V18" i="5" s="1"/>
  <c r="W18" i="5" s="1"/>
  <c r="X18" i="5" s="1"/>
  <c r="U19" i="5"/>
  <c r="V19" i="5" s="1"/>
  <c r="W19" i="5" s="1"/>
  <c r="X19" i="5" s="1"/>
  <c r="U20" i="5"/>
  <c r="V20" i="5" s="1"/>
  <c r="W20" i="5" s="1"/>
  <c r="X20" i="5" s="1"/>
  <c r="U21" i="5"/>
  <c r="V21" i="5" s="1"/>
  <c r="W21" i="5" s="1"/>
  <c r="X21" i="5" s="1"/>
  <c r="U22" i="5"/>
  <c r="V22" i="5" s="1"/>
  <c r="W22" i="5" s="1"/>
  <c r="X22" i="5" s="1"/>
  <c r="U23" i="5"/>
  <c r="V23" i="5" s="1"/>
  <c r="W23" i="5" s="1"/>
  <c r="X23" i="5" s="1"/>
  <c r="U24" i="5"/>
  <c r="U25" i="5"/>
  <c r="V25" i="5" s="1"/>
  <c r="W25" i="5" s="1"/>
  <c r="X25" i="5" s="1"/>
  <c r="U26" i="5"/>
  <c r="U27" i="5"/>
  <c r="V27" i="5" s="1"/>
  <c r="W27" i="5" s="1"/>
  <c r="X27" i="5" s="1"/>
  <c r="U28" i="5"/>
  <c r="V28" i="5" s="1"/>
  <c r="W28" i="5" s="1"/>
  <c r="X28" i="5" s="1"/>
  <c r="U29" i="5"/>
  <c r="V29" i="5" s="1"/>
  <c r="W29" i="5" s="1"/>
  <c r="X29" i="5" s="1"/>
  <c r="U30" i="5"/>
  <c r="V30" i="5" s="1"/>
  <c r="W30" i="5" s="1"/>
  <c r="X30" i="5" s="1"/>
  <c r="U31" i="5"/>
  <c r="V31" i="5" s="1"/>
  <c r="W31" i="5" s="1"/>
  <c r="X31" i="5" s="1"/>
  <c r="U32" i="5"/>
  <c r="V32" i="5" s="1"/>
  <c r="W32" i="5" s="1"/>
  <c r="X32" i="5" s="1"/>
  <c r="U33" i="5"/>
  <c r="V33" i="5" s="1"/>
  <c r="W33" i="5" s="1"/>
  <c r="X33" i="5" s="1"/>
  <c r="U34" i="5"/>
  <c r="V34" i="5" s="1"/>
  <c r="W34" i="5" s="1"/>
  <c r="X34" i="5" s="1"/>
  <c r="U35" i="5"/>
  <c r="U36" i="5"/>
  <c r="V36" i="5" s="1"/>
  <c r="W36" i="5" s="1"/>
  <c r="X36" i="5" s="1"/>
  <c r="U37" i="5"/>
  <c r="U38" i="5"/>
  <c r="V38" i="5" s="1"/>
  <c r="W38" i="5" s="1"/>
  <c r="X38" i="5" s="1"/>
  <c r="U39" i="5"/>
  <c r="V39" i="5" s="1"/>
  <c r="W39" i="5" s="1"/>
  <c r="X39" i="5" s="1"/>
  <c r="U40" i="5"/>
  <c r="V40" i="5" s="1"/>
  <c r="W40" i="5" s="1"/>
  <c r="X40" i="5" s="1"/>
  <c r="U41" i="5"/>
  <c r="V41" i="5" s="1"/>
  <c r="W41" i="5" s="1"/>
  <c r="X41" i="5" s="1"/>
  <c r="U42" i="5"/>
  <c r="V42" i="5" s="1"/>
  <c r="W42" i="5" s="1"/>
  <c r="X42" i="5" s="1"/>
  <c r="U43" i="5"/>
  <c r="V43" i="5" s="1"/>
  <c r="W43" i="5" s="1"/>
  <c r="X43" i="5" s="1"/>
  <c r="U44" i="5"/>
  <c r="V44" i="5" s="1"/>
  <c r="W44" i="5" s="1"/>
  <c r="X44" i="5" s="1"/>
  <c r="U45" i="5"/>
  <c r="V45" i="5" s="1"/>
  <c r="W45" i="5" s="1"/>
  <c r="X45" i="5" s="1"/>
  <c r="U46" i="5"/>
  <c r="V46" i="5" s="1"/>
  <c r="W46" i="5" s="1"/>
  <c r="X46" i="5" s="1"/>
  <c r="U47" i="5"/>
  <c r="V47" i="5" s="1"/>
  <c r="W47" i="5" s="1"/>
  <c r="X47" i="5" s="1"/>
  <c r="U48" i="5"/>
  <c r="V48" i="5" s="1"/>
  <c r="W48" i="5" s="1"/>
  <c r="X48" i="5" s="1"/>
  <c r="U49" i="5"/>
  <c r="V49" i="5" s="1"/>
  <c r="W49" i="5" s="1"/>
  <c r="X49" i="5" s="1"/>
  <c r="U50" i="5"/>
  <c r="V50" i="5" s="1"/>
  <c r="W50" i="5" s="1"/>
  <c r="X50" i="5" s="1"/>
  <c r="U51" i="5"/>
  <c r="V51" i="5" s="1"/>
  <c r="W51" i="5" s="1"/>
  <c r="X51" i="5" s="1"/>
  <c r="U52" i="5"/>
  <c r="U53" i="5"/>
  <c r="V53" i="5" s="1"/>
  <c r="W53" i="5" s="1"/>
  <c r="X53" i="5" s="1"/>
  <c r="U54" i="5"/>
  <c r="V54" i="5" s="1"/>
  <c r="W54" i="5" s="1"/>
  <c r="X54" i="5" s="1"/>
  <c r="U55" i="5"/>
  <c r="V55" i="5" s="1"/>
  <c r="W55" i="5" s="1"/>
  <c r="X55" i="5" s="1"/>
  <c r="U56" i="5"/>
  <c r="V56" i="5" s="1"/>
  <c r="W56" i="5" s="1"/>
  <c r="X56" i="5" s="1"/>
  <c r="U57" i="5"/>
  <c r="V57" i="5" s="1"/>
  <c r="W57" i="5" s="1"/>
  <c r="X57" i="5" s="1"/>
  <c r="U58" i="5"/>
  <c r="V58" i="5" s="1"/>
  <c r="W58" i="5" s="1"/>
  <c r="X58" i="5" s="1"/>
  <c r="U59" i="5"/>
  <c r="V59" i="5" s="1"/>
  <c r="W59" i="5" s="1"/>
  <c r="X59" i="5" s="1"/>
  <c r="U60" i="5"/>
  <c r="V60" i="5" s="1"/>
  <c r="U61" i="5"/>
  <c r="U62" i="5"/>
  <c r="U63" i="5"/>
  <c r="V63" i="5" s="1"/>
  <c r="W63" i="5" s="1"/>
  <c r="X63" i="5" s="1"/>
  <c r="U64" i="5"/>
  <c r="V64" i="5" s="1"/>
  <c r="W64" i="5" s="1"/>
  <c r="X64" i="5" s="1"/>
  <c r="U65" i="5"/>
  <c r="V65" i="5" s="1"/>
  <c r="W65" i="5" s="1"/>
  <c r="X65" i="5" s="1"/>
  <c r="U66" i="5"/>
  <c r="V66" i="5" s="1"/>
  <c r="W66" i="5" s="1"/>
  <c r="X66" i="5" s="1"/>
  <c r="U67" i="5"/>
  <c r="V67" i="5" s="1"/>
  <c r="W67" i="5" s="1"/>
  <c r="X67" i="5" s="1"/>
  <c r="U68" i="5"/>
  <c r="V68" i="5" s="1"/>
  <c r="W68" i="5" s="1"/>
  <c r="X68" i="5" s="1"/>
  <c r="U69" i="5"/>
  <c r="V69" i="5" s="1"/>
  <c r="W69" i="5" s="1"/>
  <c r="X69" i="5" s="1"/>
  <c r="U70" i="5"/>
  <c r="V70" i="5" s="1"/>
  <c r="W70" i="5" s="1"/>
  <c r="X70" i="5" s="1"/>
  <c r="U71" i="5"/>
  <c r="V71" i="5" s="1"/>
  <c r="W71" i="5" s="1"/>
  <c r="X71" i="5" s="1"/>
  <c r="U12" i="5"/>
  <c r="V12" i="5" s="1"/>
  <c r="W12" i="5" s="1"/>
  <c r="X12" i="5" s="1"/>
  <c r="O13" i="5"/>
  <c r="P13" i="5" s="1"/>
  <c r="Q13" i="5" s="1"/>
  <c r="R13" i="5" s="1"/>
  <c r="S13" i="5" s="1"/>
  <c r="O14" i="5"/>
  <c r="P14" i="5" s="1"/>
  <c r="Q14" i="5" s="1"/>
  <c r="R14" i="5" s="1"/>
  <c r="S14" i="5" s="1"/>
  <c r="O15" i="5"/>
  <c r="O16" i="5"/>
  <c r="P16" i="5" s="1"/>
  <c r="Q16" i="5" s="1"/>
  <c r="R16" i="5" s="1"/>
  <c r="S16" i="5" s="1"/>
  <c r="O17" i="5"/>
  <c r="P17" i="5" s="1"/>
  <c r="Q17" i="5" s="1"/>
  <c r="R17" i="5" s="1"/>
  <c r="S17" i="5" s="1"/>
  <c r="O18" i="5"/>
  <c r="P18" i="5" s="1"/>
  <c r="Q18" i="5" s="1"/>
  <c r="R18" i="5" s="1"/>
  <c r="S18" i="5" s="1"/>
  <c r="O19" i="5"/>
  <c r="P19" i="5" s="1"/>
  <c r="Q19" i="5" s="1"/>
  <c r="R19" i="5" s="1"/>
  <c r="S19" i="5" s="1"/>
  <c r="O20" i="5"/>
  <c r="P20" i="5" s="1"/>
  <c r="Q20" i="5" s="1"/>
  <c r="R20" i="5" s="1"/>
  <c r="S20" i="5" s="1"/>
  <c r="O21" i="5"/>
  <c r="P21" i="5" s="1"/>
  <c r="Q21" i="5" s="1"/>
  <c r="R21" i="5" s="1"/>
  <c r="S21" i="5" s="1"/>
  <c r="O22" i="5"/>
  <c r="P22" i="5" s="1"/>
  <c r="Q22" i="5" s="1"/>
  <c r="R22" i="5" s="1"/>
  <c r="S22" i="5" s="1"/>
  <c r="O23" i="5"/>
  <c r="P23" i="5" s="1"/>
  <c r="Q23" i="5" s="1"/>
  <c r="R23" i="5" s="1"/>
  <c r="S23" i="5" s="1"/>
  <c r="O24" i="5"/>
  <c r="AY13" i="5" s="1" a="1"/>
  <c r="AY13" i="5" s="1"/>
  <c r="BG13" i="5" s="1"/>
  <c r="O25" i="5"/>
  <c r="P25" i="5" s="1"/>
  <c r="Q25" i="5" s="1"/>
  <c r="O26" i="5"/>
  <c r="O27" i="5"/>
  <c r="P27" i="5" s="1"/>
  <c r="Q27" i="5" s="1"/>
  <c r="R27" i="5" s="1"/>
  <c r="S27" i="5" s="1"/>
  <c r="O28" i="5"/>
  <c r="P28" i="5" s="1"/>
  <c r="Q28" i="5" s="1"/>
  <c r="R28" i="5" s="1"/>
  <c r="S28" i="5" s="1"/>
  <c r="O29" i="5"/>
  <c r="P29" i="5" s="1"/>
  <c r="Q29" i="5" s="1"/>
  <c r="R29" i="5" s="1"/>
  <c r="S29" i="5" s="1"/>
  <c r="O30" i="5"/>
  <c r="P30" i="5" s="1"/>
  <c r="Q30" i="5" s="1"/>
  <c r="R30" i="5" s="1"/>
  <c r="S30" i="5" s="1"/>
  <c r="O31" i="5"/>
  <c r="P31" i="5" s="1"/>
  <c r="Q31" i="5" s="1"/>
  <c r="R31" i="5" s="1"/>
  <c r="S31" i="5" s="1"/>
  <c r="O32" i="5"/>
  <c r="P32" i="5" s="1"/>
  <c r="Q32" i="5" s="1"/>
  <c r="R32" i="5" s="1"/>
  <c r="S32" i="5" s="1"/>
  <c r="O33" i="5"/>
  <c r="P33" i="5" s="1"/>
  <c r="Q33" i="5" s="1"/>
  <c r="R33" i="5" s="1"/>
  <c r="S33" i="5" s="1"/>
  <c r="O34" i="5"/>
  <c r="P34" i="5" s="1"/>
  <c r="Q34" i="5" s="1"/>
  <c r="R34" i="5" s="1"/>
  <c r="S34" i="5" s="1"/>
  <c r="O35" i="5"/>
  <c r="O36" i="5"/>
  <c r="P36" i="5" s="1"/>
  <c r="Q36" i="5" s="1"/>
  <c r="R36" i="5" s="1"/>
  <c r="S36" i="5" s="1"/>
  <c r="O37" i="5"/>
  <c r="O38" i="5"/>
  <c r="P38" i="5" s="1"/>
  <c r="Q38" i="5" s="1"/>
  <c r="R38" i="5" s="1"/>
  <c r="S38" i="5" s="1"/>
  <c r="O39" i="5"/>
  <c r="P39" i="5" s="1"/>
  <c r="Q39" i="5" s="1"/>
  <c r="R39" i="5" s="1"/>
  <c r="S39" i="5" s="1"/>
  <c r="O40" i="5"/>
  <c r="P40" i="5" s="1"/>
  <c r="Q40" i="5" s="1"/>
  <c r="R40" i="5" s="1"/>
  <c r="S40" i="5" s="1"/>
  <c r="O41" i="5"/>
  <c r="P41" i="5" s="1"/>
  <c r="Q41" i="5" s="1"/>
  <c r="R41" i="5" s="1"/>
  <c r="S41" i="5" s="1"/>
  <c r="O42" i="5"/>
  <c r="P42" i="5" s="1"/>
  <c r="Q42" i="5" s="1"/>
  <c r="R42" i="5" s="1"/>
  <c r="S42" i="5" s="1"/>
  <c r="O43" i="5"/>
  <c r="P43" i="5" s="1"/>
  <c r="Q43" i="5" s="1"/>
  <c r="R43" i="5" s="1"/>
  <c r="S43" i="5" s="1"/>
  <c r="O44" i="5"/>
  <c r="P44" i="5" s="1"/>
  <c r="Q44" i="5" s="1"/>
  <c r="R44" i="5" s="1"/>
  <c r="S44" i="5" s="1"/>
  <c r="O45" i="5"/>
  <c r="P45" i="5" s="1"/>
  <c r="Q45" i="5" s="1"/>
  <c r="R45" i="5" s="1"/>
  <c r="S45" i="5" s="1"/>
  <c r="O46" i="5"/>
  <c r="P46" i="5" s="1"/>
  <c r="Q46" i="5" s="1"/>
  <c r="R46" i="5" s="1"/>
  <c r="S46" i="5" s="1"/>
  <c r="O47" i="5"/>
  <c r="P47" i="5" s="1"/>
  <c r="Q47" i="5" s="1"/>
  <c r="R47" i="5" s="1"/>
  <c r="S47" i="5" s="1"/>
  <c r="O48" i="5"/>
  <c r="P48" i="5" s="1"/>
  <c r="Q48" i="5" s="1"/>
  <c r="R48" i="5" s="1"/>
  <c r="S48" i="5" s="1"/>
  <c r="O49" i="5"/>
  <c r="P49" i="5" s="1"/>
  <c r="Q49" i="5" s="1"/>
  <c r="R49" i="5" s="1"/>
  <c r="S49" i="5" s="1"/>
  <c r="O50" i="5"/>
  <c r="P50" i="5" s="1"/>
  <c r="Q50" i="5" s="1"/>
  <c r="R50" i="5" s="1"/>
  <c r="S50" i="5" s="1"/>
  <c r="O51" i="5"/>
  <c r="P51" i="5" s="1"/>
  <c r="Q51" i="5" s="1"/>
  <c r="R51" i="5" s="1"/>
  <c r="S51" i="5" s="1"/>
  <c r="O52" i="5"/>
  <c r="O53" i="5"/>
  <c r="P53" i="5" s="1"/>
  <c r="Q53" i="5" s="1"/>
  <c r="R53" i="5" s="1"/>
  <c r="S53" i="5" s="1"/>
  <c r="O54" i="5"/>
  <c r="P54" i="5" s="1"/>
  <c r="Q54" i="5" s="1"/>
  <c r="R54" i="5" s="1"/>
  <c r="S54" i="5" s="1"/>
  <c r="O55" i="5"/>
  <c r="P55" i="5" s="1"/>
  <c r="Q55" i="5" s="1"/>
  <c r="R55" i="5" s="1"/>
  <c r="S55" i="5" s="1"/>
  <c r="O56" i="5"/>
  <c r="P56" i="5" s="1"/>
  <c r="Q56" i="5" s="1"/>
  <c r="R56" i="5" s="1"/>
  <c r="S56" i="5" s="1"/>
  <c r="O57" i="5"/>
  <c r="P57" i="5" s="1"/>
  <c r="Q57" i="5" s="1"/>
  <c r="R57" i="5" s="1"/>
  <c r="S57" i="5" s="1"/>
  <c r="O58" i="5"/>
  <c r="P58" i="5" s="1"/>
  <c r="Q58" i="5" s="1"/>
  <c r="R58" i="5" s="1"/>
  <c r="S58" i="5" s="1"/>
  <c r="O59" i="5"/>
  <c r="P59" i="5" s="1"/>
  <c r="Q59" i="5" s="1"/>
  <c r="R59" i="5" s="1"/>
  <c r="S59" i="5" s="1"/>
  <c r="O60" i="5"/>
  <c r="O61" i="5"/>
  <c r="O62" i="5"/>
  <c r="O63" i="5"/>
  <c r="P63" i="5" s="1"/>
  <c r="Q63" i="5" s="1"/>
  <c r="R63" i="5" s="1"/>
  <c r="S63" i="5" s="1"/>
  <c r="O64" i="5"/>
  <c r="P64" i="5" s="1"/>
  <c r="Q64" i="5" s="1"/>
  <c r="R64" i="5" s="1"/>
  <c r="S64" i="5" s="1"/>
  <c r="O65" i="5"/>
  <c r="P65" i="5" s="1"/>
  <c r="Q65" i="5" s="1"/>
  <c r="R65" i="5" s="1"/>
  <c r="S65" i="5" s="1"/>
  <c r="O66" i="5"/>
  <c r="P66" i="5" s="1"/>
  <c r="Q66" i="5" s="1"/>
  <c r="R66" i="5" s="1"/>
  <c r="S66" i="5" s="1"/>
  <c r="O67" i="5"/>
  <c r="P67" i="5" s="1"/>
  <c r="Q67" i="5" s="1"/>
  <c r="R67" i="5" s="1"/>
  <c r="S67" i="5" s="1"/>
  <c r="O68" i="5"/>
  <c r="P68" i="5" s="1"/>
  <c r="Q68" i="5" s="1"/>
  <c r="R68" i="5" s="1"/>
  <c r="S68" i="5" s="1"/>
  <c r="O69" i="5"/>
  <c r="P69" i="5" s="1"/>
  <c r="Q69" i="5" s="1"/>
  <c r="R69" i="5" s="1"/>
  <c r="S69" i="5" s="1"/>
  <c r="O70" i="5"/>
  <c r="P70" i="5" s="1"/>
  <c r="Q70" i="5" s="1"/>
  <c r="R70" i="5" s="1"/>
  <c r="S70" i="5" s="1"/>
  <c r="O71" i="5"/>
  <c r="P71" i="5" s="1"/>
  <c r="Q71" i="5" s="1"/>
  <c r="R71" i="5" s="1"/>
  <c r="S71" i="5" s="1"/>
  <c r="O12" i="5"/>
  <c r="P12" i="5" s="1"/>
  <c r="Q12" i="5" s="1"/>
  <c r="R12" i="5" s="1"/>
  <c r="S12" i="5" s="1"/>
  <c r="O50" i="39" l="1"/>
  <c r="G52" i="39" a="1"/>
  <c r="G52" i="39" s="1"/>
  <c r="P51" i="39"/>
  <c r="AF51" i="39"/>
  <c r="AC51" i="39"/>
  <c r="N51" i="39" a="1"/>
  <c r="N51" i="39" s="1"/>
  <c r="E52" i="39" a="1"/>
  <c r="E52" i="39" s="1"/>
  <c r="AC57" i="39"/>
  <c r="AF57" i="39"/>
  <c r="T50" i="39"/>
  <c r="AF48" i="39"/>
  <c r="AC48" i="39"/>
  <c r="AE58" i="39"/>
  <c r="AE55" i="39"/>
  <c r="AE53" i="39"/>
  <c r="AE51" i="39"/>
  <c r="AE48" i="39"/>
  <c r="AE49" i="39"/>
  <c r="AE50" i="39"/>
  <c r="AE56" i="39"/>
  <c r="AE54" i="39"/>
  <c r="AE57" i="39"/>
  <c r="AE52" i="39"/>
  <c r="AC53" i="39"/>
  <c r="AF53" i="39"/>
  <c r="Q51" i="39" a="1"/>
  <c r="Q51" i="39" s="1"/>
  <c r="H52" i="39" a="1"/>
  <c r="H52" i="39" s="1"/>
  <c r="AF58" i="39"/>
  <c r="AC58" i="39"/>
  <c r="E104" i="39"/>
  <c r="AC50" i="39"/>
  <c r="AF50" i="39"/>
  <c r="O51" i="39"/>
  <c r="F52" i="39" a="1"/>
  <c r="F52" i="39" s="1"/>
  <c r="AF55" i="38"/>
  <c r="G51" i="38" a="1"/>
  <c r="G51" i="38" s="1"/>
  <c r="P51" i="38" s="1"/>
  <c r="T49" i="38"/>
  <c r="Y49" i="38" s="1"/>
  <c r="AE50" i="38"/>
  <c r="J51" i="38" a="1"/>
  <c r="J51" i="38" s="1"/>
  <c r="S50" i="38" a="1"/>
  <c r="S50" i="38" s="1"/>
  <c r="R50" i="38" a="1"/>
  <c r="R50" i="38" s="1"/>
  <c r="I51" i="38" a="1"/>
  <c r="I51" i="38" s="1"/>
  <c r="AF52" i="38"/>
  <c r="AC52" i="38"/>
  <c r="N50" i="38" a="1"/>
  <c r="N50" i="38" s="1"/>
  <c r="E51" i="38" a="1"/>
  <c r="E51" i="38" s="1"/>
  <c r="AF57" i="38"/>
  <c r="AC57" i="38"/>
  <c r="AC51" i="38"/>
  <c r="AF51" i="38"/>
  <c r="AC54" i="38"/>
  <c r="AF54" i="38"/>
  <c r="AF53" i="38"/>
  <c r="AC53" i="38"/>
  <c r="AJ48" i="38"/>
  <c r="Y48" i="38"/>
  <c r="O50" i="38"/>
  <c r="F51" i="38" a="1"/>
  <c r="F51" i="38" s="1"/>
  <c r="AC58" i="38"/>
  <c r="AF58" i="38"/>
  <c r="Q51" i="38" a="1"/>
  <c r="Q51" i="38" s="1"/>
  <c r="H52" i="38" a="1"/>
  <c r="H52" i="38" s="1"/>
  <c r="BC38" i="5"/>
  <c r="BH38" i="5" s="1"/>
  <c r="BC12" i="5"/>
  <c r="BH12" i="5" s="1"/>
  <c r="BQ19" i="5" a="1"/>
  <c r="BQ19" i="5" s="1"/>
  <c r="AY19" i="5" a="1"/>
  <c r="AY19" i="5" s="1"/>
  <c r="BG19" i="5" s="1"/>
  <c r="BQ24" i="5" a="1"/>
  <c r="BQ24" i="5" s="1"/>
  <c r="AY24" i="5" a="1"/>
  <c r="AY24" i="5" s="1"/>
  <c r="BG24" i="5" s="1"/>
  <c r="BC18" i="5"/>
  <c r="BH18" i="5" s="1"/>
  <c r="V35" i="5"/>
  <c r="AX19" i="5" a="1"/>
  <c r="AX19" i="5" s="1"/>
  <c r="BF19" i="5" s="1"/>
  <c r="AA35" i="5"/>
  <c r="AX24" i="5" a="1"/>
  <c r="AX24" i="5" s="1"/>
  <c r="BF24" i="5" s="1"/>
  <c r="AF35" i="5"/>
  <c r="AX29" i="5" a="1"/>
  <c r="AX29" i="5" s="1"/>
  <c r="BF29" i="5" s="1"/>
  <c r="BC28" i="5"/>
  <c r="BH28" i="5" s="1"/>
  <c r="BC23" i="5"/>
  <c r="BH23" i="5" s="1"/>
  <c r="P35" i="5"/>
  <c r="AX13" i="5" a="1"/>
  <c r="AX13" i="5" s="1"/>
  <c r="BF13" i="5" s="1"/>
  <c r="AT24" i="5" a="1"/>
  <c r="AT24" i="5" s="1"/>
  <c r="BB24" i="5" s="1"/>
  <c r="BN24" i="5" a="1"/>
  <c r="BN24" i="5" s="1"/>
  <c r="BV24" i="5" s="1"/>
  <c r="P26" i="5"/>
  <c r="BO13" i="5" a="1"/>
  <c r="BO13" i="5" s="1"/>
  <c r="BW13" i="5" s="1"/>
  <c r="V26" i="5"/>
  <c r="AU20" i="5" s="1" a="1"/>
  <c r="AU20" i="5" s="1"/>
  <c r="BO19" i="5" a="1"/>
  <c r="BO19" i="5" s="1"/>
  <c r="BW19" i="5" s="1"/>
  <c r="AT13" i="5" a="1"/>
  <c r="AT13" i="5" s="1"/>
  <c r="BB13" i="5" s="1"/>
  <c r="BN13" i="5" a="1"/>
  <c r="BN13" i="5" s="1"/>
  <c r="BV13" i="5" s="1"/>
  <c r="AT19" i="5" a="1"/>
  <c r="AT19" i="5" s="1"/>
  <c r="BB19" i="5" s="1"/>
  <c r="BN19" i="5" a="1"/>
  <c r="BN19" i="5" s="1"/>
  <c r="BV19" i="5" s="1"/>
  <c r="P24" i="5"/>
  <c r="BQ13" i="5" a="1"/>
  <c r="BQ13" i="5" s="1"/>
  <c r="AF24" i="5"/>
  <c r="BQ29" i="5" a="1"/>
  <c r="BQ29" i="5" s="1"/>
  <c r="P62" i="5"/>
  <c r="AS14" i="5" s="1" a="1"/>
  <c r="AS14" i="5" s="1"/>
  <c r="BA14" i="5" s="1"/>
  <c r="BM13" i="5" a="1"/>
  <c r="BM13" i="5" s="1"/>
  <c r="BU13" i="5" s="1"/>
  <c r="AF26" i="5"/>
  <c r="BO29" i="5" a="1"/>
  <c r="BO29" i="5" s="1"/>
  <c r="BW29" i="5" s="1"/>
  <c r="AA62" i="5"/>
  <c r="AB62" i="5" s="1"/>
  <c r="BM24" i="5" a="1"/>
  <c r="BM24" i="5" s="1"/>
  <c r="BU24" i="5" s="1"/>
  <c r="AT29" i="5" a="1"/>
  <c r="AT29" i="5" s="1"/>
  <c r="BB29" i="5" s="1"/>
  <c r="BN29" i="5" a="1"/>
  <c r="BN29" i="5" s="1"/>
  <c r="BV29" i="5" s="1"/>
  <c r="BM19" i="5" a="1"/>
  <c r="BM19" i="5" s="1"/>
  <c r="BU19" i="5" s="1"/>
  <c r="AA37" i="5"/>
  <c r="AB37" i="5" s="1"/>
  <c r="BL24" i="5" a="1"/>
  <c r="BL24" i="5" s="1"/>
  <c r="BT24" i="5" s="1"/>
  <c r="AR29" i="5" a="1"/>
  <c r="AR29" i="5" s="1"/>
  <c r="AZ29" i="5" s="1"/>
  <c r="BL29" i="5" a="1"/>
  <c r="BL29" i="5" s="1"/>
  <c r="BT29" i="5" s="1"/>
  <c r="AA26" i="5"/>
  <c r="AU25" i="5" s="1" a="1"/>
  <c r="AU25" i="5" s="1"/>
  <c r="BO24" i="5" a="1"/>
  <c r="BO24" i="5" s="1"/>
  <c r="BW24" i="5" s="1"/>
  <c r="AF62" i="5"/>
  <c r="BM29" i="5" a="1"/>
  <c r="BM29" i="5" s="1"/>
  <c r="BU29" i="5" s="1"/>
  <c r="AV13" i="5" a="1"/>
  <c r="AV13" i="5" s="1"/>
  <c r="BD13" i="5" s="1"/>
  <c r="BP13" i="5" a="1"/>
  <c r="BP13" i="5" s="1"/>
  <c r="BX13" i="5" s="1"/>
  <c r="AV19" i="5" a="1"/>
  <c r="AV19" i="5" s="1"/>
  <c r="BD19" i="5" s="1"/>
  <c r="BP19" i="5" a="1"/>
  <c r="BP19" i="5" s="1"/>
  <c r="BX19" i="5" s="1"/>
  <c r="AV29" i="5" a="1"/>
  <c r="AV29" i="5" s="1"/>
  <c r="BD29" i="5" s="1"/>
  <c r="BP29" i="5" a="1"/>
  <c r="BP29" i="5" s="1"/>
  <c r="BX29" i="5" s="1"/>
  <c r="AR19" i="5" a="1"/>
  <c r="AR19" i="5" s="1"/>
  <c r="AZ19" i="5" s="1"/>
  <c r="BL19" i="5" a="1"/>
  <c r="BL19" i="5" s="1"/>
  <c r="BT19" i="5" s="1"/>
  <c r="AV24" i="5" a="1"/>
  <c r="AV24" i="5" s="1"/>
  <c r="BD24" i="5" s="1"/>
  <c r="BP24" i="5" a="1"/>
  <c r="BP24" i="5" s="1"/>
  <c r="BX24" i="5" s="1"/>
  <c r="P37" i="5"/>
  <c r="Q37" i="5" s="1"/>
  <c r="BL13" i="5" a="1"/>
  <c r="BL13" i="5" s="1"/>
  <c r="BT13" i="5" s="1"/>
  <c r="P15" i="5"/>
  <c r="V15" i="5"/>
  <c r="AW20" i="5" s="1" a="1"/>
  <c r="AW20" i="5" s="1"/>
  <c r="BE20" i="5" s="1"/>
  <c r="AA15" i="5"/>
  <c r="AF15" i="5"/>
  <c r="W77" i="4"/>
  <c r="AB77" i="4" s="1"/>
  <c r="AF61" i="5"/>
  <c r="V61" i="5"/>
  <c r="AF37" i="5"/>
  <c r="AR24" i="5" a="1"/>
  <c r="AR24" i="5" s="1"/>
  <c r="AZ24" i="5" s="1"/>
  <c r="AA61" i="5"/>
  <c r="AU29" i="5" a="1"/>
  <c r="AU29" i="5" s="1"/>
  <c r="AR13" i="5" a="1"/>
  <c r="AR13" i="5" s="1"/>
  <c r="AZ13" i="5" s="1"/>
  <c r="AW19" i="5" a="1"/>
  <c r="AW19" i="5" s="1"/>
  <c r="BE19" i="5" s="1"/>
  <c r="AS19" i="5" a="1"/>
  <c r="AS19" i="5" s="1"/>
  <c r="BA19" i="5" s="1"/>
  <c r="AU24" i="5" a="1"/>
  <c r="AU24" i="5" s="1"/>
  <c r="AW29" i="5" a="1"/>
  <c r="AW29" i="5" s="1"/>
  <c r="BE29" i="5" s="1"/>
  <c r="AS24" i="5" a="1"/>
  <c r="AS24" i="5" s="1"/>
  <c r="BA24" i="5" s="1"/>
  <c r="AF52" i="5"/>
  <c r="AU13" i="5" a="1"/>
  <c r="AU13" i="5" s="1"/>
  <c r="AF60" i="5"/>
  <c r="V52" i="5"/>
  <c r="P52" i="5"/>
  <c r="V62" i="5"/>
  <c r="R25" i="5"/>
  <c r="AW25" i="5" a="1"/>
  <c r="AW25" i="5" s="1"/>
  <c r="BE25" i="5" s="1"/>
  <c r="AG62" i="5"/>
  <c r="P60" i="5"/>
  <c r="V24" i="5"/>
  <c r="AY20" i="5" s="1" a="1"/>
  <c r="AY20" i="5" s="1"/>
  <c r="BG20" i="5" s="1"/>
  <c r="AA52" i="5"/>
  <c r="AA25" i="5"/>
  <c r="AU19" i="5" a="1"/>
  <c r="AU19" i="5" s="1"/>
  <c r="AW24" i="5" a="1"/>
  <c r="AW24" i="5" s="1"/>
  <c r="BE24" i="5" s="1"/>
  <c r="V37" i="5"/>
  <c r="AW13" i="5" a="1"/>
  <c r="AW13" i="5" s="1"/>
  <c r="BE13" i="5" s="1"/>
  <c r="AS13" i="5" a="1"/>
  <c r="AS13" i="5" s="1"/>
  <c r="BA13" i="5" s="1"/>
  <c r="AA24" i="5"/>
  <c r="Q24" i="5"/>
  <c r="W60" i="5"/>
  <c r="AS29" i="5" a="1"/>
  <c r="AS29" i="5" s="1"/>
  <c r="BA29" i="5" s="1"/>
  <c r="P61" i="5"/>
  <c r="AC60" i="5"/>
  <c r="P52" i="39" l="1"/>
  <c r="G53" i="39" a="1"/>
  <c r="G53" i="39" s="1"/>
  <c r="N52" i="39" a="1"/>
  <c r="N52" i="39" s="1"/>
  <c r="E53" i="39" a="1"/>
  <c r="E53" i="39" s="1"/>
  <c r="T51" i="39"/>
  <c r="Y51" i="39" s="1"/>
  <c r="O52" i="39"/>
  <c r="F53" i="39" a="1"/>
  <c r="F53" i="39" s="1"/>
  <c r="Q52" i="39" a="1"/>
  <c r="Q52" i="39" s="1"/>
  <c r="H53" i="39" a="1"/>
  <c r="H53" i="39" s="1"/>
  <c r="Y50" i="39"/>
  <c r="G52" i="38" a="1"/>
  <c r="G52" i="38" s="1"/>
  <c r="G53" i="38" s="1" a="1"/>
  <c r="G53" i="38" s="1"/>
  <c r="AJ49" i="38"/>
  <c r="T50" i="38"/>
  <c r="Y50" i="38" s="1"/>
  <c r="J52" i="38" a="1"/>
  <c r="J52" i="38" s="1"/>
  <c r="S51" i="38" a="1"/>
  <c r="S51" i="38" s="1"/>
  <c r="I52" i="38" a="1"/>
  <c r="I52" i="38" s="1"/>
  <c r="R51" i="38" a="1"/>
  <c r="R51" i="38" s="1"/>
  <c r="AE52" i="38"/>
  <c r="AE53" i="38"/>
  <c r="AE58" i="38"/>
  <c r="AE54" i="38"/>
  <c r="AE56" i="38"/>
  <c r="AE57" i="38"/>
  <c r="AE51" i="38"/>
  <c r="AE55" i="38"/>
  <c r="Q52" i="38" a="1"/>
  <c r="Q52" i="38" s="1"/>
  <c r="H53" i="38" a="1"/>
  <c r="H53" i="38" s="1"/>
  <c r="O51" i="38"/>
  <c r="F52" i="38" a="1"/>
  <c r="F52" i="38" s="1"/>
  <c r="N51" i="38" a="1"/>
  <c r="N51" i="38" s="1"/>
  <c r="E52" i="38" a="1"/>
  <c r="E52" i="38" s="1"/>
  <c r="AR25" i="5" a="1"/>
  <c r="AR25" i="5" s="1"/>
  <c r="AZ25" i="5" s="1"/>
  <c r="AR14" i="5" a="1"/>
  <c r="AR14" i="5" s="1"/>
  <c r="AZ14" i="5" s="1"/>
  <c r="BY24" i="5"/>
  <c r="CB24" i="5" s="1"/>
  <c r="BZ24" i="5"/>
  <c r="CA24" i="5"/>
  <c r="BY29" i="5"/>
  <c r="CB29" i="5" s="1"/>
  <c r="BZ29" i="5"/>
  <c r="CA29" i="5"/>
  <c r="BY19" i="5"/>
  <c r="CB19" i="5" s="1"/>
  <c r="CA19" i="5"/>
  <c r="BZ19" i="5"/>
  <c r="BY13" i="5"/>
  <c r="CB13" i="5" s="1"/>
  <c r="BZ13" i="5"/>
  <c r="CA13" i="5"/>
  <c r="BC20" i="5"/>
  <c r="BC13" i="5"/>
  <c r="BH13" i="5" s="1"/>
  <c r="AB35" i="5"/>
  <c r="AX25" i="5" a="1"/>
  <c r="AX25" i="5" s="1"/>
  <c r="BF25" i="5" s="1"/>
  <c r="AW30" i="5" a="1"/>
  <c r="AW30" i="5" s="1"/>
  <c r="BE30" i="5" s="1"/>
  <c r="AY30" i="5" a="1"/>
  <c r="AY30" i="5" s="1"/>
  <c r="BG30" i="5" s="1"/>
  <c r="BQ15" i="5" a="1"/>
  <c r="BQ15" i="5" s="1"/>
  <c r="AY15" i="5" a="1"/>
  <c r="AY15" i="5" s="1"/>
  <c r="BG15" i="5" s="1"/>
  <c r="AG35" i="5"/>
  <c r="AX30" i="5" a="1"/>
  <c r="AX30" i="5" s="1"/>
  <c r="BF30" i="5" s="1"/>
  <c r="W35" i="5"/>
  <c r="AX20" i="5" a="1"/>
  <c r="AX20" i="5" s="1"/>
  <c r="BF20" i="5" s="1"/>
  <c r="BC29" i="5"/>
  <c r="BH29" i="5" s="1"/>
  <c r="BQ14" i="5" a="1"/>
  <c r="BQ14" i="5" s="1"/>
  <c r="AY14" i="5" a="1"/>
  <c r="AY14" i="5" s="1"/>
  <c r="BG14" i="5" s="1"/>
  <c r="BQ25" i="5" a="1"/>
  <c r="BQ25" i="5" s="1"/>
  <c r="AY25" i="5" a="1"/>
  <c r="AY25" i="5" s="1"/>
  <c r="BG25" i="5" s="1"/>
  <c r="BC24" i="5"/>
  <c r="BH24" i="5" s="1"/>
  <c r="Q35" i="5"/>
  <c r="AX14" i="5" a="1"/>
  <c r="AX14" i="5" s="1"/>
  <c r="BF14" i="5" s="1"/>
  <c r="BC25" i="5"/>
  <c r="BC19" i="5"/>
  <c r="BH19" i="5" s="1"/>
  <c r="BM26" i="5" a="1"/>
  <c r="BM26" i="5" s="1"/>
  <c r="BU26" i="5" s="1"/>
  <c r="BL15" i="5" a="1"/>
  <c r="BL15" i="5" s="1"/>
  <c r="BT15" i="5" s="1"/>
  <c r="W62" i="5"/>
  <c r="AS21" i="5" s="1" a="1"/>
  <c r="AS21" i="5" s="1"/>
  <c r="BA21" i="5" s="1"/>
  <c r="BM20" i="5" a="1"/>
  <c r="BM20" i="5" s="1"/>
  <c r="BU20" i="5" s="1"/>
  <c r="AG24" i="5"/>
  <c r="AY31" i="5" s="1" a="1"/>
  <c r="AY31" i="5" s="1"/>
  <c r="BG31" i="5" s="1"/>
  <c r="BQ30" i="5" a="1"/>
  <c r="BQ30" i="5" s="1"/>
  <c r="Q26" i="5"/>
  <c r="BO14" i="5" a="1"/>
  <c r="BO14" i="5" s="1"/>
  <c r="BW14" i="5" s="1"/>
  <c r="AV30" i="5" a="1"/>
  <c r="AV30" i="5" s="1"/>
  <c r="BD30" i="5" s="1"/>
  <c r="BP30" i="5" a="1"/>
  <c r="BP30" i="5" s="1"/>
  <c r="BX30" i="5" s="1"/>
  <c r="W52" i="5"/>
  <c r="BN20" i="5" a="1"/>
  <c r="BN20" i="5" s="1"/>
  <c r="BV20" i="5" s="1"/>
  <c r="Q15" i="5"/>
  <c r="BL20" i="5" a="1"/>
  <c r="BL20" i="5" s="1"/>
  <c r="BT20" i="5" s="1"/>
  <c r="AG61" i="5"/>
  <c r="AV25" i="5" a="1"/>
  <c r="AV25" i="5" s="1"/>
  <c r="BD25" i="5" s="1"/>
  <c r="BP25" i="5" a="1"/>
  <c r="BP25" i="5" s="1"/>
  <c r="BX25" i="5" s="1"/>
  <c r="BL25" i="5" a="1"/>
  <c r="BL25" i="5" s="1"/>
  <c r="BT25" i="5" s="1"/>
  <c r="BM30" i="5" a="1"/>
  <c r="BM30" i="5" s="1"/>
  <c r="BU30" i="5" s="1"/>
  <c r="BO30" i="5" a="1"/>
  <c r="BO30" i="5" s="1"/>
  <c r="BW30" i="5" s="1"/>
  <c r="AW14" i="5" a="1"/>
  <c r="AW14" i="5" s="1"/>
  <c r="BE14" i="5" s="1"/>
  <c r="BN30" i="5" a="1"/>
  <c r="BN30" i="5" s="1"/>
  <c r="BV30" i="5" s="1"/>
  <c r="AR30" i="5" a="1"/>
  <c r="AR30" i="5" s="1"/>
  <c r="AZ30" i="5" s="1"/>
  <c r="BL30" i="5" a="1"/>
  <c r="BL30" i="5" s="1"/>
  <c r="BT30" i="5" s="1"/>
  <c r="BL14" i="5" a="1"/>
  <c r="BL14" i="5" s="1"/>
  <c r="BT14" i="5" s="1"/>
  <c r="AV20" i="5" a="1"/>
  <c r="AV20" i="5" s="1"/>
  <c r="BD20" i="5" s="1"/>
  <c r="BP20" i="5" a="1"/>
  <c r="BP20" i="5" s="1"/>
  <c r="BX20" i="5" s="1"/>
  <c r="AB26" i="5"/>
  <c r="BO25" i="5" a="1"/>
  <c r="BO25" i="5" s="1"/>
  <c r="BW25" i="5" s="1"/>
  <c r="BN14" i="5" a="1"/>
  <c r="BN14" i="5" s="1"/>
  <c r="BV14" i="5" s="1"/>
  <c r="BN25" i="5" a="1"/>
  <c r="BN25" i="5" s="1"/>
  <c r="BV25" i="5" s="1"/>
  <c r="AG15" i="5"/>
  <c r="AS31" i="5" a="1"/>
  <c r="AS31" i="5" s="1"/>
  <c r="BA31" i="5" s="1"/>
  <c r="BM31" i="5" a="1"/>
  <c r="BM31" i="5" s="1"/>
  <c r="BU31" i="5" s="1"/>
  <c r="AG26" i="5"/>
  <c r="AH26" i="5" s="1"/>
  <c r="Q62" i="5"/>
  <c r="BM14" i="5" a="1"/>
  <c r="BM14" i="5" s="1"/>
  <c r="BU14" i="5" s="1"/>
  <c r="BP14" i="5" a="1"/>
  <c r="BP14" i="5" s="1"/>
  <c r="BX14" i="5" s="1"/>
  <c r="AS30" i="5" a="1"/>
  <c r="AS30" i="5" s="1"/>
  <c r="BA30" i="5" s="1"/>
  <c r="W24" i="5"/>
  <c r="AY21" i="5" s="1" a="1"/>
  <c r="AY21" i="5" s="1"/>
  <c r="BG21" i="5" s="1"/>
  <c r="BQ20" i="5" a="1"/>
  <c r="BQ20" i="5" s="1"/>
  <c r="AB15" i="5"/>
  <c r="W26" i="5"/>
  <c r="AU21" i="5" s="1" a="1"/>
  <c r="AU21" i="5" s="1"/>
  <c r="BO20" i="5" a="1"/>
  <c r="BO20" i="5" s="1"/>
  <c r="BW20" i="5" s="1"/>
  <c r="AC37" i="5"/>
  <c r="BL26" i="5" a="1"/>
  <c r="BL26" i="5" s="1"/>
  <c r="BT26" i="5" s="1"/>
  <c r="BM25" i="5" a="1"/>
  <c r="BM25" i="5" s="1"/>
  <c r="BU25" i="5" s="1"/>
  <c r="W15" i="5"/>
  <c r="W61" i="5"/>
  <c r="AG37" i="5"/>
  <c r="AB61" i="5"/>
  <c r="AR26" i="5" a="1"/>
  <c r="AR26" i="5" s="1"/>
  <c r="AZ26" i="5" s="1"/>
  <c r="AR31" i="5" a="1"/>
  <c r="AR31" i="5" s="1"/>
  <c r="AZ31" i="5" s="1"/>
  <c r="AT20" i="5" a="1"/>
  <c r="AT20" i="5" s="1"/>
  <c r="BB20" i="5" s="1"/>
  <c r="AU30" i="5" a="1"/>
  <c r="AU30" i="5" s="1"/>
  <c r="AG60" i="5"/>
  <c r="AH60" i="5" s="1"/>
  <c r="AI60" i="5" s="1"/>
  <c r="AJ60" i="5" s="1"/>
  <c r="AK60" i="5" s="1"/>
  <c r="AL60" i="5" s="1"/>
  <c r="AM60" i="5" s="1"/>
  <c r="AT14" i="5" a="1"/>
  <c r="AT14" i="5" s="1"/>
  <c r="BB14" i="5" s="1"/>
  <c r="Q52" i="5"/>
  <c r="AT30" i="5" a="1"/>
  <c r="AT30" i="5" s="1"/>
  <c r="BB30" i="5" s="1"/>
  <c r="AG52" i="5"/>
  <c r="AS20" i="5" a="1"/>
  <c r="AS20" i="5" s="1"/>
  <c r="BA20" i="5" s="1"/>
  <c r="S25" i="5"/>
  <c r="AR20" i="5" a="1"/>
  <c r="AR20" i="5" s="1"/>
  <c r="AZ20" i="5" s="1"/>
  <c r="W37" i="5"/>
  <c r="AT25" i="5" a="1"/>
  <c r="AT25" i="5" s="1"/>
  <c r="BB25" i="5" s="1"/>
  <c r="AB52" i="5"/>
  <c r="AU14" i="5" a="1"/>
  <c r="AU14" i="5" s="1"/>
  <c r="Q60" i="5"/>
  <c r="AH62" i="5"/>
  <c r="AW31" i="5" a="1"/>
  <c r="AW31" i="5" s="1"/>
  <c r="BE31" i="5" s="1"/>
  <c r="AC62" i="5"/>
  <c r="AW26" i="5" a="1"/>
  <c r="AW26" i="5" s="1"/>
  <c r="BE26" i="5" s="1"/>
  <c r="AB25" i="5"/>
  <c r="R37" i="5"/>
  <c r="AR15" i="5" a="1"/>
  <c r="AR15" i="5" s="1"/>
  <c r="AZ15" i="5" s="1"/>
  <c r="AS25" i="5" a="1"/>
  <c r="AS25" i="5" s="1"/>
  <c r="BA25" i="5" s="1"/>
  <c r="AB24" i="5"/>
  <c r="AV26" i="5" a="1"/>
  <c r="AV26" i="5" s="1"/>
  <c r="BD26" i="5" s="1"/>
  <c r="AS15" i="5" a="1"/>
  <c r="AS15" i="5" s="1"/>
  <c r="BA15" i="5" s="1"/>
  <c r="R24" i="5"/>
  <c r="Q61" i="5"/>
  <c r="AV14" i="5" a="1"/>
  <c r="AV14" i="5" s="1"/>
  <c r="BD14" i="5" s="1"/>
  <c r="X60" i="5"/>
  <c r="T52" i="39" l="1"/>
  <c r="Y52" i="39" s="1"/>
  <c r="G54" i="39" a="1"/>
  <c r="G54" i="39" s="1"/>
  <c r="P53" i="39"/>
  <c r="N53" i="39" a="1"/>
  <c r="N53" i="39" s="1"/>
  <c r="E54" i="39" a="1"/>
  <c r="E54" i="39" s="1"/>
  <c r="Q53" i="39" a="1"/>
  <c r="Q53" i="39" s="1"/>
  <c r="H54" i="39" a="1"/>
  <c r="H54" i="39" s="1"/>
  <c r="O53" i="39"/>
  <c r="F54" i="39" a="1"/>
  <c r="F54" i="39" s="1"/>
  <c r="P52" i="38"/>
  <c r="J53" i="38" a="1"/>
  <c r="J53" i="38" s="1"/>
  <c r="S52" i="38" a="1"/>
  <c r="S52" i="38" s="1"/>
  <c r="I53" i="38" a="1"/>
  <c r="I53" i="38" s="1"/>
  <c r="R52" i="38" a="1"/>
  <c r="R52" i="38" s="1"/>
  <c r="T51" i="38"/>
  <c r="Y51" i="38" s="1"/>
  <c r="P53" i="38"/>
  <c r="G54" i="38" a="1"/>
  <c r="G54" i="38" s="1"/>
  <c r="N52" i="38" a="1"/>
  <c r="N52" i="38" s="1"/>
  <c r="E53" i="38" a="1"/>
  <c r="E53" i="38" s="1"/>
  <c r="O52" i="38"/>
  <c r="F53" i="38" a="1"/>
  <c r="F53" i="38" s="1"/>
  <c r="Q53" i="38" a="1"/>
  <c r="Q53" i="38" s="1"/>
  <c r="H54" i="38" a="1"/>
  <c r="H54" i="38" s="1"/>
  <c r="U60" i="4"/>
  <c r="U65" i="4"/>
  <c r="BY25" i="5"/>
  <c r="CB25" i="5" s="1"/>
  <c r="BZ25" i="5"/>
  <c r="CA25" i="5"/>
  <c r="BY20" i="5"/>
  <c r="CB20" i="5" s="1"/>
  <c r="CA20" i="5"/>
  <c r="BZ20" i="5"/>
  <c r="BY14" i="5"/>
  <c r="CB14" i="5" s="1"/>
  <c r="BZ14" i="5"/>
  <c r="CA14" i="5"/>
  <c r="BY15" i="5"/>
  <c r="BZ15" i="5"/>
  <c r="CA15" i="5"/>
  <c r="BY30" i="5"/>
  <c r="CB30" i="5" s="1"/>
  <c r="BZ30" i="5"/>
  <c r="CA30" i="5"/>
  <c r="BH25" i="5"/>
  <c r="BH20" i="5"/>
  <c r="BC21" i="5"/>
  <c r="R35" i="5"/>
  <c r="AX15" i="5" a="1"/>
  <c r="AX15" i="5" s="1"/>
  <c r="BF15" i="5" s="1"/>
  <c r="AC35" i="5"/>
  <c r="AX27" i="5" s="1" a="1"/>
  <c r="AX27" i="5" s="1"/>
  <c r="BF27" i="5" s="1"/>
  <c r="AX26" i="5" a="1"/>
  <c r="AX26" i="5" s="1"/>
  <c r="BF26" i="5" s="1"/>
  <c r="BQ16" i="5" a="1"/>
  <c r="BQ16" i="5" s="1"/>
  <c r="AY16" i="5" a="1"/>
  <c r="AY16" i="5" s="1"/>
  <c r="BG16" i="5" s="1"/>
  <c r="X35" i="5"/>
  <c r="AX22" i="5" s="1" a="1"/>
  <c r="AX22" i="5" s="1"/>
  <c r="BF22" i="5" s="1"/>
  <c r="AX21" i="5" a="1"/>
  <c r="AX21" i="5" s="1"/>
  <c r="BF21" i="5" s="1"/>
  <c r="BC30" i="5"/>
  <c r="BH30" i="5" s="1"/>
  <c r="AH35" i="5"/>
  <c r="AX31" i="5" a="1"/>
  <c r="AX31" i="5" s="1"/>
  <c r="BF31" i="5" s="1"/>
  <c r="BQ26" i="5" a="1"/>
  <c r="BQ26" i="5" s="1"/>
  <c r="AY26" i="5" a="1"/>
  <c r="AY26" i="5" s="1"/>
  <c r="BG26" i="5" s="1"/>
  <c r="BC14" i="5"/>
  <c r="BH14" i="5" s="1"/>
  <c r="AS32" i="5" a="1"/>
  <c r="AS32" i="5" s="1"/>
  <c r="BA32" i="5" s="1"/>
  <c r="BM32" i="5" a="1"/>
  <c r="BM32" i="5" s="1"/>
  <c r="BU32" i="5" s="1"/>
  <c r="BP21" i="5" a="1"/>
  <c r="BP21" i="5" s="1"/>
  <c r="BX21" i="5" s="1"/>
  <c r="BP31" i="5" a="1"/>
  <c r="BP31" i="5" s="1"/>
  <c r="BX31" i="5" s="1"/>
  <c r="AR27" i="5" a="1"/>
  <c r="AR27" i="5" s="1"/>
  <c r="AZ27" i="5" s="1"/>
  <c r="BL27" i="5" a="1"/>
  <c r="BL27" i="5" s="1"/>
  <c r="BT27" i="5" s="1"/>
  <c r="AH15" i="5"/>
  <c r="X52" i="5"/>
  <c r="BN21" i="5" a="1"/>
  <c r="BN21" i="5" s="1"/>
  <c r="BV21" i="5" s="1"/>
  <c r="X26" i="5"/>
  <c r="BO21" i="5" a="1"/>
  <c r="BO21" i="5" s="1"/>
  <c r="BW21" i="5" s="1"/>
  <c r="BL21" i="5" a="1"/>
  <c r="BL21" i="5" s="1"/>
  <c r="BT21" i="5" s="1"/>
  <c r="AC61" i="5"/>
  <c r="BP26" i="5" a="1"/>
  <c r="BP26" i="5" s="1"/>
  <c r="BX26" i="5" s="1"/>
  <c r="BL16" i="5" a="1"/>
  <c r="BL16" i="5" s="1"/>
  <c r="BT16" i="5" s="1"/>
  <c r="BN31" i="5" a="1"/>
  <c r="BN31" i="5" s="1"/>
  <c r="BV31" i="5" s="1"/>
  <c r="AC15" i="5"/>
  <c r="AV31" i="5" a="1"/>
  <c r="AV31" i="5" s="1"/>
  <c r="BD31" i="5" s="1"/>
  <c r="X24" i="5"/>
  <c r="BQ21" i="5" a="1"/>
  <c r="BQ21" i="5" s="1"/>
  <c r="R26" i="5"/>
  <c r="BO15" i="5" a="1"/>
  <c r="BO15" i="5" s="1"/>
  <c r="BW15" i="5" s="1"/>
  <c r="BM27" i="5" a="1"/>
  <c r="BM27" i="5" s="1"/>
  <c r="BU27" i="5" s="1"/>
  <c r="BN15" i="5" a="1"/>
  <c r="BN15" i="5" s="1"/>
  <c r="BV15" i="5" s="1"/>
  <c r="AH61" i="5"/>
  <c r="AI61" i="5" s="1"/>
  <c r="AT21" i="5" a="1"/>
  <c r="AT21" i="5" s="1"/>
  <c r="BB21" i="5" s="1"/>
  <c r="AC26" i="5"/>
  <c r="BO26" i="5" a="1"/>
  <c r="BO26" i="5" s="1"/>
  <c r="BW26" i="5" s="1"/>
  <c r="AU26" i="5" a="1"/>
  <c r="AU26" i="5" s="1"/>
  <c r="AH37" i="5"/>
  <c r="BL31" i="5" a="1"/>
  <c r="BL31" i="5" s="1"/>
  <c r="BT31" i="5" s="1"/>
  <c r="AH24" i="5"/>
  <c r="AY32" i="5" s="1" a="1"/>
  <c r="AY32" i="5" s="1"/>
  <c r="BG32" i="5" s="1"/>
  <c r="BQ31" i="5" a="1"/>
  <c r="BQ31" i="5" s="1"/>
  <c r="AU31" i="5" a="1"/>
  <c r="AU31" i="5" s="1"/>
  <c r="BO31" i="5" a="1"/>
  <c r="BO31" i="5" s="1"/>
  <c r="BW31" i="5" s="1"/>
  <c r="AU32" i="5" a="1"/>
  <c r="AU32" i="5" s="1"/>
  <c r="BO32" i="5" a="1"/>
  <c r="BO32" i="5" s="1"/>
  <c r="BW32" i="5" s="1"/>
  <c r="R62" i="5"/>
  <c r="AS16" i="5" s="1" a="1"/>
  <c r="AS16" i="5" s="1"/>
  <c r="BA16" i="5" s="1"/>
  <c r="BM15" i="5" a="1"/>
  <c r="BM15" i="5" s="1"/>
  <c r="BU15" i="5" s="1"/>
  <c r="X15" i="5"/>
  <c r="AW21" i="5" a="1"/>
  <c r="AW21" i="5" s="1"/>
  <c r="BE21" i="5" s="1"/>
  <c r="X62" i="5"/>
  <c r="BM21" i="5" a="1"/>
  <c r="BM21" i="5" s="1"/>
  <c r="BU21" i="5" s="1"/>
  <c r="AV21" i="5" a="1"/>
  <c r="AV21" i="5" s="1"/>
  <c r="BD21" i="5" s="1"/>
  <c r="BP15" i="5" a="1"/>
  <c r="BP15" i="5" s="1"/>
  <c r="BX15" i="5" s="1"/>
  <c r="X61" i="5"/>
  <c r="BN26" i="5" a="1"/>
  <c r="BN26" i="5" s="1"/>
  <c r="BV26" i="5" s="1"/>
  <c r="R15" i="5"/>
  <c r="AW15" i="5" a="1"/>
  <c r="AW15" i="5" s="1"/>
  <c r="BE15" i="5" s="1"/>
  <c r="AH52" i="5"/>
  <c r="AT31" i="5" a="1"/>
  <c r="AT31" i="5" s="1"/>
  <c r="BB31" i="5" s="1"/>
  <c r="R52" i="5"/>
  <c r="AT15" i="5" a="1"/>
  <c r="AT15" i="5" s="1"/>
  <c r="BB15" i="5" s="1"/>
  <c r="AI62" i="5"/>
  <c r="AW32" i="5" a="1"/>
  <c r="AW32" i="5" s="1"/>
  <c r="BE32" i="5" s="1"/>
  <c r="AI26" i="5"/>
  <c r="AU15" i="5" a="1"/>
  <c r="AU15" i="5" s="1"/>
  <c r="R60" i="5"/>
  <c r="AC52" i="5"/>
  <c r="AT26" i="5" a="1"/>
  <c r="AT26" i="5" s="1"/>
  <c r="BB26" i="5" s="1"/>
  <c r="AR21" i="5" a="1"/>
  <c r="AR21" i="5" s="1"/>
  <c r="AZ21" i="5" s="1"/>
  <c r="X37" i="5"/>
  <c r="AC25" i="5"/>
  <c r="AC24" i="5"/>
  <c r="AS26" i="5" a="1"/>
  <c r="AS26" i="5" s="1"/>
  <c r="BA26" i="5" s="1"/>
  <c r="S37" i="5"/>
  <c r="AR16" i="5" a="1"/>
  <c r="AR16" i="5" s="1"/>
  <c r="AZ16" i="5" s="1"/>
  <c r="AV15" i="5" a="1"/>
  <c r="AV15" i="5" s="1"/>
  <c r="BD15" i="5" s="1"/>
  <c r="R61" i="5"/>
  <c r="S24" i="5"/>
  <c r="AY17" i="5" s="1" a="1"/>
  <c r="AY17" i="5" s="1"/>
  <c r="BG17" i="5" s="1"/>
  <c r="P54" i="39" l="1"/>
  <c r="G55" i="39" a="1"/>
  <c r="G55" i="39" s="1"/>
  <c r="Q54" i="39" a="1"/>
  <c r="Q54" i="39" s="1"/>
  <c r="H55" i="39" a="1"/>
  <c r="H55" i="39" s="1"/>
  <c r="N54" i="39" a="1"/>
  <c r="N54" i="39" s="1"/>
  <c r="E55" i="39" a="1"/>
  <c r="E55" i="39" s="1"/>
  <c r="T53" i="39"/>
  <c r="Y53" i="39" s="1"/>
  <c r="O54" i="39"/>
  <c r="F55" i="39" a="1"/>
  <c r="F55" i="39" s="1"/>
  <c r="AJ51" i="38"/>
  <c r="J54" i="38" a="1"/>
  <c r="J54" i="38" s="1"/>
  <c r="S53" i="38" a="1"/>
  <c r="S53" i="38" s="1"/>
  <c r="T52" i="38"/>
  <c r="Y52" i="38" s="1"/>
  <c r="I54" i="38" a="1"/>
  <c r="I54" i="38" s="1"/>
  <c r="R53" i="38" a="1"/>
  <c r="R53" i="38" s="1"/>
  <c r="O53" i="38"/>
  <c r="F54" i="38" a="1"/>
  <c r="F54" i="38" s="1"/>
  <c r="N53" i="38" a="1"/>
  <c r="N53" i="38" s="1"/>
  <c r="E54" i="38" a="1"/>
  <c r="E54" i="38" s="1"/>
  <c r="P54" i="38"/>
  <c r="G55" i="38" a="1"/>
  <c r="G55" i="38" s="1"/>
  <c r="H55" i="38" a="1"/>
  <c r="H55" i="38" s="1"/>
  <c r="Q54" i="38" a="1"/>
  <c r="Q54" i="38" s="1"/>
  <c r="U61" i="4"/>
  <c r="U66" i="4"/>
  <c r="BY26" i="5"/>
  <c r="CB26" i="5" s="1"/>
  <c r="BZ26" i="5"/>
  <c r="CA26" i="5"/>
  <c r="BY21" i="5"/>
  <c r="CB21" i="5" s="1"/>
  <c r="BZ21" i="5"/>
  <c r="CA21" i="5"/>
  <c r="BY31" i="5"/>
  <c r="CB31" i="5" s="1"/>
  <c r="BZ31" i="5"/>
  <c r="CA31" i="5"/>
  <c r="BY16" i="5"/>
  <c r="BZ16" i="5"/>
  <c r="CA16" i="5"/>
  <c r="BH21" i="5"/>
  <c r="CB15" i="5"/>
  <c r="BC32" i="5"/>
  <c r="BC31" i="5"/>
  <c r="BH31" i="5" s="1"/>
  <c r="AI35" i="5"/>
  <c r="AX32" i="5" a="1"/>
  <c r="AX32" i="5" s="1"/>
  <c r="BF32" i="5" s="1"/>
  <c r="BQ22" i="5" a="1"/>
  <c r="BQ22" i="5" s="1"/>
  <c r="AY22" i="5" a="1"/>
  <c r="AY22" i="5" s="1"/>
  <c r="BG22" i="5" s="1"/>
  <c r="AW27" i="5" a="1"/>
  <c r="AW27" i="5" s="1"/>
  <c r="BE27" i="5" s="1"/>
  <c r="AY27" i="5" a="1"/>
  <c r="AY27" i="5" s="1"/>
  <c r="BG27" i="5" s="1"/>
  <c r="BC26" i="5"/>
  <c r="BH26" i="5" s="1"/>
  <c r="S35" i="5"/>
  <c r="AX17" i="5" s="1" a="1"/>
  <c r="AX17" i="5" s="1"/>
  <c r="BF17" i="5" s="1"/>
  <c r="AX16" i="5" a="1"/>
  <c r="AX16" i="5" s="1"/>
  <c r="BF16" i="5" s="1"/>
  <c r="BC15" i="5"/>
  <c r="BH15" i="5" s="1"/>
  <c r="AV32" i="5" a="1"/>
  <c r="AV32" i="5" s="1"/>
  <c r="BD32" i="5" s="1"/>
  <c r="AW22" i="5" a="1"/>
  <c r="AW22" i="5" s="1"/>
  <c r="BE22" i="5" s="1"/>
  <c r="BM22" i="5" a="1"/>
  <c r="BM22" i="5" s="1"/>
  <c r="BU22" i="5" s="1"/>
  <c r="AS22" i="5" a="1"/>
  <c r="AS22" i="5" s="1"/>
  <c r="BA22" i="5" s="1"/>
  <c r="AT22" i="5" a="1"/>
  <c r="AT22" i="5" s="1"/>
  <c r="BB22" i="5" s="1"/>
  <c r="BN22" i="5" a="1"/>
  <c r="BN22" i="5" s="1"/>
  <c r="BV22" i="5" s="1"/>
  <c r="AS33" i="5" a="1"/>
  <c r="AS33" i="5" s="1"/>
  <c r="BA33" i="5" s="1"/>
  <c r="BM33" i="5" a="1"/>
  <c r="BM33" i="5" s="1"/>
  <c r="BU33" i="5" s="1"/>
  <c r="BP16" i="5" a="1"/>
  <c r="BP16" i="5" s="1"/>
  <c r="BX16" i="5" s="1"/>
  <c r="AI24" i="5"/>
  <c r="AY33" i="5" s="1" a="1"/>
  <c r="AY33" i="5" s="1"/>
  <c r="BG33" i="5" s="1"/>
  <c r="BQ32" i="5" a="1"/>
  <c r="BQ32" i="5" s="1"/>
  <c r="AI15" i="5"/>
  <c r="AT27" i="5" a="1"/>
  <c r="AT27" i="5" s="1"/>
  <c r="BB27" i="5" s="1"/>
  <c r="BN27" i="5" a="1"/>
  <c r="BN27" i="5" s="1"/>
  <c r="BV27" i="5" s="1"/>
  <c r="S26" i="5"/>
  <c r="BO16" i="5" a="1"/>
  <c r="BO16" i="5" s="1"/>
  <c r="BW16" i="5" s="1"/>
  <c r="AI37" i="5"/>
  <c r="BL32" i="5" a="1"/>
  <c r="BL32" i="5" s="1"/>
  <c r="BT32" i="5" s="1"/>
  <c r="AR32" i="5" a="1"/>
  <c r="AR32" i="5" s="1"/>
  <c r="AZ32" i="5" s="1"/>
  <c r="BO22" i="5" a="1"/>
  <c r="BO22" i="5" s="1"/>
  <c r="BW22" i="5" s="1"/>
  <c r="BN16" i="5" a="1"/>
  <c r="BN16" i="5" s="1"/>
  <c r="BV16" i="5" s="1"/>
  <c r="BQ17" i="5" a="1"/>
  <c r="BQ17" i="5" s="1"/>
  <c r="BN32" i="5" a="1"/>
  <c r="BN32" i="5" s="1"/>
  <c r="BV32" i="5" s="1"/>
  <c r="AR17" i="5" a="1"/>
  <c r="AR17" i="5" s="1"/>
  <c r="AZ17" i="5" s="1"/>
  <c r="BL17" i="5" a="1"/>
  <c r="BL17" i="5" s="1"/>
  <c r="BT17" i="5" s="1"/>
  <c r="AS27" i="5" a="1"/>
  <c r="AS27" i="5" s="1"/>
  <c r="BA27" i="5" s="1"/>
  <c r="BQ27" i="5" a="1"/>
  <c r="BQ27" i="5" s="1"/>
  <c r="S15" i="5"/>
  <c r="AW16" i="5" a="1"/>
  <c r="AW16" i="5" s="1"/>
  <c r="BE16" i="5" s="1"/>
  <c r="BO27" i="5" a="1"/>
  <c r="BO27" i="5" s="1"/>
  <c r="BW27" i="5" s="1"/>
  <c r="AU27" i="5" a="1"/>
  <c r="AU27" i="5" s="1"/>
  <c r="AU33" i="5" a="1"/>
  <c r="AU33" i="5" s="1"/>
  <c r="BO33" i="5" a="1"/>
  <c r="BO33" i="5" s="1"/>
  <c r="BW33" i="5" s="1"/>
  <c r="BP33" i="5" a="1"/>
  <c r="BP33" i="5" s="1"/>
  <c r="BX33" i="5" s="1"/>
  <c r="S62" i="5"/>
  <c r="AS17" i="5" s="1" a="1"/>
  <c r="AS17" i="5" s="1"/>
  <c r="BA17" i="5" s="1"/>
  <c r="BM16" i="5" a="1"/>
  <c r="BM16" i="5" s="1"/>
  <c r="BU16" i="5" s="1"/>
  <c r="BP32" i="5" a="1"/>
  <c r="BP32" i="5" s="1"/>
  <c r="BX32" i="5" s="1"/>
  <c r="AV22" i="5" a="1"/>
  <c r="AV22" i="5" s="1"/>
  <c r="BD22" i="5" s="1"/>
  <c r="BP22" i="5" a="1"/>
  <c r="BP22" i="5" s="1"/>
  <c r="BX22" i="5" s="1"/>
  <c r="AU22" i="5" a="1"/>
  <c r="AU22" i="5" s="1"/>
  <c r="AR22" i="5" a="1"/>
  <c r="AR22" i="5" s="1"/>
  <c r="AZ22" i="5" s="1"/>
  <c r="BL22" i="5" a="1"/>
  <c r="BL22" i="5" s="1"/>
  <c r="BT22" i="5" s="1"/>
  <c r="AV27" i="5" a="1"/>
  <c r="AV27" i="5" s="1"/>
  <c r="BD27" i="5" s="1"/>
  <c r="BP27" i="5" a="1"/>
  <c r="BP27" i="5" s="1"/>
  <c r="BX27" i="5" s="1"/>
  <c r="AT16" i="5" a="1"/>
  <c r="AT16" i="5" s="1"/>
  <c r="BB16" i="5" s="1"/>
  <c r="S52" i="5"/>
  <c r="AT32" i="5" a="1"/>
  <c r="AT32" i="5" s="1"/>
  <c r="BB32" i="5" s="1"/>
  <c r="AI52" i="5"/>
  <c r="AU16" i="5" a="1"/>
  <c r="AU16" i="5" s="1"/>
  <c r="S60" i="5"/>
  <c r="AU17" i="5" s="1" a="1"/>
  <c r="AU17" i="5" s="1"/>
  <c r="AJ26" i="5"/>
  <c r="AJ62" i="5"/>
  <c r="AW33" i="5" a="1"/>
  <c r="AW33" i="5" s="1"/>
  <c r="BE33" i="5" s="1"/>
  <c r="AJ61" i="5"/>
  <c r="AV33" i="5" a="1"/>
  <c r="AV33" i="5" s="1"/>
  <c r="BD33" i="5" s="1"/>
  <c r="S61" i="5"/>
  <c r="AV16" i="5" a="1"/>
  <c r="AV16" i="5" s="1"/>
  <c r="BD16" i="5" s="1"/>
  <c r="T54" i="39" l="1"/>
  <c r="G56" i="39" a="1"/>
  <c r="G56" i="39" s="1"/>
  <c r="P55" i="39"/>
  <c r="O55" i="39"/>
  <c r="F56" i="39" a="1"/>
  <c r="F56" i="39" s="1"/>
  <c r="N55" i="39" a="1"/>
  <c r="N55" i="39" s="1"/>
  <c r="E56" i="39" a="1"/>
  <c r="E56" i="39" s="1"/>
  <c r="Y54" i="39"/>
  <c r="AJ54" i="39"/>
  <c r="Q55" i="39" a="1"/>
  <c r="Q55" i="39" s="1"/>
  <c r="H56" i="39" a="1"/>
  <c r="H56" i="39" s="1"/>
  <c r="J55" i="38" a="1"/>
  <c r="J55" i="38" s="1"/>
  <c r="S54" i="38" a="1"/>
  <c r="S54" i="38" s="1"/>
  <c r="I55" i="38" a="1"/>
  <c r="I55" i="38" s="1"/>
  <c r="R54" i="38" a="1"/>
  <c r="R54" i="38" s="1"/>
  <c r="T53" i="38"/>
  <c r="Y53" i="38" s="1"/>
  <c r="P55" i="38"/>
  <c r="G56" i="38" a="1"/>
  <c r="G56" i="38" s="1"/>
  <c r="E55" i="38" a="1"/>
  <c r="E55" i="38" s="1"/>
  <c r="N54" i="38" a="1"/>
  <c r="N54" i="38" s="1"/>
  <c r="Q55" i="38" a="1"/>
  <c r="Q55" i="38" s="1"/>
  <c r="H56" i="38" a="1"/>
  <c r="H56" i="38" s="1"/>
  <c r="O54" i="38"/>
  <c r="F55" i="38" a="1"/>
  <c r="F55" i="38" s="1"/>
  <c r="U67" i="4"/>
  <c r="U62" i="4"/>
  <c r="BY17" i="5"/>
  <c r="BZ17" i="5"/>
  <c r="CA17" i="5"/>
  <c r="BY27" i="5"/>
  <c r="CB27" i="5" s="1"/>
  <c r="BZ27" i="5"/>
  <c r="CA27" i="5"/>
  <c r="BY32" i="5"/>
  <c r="CB32" i="5" s="1"/>
  <c r="BZ32" i="5"/>
  <c r="CA32" i="5"/>
  <c r="BY22" i="5"/>
  <c r="CB22" i="5" s="1"/>
  <c r="BZ22" i="5"/>
  <c r="CA22" i="5"/>
  <c r="BH32" i="5"/>
  <c r="CB16" i="5"/>
  <c r="BC27" i="5"/>
  <c r="BH27" i="5" s="1"/>
  <c r="BC22" i="5"/>
  <c r="BH22" i="5" s="1"/>
  <c r="AJ35" i="5"/>
  <c r="AX33" i="5" a="1"/>
  <c r="AX33" i="5" s="1"/>
  <c r="BF33" i="5" s="1"/>
  <c r="BC17" i="5"/>
  <c r="BC16" i="5"/>
  <c r="BH16" i="5" s="1"/>
  <c r="BC33" i="5"/>
  <c r="AJ24" i="5"/>
  <c r="AY34" i="5" s="1" a="1"/>
  <c r="AY34" i="5" s="1"/>
  <c r="BG34" i="5" s="1"/>
  <c r="BQ33" i="5" a="1"/>
  <c r="BQ33" i="5" s="1"/>
  <c r="BM17" i="5" a="1"/>
  <c r="BM17" i="5" s="1"/>
  <c r="BU17" i="5" s="1"/>
  <c r="AV17" i="5" a="1"/>
  <c r="AV17" i="5" s="1"/>
  <c r="BD17" i="5" s="1"/>
  <c r="BP17" i="5" a="1"/>
  <c r="BP17" i="5" s="1"/>
  <c r="BX17" i="5" s="1"/>
  <c r="BP34" i="5" a="1"/>
  <c r="BP34" i="5" s="1"/>
  <c r="BX34" i="5" s="1"/>
  <c r="AW17" i="5" a="1"/>
  <c r="AW17" i="5" s="1"/>
  <c r="BE17" i="5" s="1"/>
  <c r="AS34" i="5" a="1"/>
  <c r="AS34" i="5" s="1"/>
  <c r="BA34" i="5" s="1"/>
  <c r="BM34" i="5" a="1"/>
  <c r="BM34" i="5" s="1"/>
  <c r="BU34" i="5" s="1"/>
  <c r="BL33" i="5" a="1"/>
  <c r="BL33" i="5" s="1"/>
  <c r="BT33" i="5" s="1"/>
  <c r="AJ37" i="5"/>
  <c r="AR33" i="5" a="1"/>
  <c r="AR33" i="5" s="1"/>
  <c r="AZ33" i="5" s="1"/>
  <c r="AU34" i="5" a="1"/>
  <c r="AU34" i="5" s="1"/>
  <c r="BO34" i="5" a="1"/>
  <c r="BO34" i="5" s="1"/>
  <c r="BW34" i="5" s="1"/>
  <c r="AJ15" i="5"/>
  <c r="AT17" i="5" a="1"/>
  <c r="AT17" i="5" s="1"/>
  <c r="BB17" i="5" s="1"/>
  <c r="BN17" i="5" a="1"/>
  <c r="BN17" i="5" s="1"/>
  <c r="BV17" i="5" s="1"/>
  <c r="BO17" i="5" a="1"/>
  <c r="BO17" i="5" s="1"/>
  <c r="BW17" i="5" s="1"/>
  <c r="BN33" i="5" a="1"/>
  <c r="BN33" i="5" s="1"/>
  <c r="BV33" i="5" s="1"/>
  <c r="AJ52" i="5"/>
  <c r="AT33" i="5" a="1"/>
  <c r="AT33" i="5" s="1"/>
  <c r="BB33" i="5" s="1"/>
  <c r="AK61" i="5"/>
  <c r="AV34" i="5" a="1"/>
  <c r="AV34" i="5" s="1"/>
  <c r="BD34" i="5" s="1"/>
  <c r="AK62" i="5"/>
  <c r="AW34" i="5" a="1"/>
  <c r="AW34" i="5" s="1"/>
  <c r="BE34" i="5" s="1"/>
  <c r="AK26" i="5"/>
  <c r="G57" i="39" l="1" a="1"/>
  <c r="G57" i="39" s="1"/>
  <c r="P56" i="39"/>
  <c r="N56" i="39" a="1"/>
  <c r="N56" i="39" s="1"/>
  <c r="E57" i="39" a="1"/>
  <c r="E57" i="39" s="1"/>
  <c r="T55" i="39"/>
  <c r="Y55" i="39" s="1"/>
  <c r="O56" i="39"/>
  <c r="F57" i="39" a="1"/>
  <c r="F57" i="39" s="1"/>
  <c r="Q56" i="39" a="1"/>
  <c r="Q56" i="39" s="1"/>
  <c r="H57" i="39" a="1"/>
  <c r="H57" i="39" s="1"/>
  <c r="J56" i="38" a="1"/>
  <c r="J56" i="38" s="1"/>
  <c r="S55" i="38" a="1"/>
  <c r="S55" i="38" s="1"/>
  <c r="T54" i="38"/>
  <c r="AJ54" i="38" s="1"/>
  <c r="I56" i="38" a="1"/>
  <c r="I56" i="38" s="1"/>
  <c r="R55" i="38" a="1"/>
  <c r="R55" i="38" s="1"/>
  <c r="O55" i="38"/>
  <c r="F56" i="38" a="1"/>
  <c r="F56" i="38" s="1"/>
  <c r="Q56" i="38" a="1"/>
  <c r="Q56" i="38" s="1"/>
  <c r="H57" i="38" a="1"/>
  <c r="H57" i="38" s="1"/>
  <c r="E56" i="38" a="1"/>
  <c r="E56" i="38" s="1"/>
  <c r="N55" i="38" a="1"/>
  <c r="N55" i="38" s="1"/>
  <c r="P56" i="38"/>
  <c r="G57" i="38" a="1"/>
  <c r="G57" i="38" s="1"/>
  <c r="U68" i="4"/>
  <c r="U63" i="4"/>
  <c r="BY33" i="5"/>
  <c r="CB33" i="5" s="1"/>
  <c r="BZ33" i="5"/>
  <c r="CA33" i="5"/>
  <c r="CB17" i="5"/>
  <c r="BH17" i="5"/>
  <c r="BH33" i="5"/>
  <c r="AK35" i="5"/>
  <c r="AX34" i="5" a="1"/>
  <c r="AX34" i="5" s="1"/>
  <c r="BF34" i="5" s="1"/>
  <c r="BC34" i="5"/>
  <c r="BP35" i="5" a="1"/>
  <c r="BP35" i="5" s="1"/>
  <c r="BX35" i="5" s="1"/>
  <c r="BN34" i="5" a="1"/>
  <c r="BN34" i="5" s="1"/>
  <c r="BV34" i="5" s="1"/>
  <c r="AK15" i="5"/>
  <c r="AS35" i="5" a="1"/>
  <c r="AS35" i="5" s="1"/>
  <c r="BA35" i="5" s="1"/>
  <c r="BM35" i="5" a="1"/>
  <c r="BM35" i="5" s="1"/>
  <c r="BU35" i="5" s="1"/>
  <c r="BQ34" i="5" a="1"/>
  <c r="BQ34" i="5" s="1"/>
  <c r="AK24" i="5"/>
  <c r="AY35" i="5" s="1" a="1"/>
  <c r="AY35" i="5" s="1"/>
  <c r="BG35" i="5" s="1"/>
  <c r="AU35" i="5" a="1"/>
  <c r="AU35" i="5" s="1"/>
  <c r="BO35" i="5" a="1"/>
  <c r="BO35" i="5" s="1"/>
  <c r="BW35" i="5" s="1"/>
  <c r="BL34" i="5" a="1"/>
  <c r="BL34" i="5" s="1"/>
  <c r="BT34" i="5" s="1"/>
  <c r="AK37" i="5"/>
  <c r="AR34" i="5" a="1"/>
  <c r="AR34" i="5" s="1"/>
  <c r="AZ34" i="5" s="1"/>
  <c r="AK52" i="5"/>
  <c r="AT34" i="5" a="1"/>
  <c r="AT34" i="5" s="1"/>
  <c r="BB34" i="5" s="1"/>
  <c r="AL26" i="5"/>
  <c r="AL62" i="5"/>
  <c r="AW35" i="5" a="1"/>
  <c r="AW35" i="5" s="1"/>
  <c r="BE35" i="5" s="1"/>
  <c r="AL61" i="5"/>
  <c r="AV35" i="5" a="1"/>
  <c r="AV35" i="5" s="1"/>
  <c r="BD35" i="5" s="1"/>
  <c r="T56" i="39" l="1"/>
  <c r="Y56" i="39" s="1"/>
  <c r="P57" i="39"/>
  <c r="G58" i="39" a="1"/>
  <c r="G58" i="39" s="1"/>
  <c r="Q57" i="39" a="1"/>
  <c r="Q57" i="39" s="1"/>
  <c r="H58" i="39" a="1"/>
  <c r="H58" i="39" s="1"/>
  <c r="O57" i="39"/>
  <c r="F58" i="39" a="1"/>
  <c r="F58" i="39" s="1"/>
  <c r="N57" i="39" a="1"/>
  <c r="N57" i="39" s="1"/>
  <c r="E58" i="39" a="1"/>
  <c r="E58" i="39" s="1"/>
  <c r="J57" i="38" a="1"/>
  <c r="J57" i="38" s="1"/>
  <c r="S56" i="38" a="1"/>
  <c r="S56" i="38" s="1"/>
  <c r="I57" i="38" a="1"/>
  <c r="I57" i="38" s="1"/>
  <c r="R56" i="38" a="1"/>
  <c r="R56" i="38" s="1"/>
  <c r="T55" i="38"/>
  <c r="Y55" i="38" s="1"/>
  <c r="Y54" i="38"/>
  <c r="Q57" i="38" a="1"/>
  <c r="Q57" i="38" s="1"/>
  <c r="H58" i="38" a="1"/>
  <c r="H58" i="38" s="1"/>
  <c r="P57" i="38"/>
  <c r="G58" i="38" a="1"/>
  <c r="G58" i="38" s="1"/>
  <c r="O56" i="38"/>
  <c r="F57" i="38" a="1"/>
  <c r="F57" i="38" s="1"/>
  <c r="N56" i="38" a="1"/>
  <c r="N56" i="38" s="1"/>
  <c r="E57" i="38" a="1"/>
  <c r="E57" i="38" s="1"/>
  <c r="U69" i="4"/>
  <c r="BY34" i="5"/>
  <c r="CB34" i="5" s="1"/>
  <c r="BZ34" i="5"/>
  <c r="CA34" i="5"/>
  <c r="BH34" i="5"/>
  <c r="BC35" i="5"/>
  <c r="AL35" i="5"/>
  <c r="AX35" i="5" a="1"/>
  <c r="AX35" i="5" s="1"/>
  <c r="BF35" i="5" s="1"/>
  <c r="AU36" i="5" a="1"/>
  <c r="AU36" i="5" s="1"/>
  <c r="BO36" i="5" a="1"/>
  <c r="BO36" i="5" s="1"/>
  <c r="BW36" i="5" s="1"/>
  <c r="BQ35" i="5" a="1"/>
  <c r="BQ35" i="5" s="1"/>
  <c r="AL24" i="5"/>
  <c r="AY36" i="5" s="1" a="1"/>
  <c r="AY36" i="5" s="1"/>
  <c r="BG36" i="5" s="1"/>
  <c r="AL15" i="5"/>
  <c r="AS36" i="5" a="1"/>
  <c r="AS36" i="5" s="1"/>
  <c r="BA36" i="5" s="1"/>
  <c r="BM36" i="5" a="1"/>
  <c r="BM36" i="5" s="1"/>
  <c r="BU36" i="5" s="1"/>
  <c r="BL35" i="5" a="1"/>
  <c r="BL35" i="5" s="1"/>
  <c r="BT35" i="5" s="1"/>
  <c r="AR35" i="5" a="1"/>
  <c r="AR35" i="5" s="1"/>
  <c r="AZ35" i="5" s="1"/>
  <c r="AL37" i="5"/>
  <c r="BN35" i="5" a="1"/>
  <c r="BN35" i="5" s="1"/>
  <c r="BV35" i="5" s="1"/>
  <c r="BP36" i="5" a="1"/>
  <c r="BP36" i="5" s="1"/>
  <c r="BX36" i="5" s="1"/>
  <c r="AL52" i="5"/>
  <c r="AT35" i="5" a="1"/>
  <c r="AT35" i="5" s="1"/>
  <c r="BB35" i="5" s="1"/>
  <c r="AM61" i="5"/>
  <c r="AV36" i="5" a="1"/>
  <c r="AV36" i="5" s="1"/>
  <c r="BD36" i="5" s="1"/>
  <c r="AM62" i="5"/>
  <c r="AW36" i="5" a="1"/>
  <c r="AW36" i="5" s="1"/>
  <c r="BE36" i="5" s="1"/>
  <c r="AM26" i="5"/>
  <c r="G59" i="39" l="1" a="1"/>
  <c r="G59" i="39" s="1"/>
  <c r="P58" i="39"/>
  <c r="E59" i="39" a="1"/>
  <c r="E59" i="39" s="1"/>
  <c r="N58" i="39" a="1"/>
  <c r="N58" i="39" s="1"/>
  <c r="T57" i="39"/>
  <c r="Y57" i="39" s="1"/>
  <c r="O58" i="39"/>
  <c r="F59" i="39" a="1"/>
  <c r="F59" i="39" s="1"/>
  <c r="Q58" i="39" a="1"/>
  <c r="Q58" i="39" s="1"/>
  <c r="H59" i="39" a="1"/>
  <c r="H59" i="39" s="1"/>
  <c r="J58" i="38" a="1"/>
  <c r="J58" i="38" s="1"/>
  <c r="S57" i="38" a="1"/>
  <c r="S57" i="38" s="1"/>
  <c r="T56" i="38"/>
  <c r="Y56" i="38" s="1"/>
  <c r="I58" i="38" a="1"/>
  <c r="I58" i="38" s="1"/>
  <c r="R57" i="38" a="1"/>
  <c r="R57" i="38" s="1"/>
  <c r="O57" i="38"/>
  <c r="F58" i="38" a="1"/>
  <c r="F58" i="38" s="1"/>
  <c r="P58" i="38"/>
  <c r="G59" i="38" a="1"/>
  <c r="G59" i="38" s="1"/>
  <c r="N57" i="38" a="1"/>
  <c r="N57" i="38" s="1"/>
  <c r="E58" i="38" a="1"/>
  <c r="E58" i="38" s="1"/>
  <c r="Q58" i="38" a="1"/>
  <c r="Q58" i="38" s="1"/>
  <c r="H59" i="38" a="1"/>
  <c r="H59" i="38" s="1"/>
  <c r="U70" i="4"/>
  <c r="BY35" i="5"/>
  <c r="CB35" i="5" s="1"/>
  <c r="BZ35" i="5"/>
  <c r="CA35" i="5"/>
  <c r="BH35" i="5"/>
  <c r="BC36" i="5"/>
  <c r="AM35" i="5"/>
  <c r="AX37" i="5" s="1" a="1"/>
  <c r="AX37" i="5" s="1"/>
  <c r="BF37" i="5" s="1"/>
  <c r="AX36" i="5" a="1"/>
  <c r="AX36" i="5" s="1"/>
  <c r="BF36" i="5" s="1"/>
  <c r="BL36" i="5" a="1"/>
  <c r="BL36" i="5" s="1"/>
  <c r="BT36" i="5" s="1"/>
  <c r="AR36" i="5" a="1"/>
  <c r="AR36" i="5" s="1"/>
  <c r="AZ36" i="5" s="1"/>
  <c r="AM37" i="5"/>
  <c r="BN36" i="5" a="1"/>
  <c r="BN36" i="5" s="1"/>
  <c r="BV36" i="5" s="1"/>
  <c r="AM15" i="5"/>
  <c r="AU37" i="5" a="1"/>
  <c r="AU37" i="5" s="1"/>
  <c r="BO37" i="5" a="1"/>
  <c r="BO37" i="5" s="1"/>
  <c r="BW37" i="5" s="1"/>
  <c r="BQ36" i="5" a="1"/>
  <c r="BQ36" i="5" s="1"/>
  <c r="AM24" i="5"/>
  <c r="BM37" i="5" a="1"/>
  <c r="BM37" i="5" s="1"/>
  <c r="BU37" i="5" s="1"/>
  <c r="AV37" i="5" a="1"/>
  <c r="AV37" i="5" s="1"/>
  <c r="BD37" i="5" s="1"/>
  <c r="BP37" i="5" a="1"/>
  <c r="BP37" i="5" s="1"/>
  <c r="BX37" i="5" s="1"/>
  <c r="AW37" i="5" a="1"/>
  <c r="AW37" i="5" s="1"/>
  <c r="BE37" i="5" s="1"/>
  <c r="AS37" i="5" a="1"/>
  <c r="AS37" i="5" s="1"/>
  <c r="BA37" i="5" s="1"/>
  <c r="AM52" i="5"/>
  <c r="AT36" i="5" a="1"/>
  <c r="AT36" i="5" s="1"/>
  <c r="BB36" i="5" s="1"/>
  <c r="T58" i="39" l="1"/>
  <c r="Y58" i="39" s="1"/>
  <c r="P59" i="39"/>
  <c r="G60" i="39" a="1"/>
  <c r="G60" i="39" s="1"/>
  <c r="O59" i="39"/>
  <c r="F60" i="39" a="1"/>
  <c r="F60" i="39" s="1"/>
  <c r="Q59" i="39" a="1"/>
  <c r="Q59" i="39" s="1"/>
  <c r="H60" i="39" a="1"/>
  <c r="H60" i="39" s="1"/>
  <c r="N59" i="39" a="1"/>
  <c r="N59" i="39" s="1"/>
  <c r="E60" i="39" a="1"/>
  <c r="E60" i="39" s="1"/>
  <c r="T57" i="38"/>
  <c r="Y57" i="38" s="1"/>
  <c r="J59" i="38" a="1"/>
  <c r="J59" i="38" s="1"/>
  <c r="S58" i="38" a="1"/>
  <c r="S58" i="38" s="1"/>
  <c r="I59" i="38" a="1"/>
  <c r="I59" i="38" s="1"/>
  <c r="R58" i="38" a="1"/>
  <c r="R58" i="38" s="1"/>
  <c r="P59" i="38"/>
  <c r="G60" i="38" a="1"/>
  <c r="G60" i="38" s="1"/>
  <c r="Q59" i="38" a="1"/>
  <c r="Q59" i="38" s="1"/>
  <c r="H60" i="38" a="1"/>
  <c r="H60" i="38" s="1"/>
  <c r="E59" i="38" a="1"/>
  <c r="E59" i="38" s="1"/>
  <c r="N58" i="38" a="1"/>
  <c r="N58" i="38" s="1"/>
  <c r="O58" i="38"/>
  <c r="F59" i="38" a="1"/>
  <c r="F59" i="38" s="1"/>
  <c r="U71" i="4"/>
  <c r="BY36" i="5"/>
  <c r="CB36" i="5" s="1"/>
  <c r="BZ36" i="5"/>
  <c r="CA36" i="5"/>
  <c r="BH36" i="5"/>
  <c r="BC37" i="5"/>
  <c r="BQ37" i="5" a="1"/>
  <c r="BQ37" i="5" s="1"/>
  <c r="AY37" i="5" a="1"/>
  <c r="AY37" i="5" s="1"/>
  <c r="BG37" i="5" s="1"/>
  <c r="AR37" i="5" a="1"/>
  <c r="AR37" i="5" s="1"/>
  <c r="AZ37" i="5" s="1"/>
  <c r="BL37" i="5" a="1"/>
  <c r="BL37" i="5" s="1"/>
  <c r="BT37" i="5" s="1"/>
  <c r="AT37" i="5" a="1"/>
  <c r="AT37" i="5" s="1"/>
  <c r="BB37" i="5" s="1"/>
  <c r="BN37" i="5" a="1"/>
  <c r="BN37" i="5" s="1"/>
  <c r="BV37" i="5" s="1"/>
  <c r="P60" i="39" l="1"/>
  <c r="G61" i="39" a="1"/>
  <c r="G61" i="39" s="1"/>
  <c r="O60" i="39"/>
  <c r="F61" i="39" a="1"/>
  <c r="F61" i="39" s="1"/>
  <c r="E61" i="39" a="1"/>
  <c r="E61" i="39" s="1"/>
  <c r="N60" i="39" a="1"/>
  <c r="N60" i="39" s="1"/>
  <c r="T59" i="39"/>
  <c r="Q60" i="39" a="1"/>
  <c r="Q60" i="39" s="1"/>
  <c r="H61" i="39" a="1"/>
  <c r="H61" i="39" s="1"/>
  <c r="J60" i="38" a="1"/>
  <c r="J60" i="38" s="1"/>
  <c r="S59" i="38" a="1"/>
  <c r="S59" i="38" s="1"/>
  <c r="I60" i="38" a="1"/>
  <c r="I60" i="38" s="1"/>
  <c r="R59" i="38" a="1"/>
  <c r="R59" i="38" s="1"/>
  <c r="T58" i="38"/>
  <c r="Y58" i="38" s="1"/>
  <c r="Q60" i="38" a="1"/>
  <c r="Q60" i="38" s="1"/>
  <c r="H61" i="38" a="1"/>
  <c r="H61" i="38" s="1"/>
  <c r="P60" i="38"/>
  <c r="G61" i="38" a="1"/>
  <c r="G61" i="38" s="1"/>
  <c r="F60" i="38" a="1"/>
  <c r="F60" i="38" s="1"/>
  <c r="O59" i="38"/>
  <c r="E60" i="38" a="1"/>
  <c r="E60" i="38" s="1"/>
  <c r="N59" i="38" a="1"/>
  <c r="N59" i="38" s="1"/>
  <c r="U72" i="4"/>
  <c r="BY37" i="5"/>
  <c r="CB37" i="5" s="1"/>
  <c r="BZ37" i="5"/>
  <c r="CA37" i="5"/>
  <c r="BH37" i="5"/>
  <c r="T60" i="39" l="1"/>
  <c r="X60" i="39" s="1"/>
  <c r="G62" i="39" a="1"/>
  <c r="G62" i="39" s="1"/>
  <c r="P61" i="39"/>
  <c r="Y59" i="39"/>
  <c r="AB59" i="39" s="1"/>
  <c r="AJ59" i="39"/>
  <c r="X59" i="39"/>
  <c r="Q61" i="39" a="1"/>
  <c r="Q61" i="39" s="1"/>
  <c r="H62" i="39" a="1"/>
  <c r="H62" i="39" s="1"/>
  <c r="N61" i="39" a="1"/>
  <c r="N61" i="39" s="1"/>
  <c r="E62" i="39" a="1"/>
  <c r="E62" i="39" s="1"/>
  <c r="O61" i="39"/>
  <c r="F62" i="39" a="1"/>
  <c r="F62" i="39" s="1"/>
  <c r="J61" i="38" a="1"/>
  <c r="J61" i="38" s="1"/>
  <c r="S60" i="38" a="1"/>
  <c r="S60" i="38" s="1"/>
  <c r="T59" i="38"/>
  <c r="I61" i="38" a="1"/>
  <c r="I61" i="38" s="1"/>
  <c r="R60" i="38" a="1"/>
  <c r="R60" i="38" s="1"/>
  <c r="O60" i="38"/>
  <c r="F61" i="38" a="1"/>
  <c r="F61" i="38" s="1"/>
  <c r="P61" i="38"/>
  <c r="G62" i="38" a="1"/>
  <c r="G62" i="38" s="1"/>
  <c r="N60" i="38" a="1"/>
  <c r="N60" i="38" s="1"/>
  <c r="E61" i="38" a="1"/>
  <c r="E61" i="38" s="1"/>
  <c r="Q61" i="38" a="1"/>
  <c r="Q61" i="38" s="1"/>
  <c r="H62" i="38" a="1"/>
  <c r="H62" i="38" s="1"/>
  <c r="U73" i="4"/>
  <c r="W76" i="4"/>
  <c r="AB76" i="4" s="1"/>
  <c r="Y60" i="39" l="1"/>
  <c r="AB60" i="39" s="1"/>
  <c r="AD60" i="39" s="1"/>
  <c r="T61" i="39"/>
  <c r="Y61" i="39" s="1"/>
  <c r="AB61" i="39" s="1"/>
  <c r="AD61" i="39" s="1"/>
  <c r="G63" i="39" a="1"/>
  <c r="G63" i="39" s="1"/>
  <c r="P62" i="39"/>
  <c r="Q62" i="39" a="1"/>
  <c r="Q62" i="39" s="1"/>
  <c r="H63" i="39" a="1"/>
  <c r="H63" i="39" s="1"/>
  <c r="AA59" i="39"/>
  <c r="Z59" i="39"/>
  <c r="N62" i="39" a="1"/>
  <c r="N62" i="39" s="1"/>
  <c r="E63" i="39" a="1"/>
  <c r="E63" i="39" s="1"/>
  <c r="AD59" i="39"/>
  <c r="O62" i="39"/>
  <c r="F63" i="39" a="1"/>
  <c r="F63" i="39" s="1"/>
  <c r="AA60" i="39"/>
  <c r="Z60" i="39"/>
  <c r="X59" i="38"/>
  <c r="AA59" i="38" s="1"/>
  <c r="AJ59" i="38"/>
  <c r="Y59" i="38"/>
  <c r="AB59" i="38" s="1"/>
  <c r="AD59" i="38" s="1"/>
  <c r="J62" i="38" a="1"/>
  <c r="J62" i="38" s="1"/>
  <c r="S61" i="38" a="1"/>
  <c r="S61" i="38" s="1"/>
  <c r="T60" i="38"/>
  <c r="Y60" i="38" s="1"/>
  <c r="AB60" i="38" s="1"/>
  <c r="AD60" i="38" s="1"/>
  <c r="I62" i="38" a="1"/>
  <c r="I62" i="38" s="1"/>
  <c r="R61" i="38" a="1"/>
  <c r="R61" i="38" s="1"/>
  <c r="H63" i="38" a="1"/>
  <c r="H63" i="38" s="1"/>
  <c r="Q62" i="38" a="1"/>
  <c r="Q62" i="38" s="1"/>
  <c r="N61" i="38" a="1"/>
  <c r="N61" i="38" s="1"/>
  <c r="E62" i="38" a="1"/>
  <c r="E62" i="38" s="1"/>
  <c r="O61" i="38"/>
  <c r="F62" i="38" a="1"/>
  <c r="F62" i="38" s="1"/>
  <c r="P62" i="38"/>
  <c r="G63" i="38" a="1"/>
  <c r="G63" i="38" s="1"/>
  <c r="C4" i="5"/>
  <c r="X61" i="39" l="1"/>
  <c r="Z61" i="39" s="1"/>
  <c r="P63" i="39"/>
  <c r="G64" i="39" a="1"/>
  <c r="G64" i="39" s="1"/>
  <c r="AE61" i="39"/>
  <c r="AE60" i="39"/>
  <c r="AE59" i="39"/>
  <c r="T62" i="39"/>
  <c r="N63" i="39" a="1"/>
  <c r="N63" i="39" s="1"/>
  <c r="E64" i="39" a="1"/>
  <c r="E64" i="39" s="1"/>
  <c r="AF60" i="39"/>
  <c r="AC60" i="39"/>
  <c r="AA61" i="39"/>
  <c r="F64" i="39" a="1"/>
  <c r="F64" i="39" s="1"/>
  <c r="O63" i="39"/>
  <c r="AC59" i="39"/>
  <c r="AF59" i="39"/>
  <c r="Q63" i="39" a="1"/>
  <c r="Q63" i="39" s="1"/>
  <c r="H64" i="39" a="1"/>
  <c r="H64" i="39" s="1"/>
  <c r="Z59" i="38"/>
  <c r="X60" i="38"/>
  <c r="AA60" i="38" s="1"/>
  <c r="J63" i="38" a="1"/>
  <c r="J63" i="38" s="1"/>
  <c r="S62" i="38" a="1"/>
  <c r="S62" i="38" s="1"/>
  <c r="T61" i="38"/>
  <c r="X61" i="38" s="1"/>
  <c r="I63" i="38" a="1"/>
  <c r="I63" i="38" s="1"/>
  <c r="R62" i="38" a="1"/>
  <c r="R62" i="38" s="1"/>
  <c r="P63" i="38"/>
  <c r="G64" i="38" a="1"/>
  <c r="G64" i="38" s="1"/>
  <c r="O62" i="38"/>
  <c r="F63" i="38" a="1"/>
  <c r="F63" i="38" s="1"/>
  <c r="N62" i="38" a="1"/>
  <c r="N62" i="38" s="1"/>
  <c r="E63" i="38" a="1"/>
  <c r="E63" i="38" s="1"/>
  <c r="AC59" i="38"/>
  <c r="AF59" i="38"/>
  <c r="Q63" i="38" a="1"/>
  <c r="Q63" i="38" s="1"/>
  <c r="H64" i="38" a="1"/>
  <c r="H64" i="38" s="1"/>
  <c r="W75" i="4"/>
  <c r="K48" i="4"/>
  <c r="J48" i="4" a="1"/>
  <c r="J48" i="4" s="1"/>
  <c r="S48" i="4" s="1" a="1"/>
  <c r="S48" i="4" s="1"/>
  <c r="I48" i="4" a="1"/>
  <c r="I48" i="4" s="1"/>
  <c r="R48" i="4" s="1" a="1"/>
  <c r="R48" i="4" s="1"/>
  <c r="H48" i="4" a="1"/>
  <c r="H48" i="4" s="1"/>
  <c r="Q48" i="4" s="1" a="1"/>
  <c r="Q48" i="4" s="1"/>
  <c r="G48" i="4" a="1"/>
  <c r="G48" i="4" s="1"/>
  <c r="P48" i="4" s="1"/>
  <c r="F48" i="4" a="1"/>
  <c r="F48" i="4" s="1"/>
  <c r="E48" i="4" a="1"/>
  <c r="E48" i="4" s="1"/>
  <c r="P64" i="39" l="1"/>
  <c r="G65" i="39" a="1"/>
  <c r="G65" i="39" s="1"/>
  <c r="Q64" i="39" a="1"/>
  <c r="Q64" i="39" s="1"/>
  <c r="H65" i="39" a="1"/>
  <c r="H65" i="39" s="1"/>
  <c r="N64" i="39" a="1"/>
  <c r="N64" i="39" s="1"/>
  <c r="E65" i="39" a="1"/>
  <c r="E65" i="39" s="1"/>
  <c r="T63" i="39"/>
  <c r="O64" i="39"/>
  <c r="F65" i="39" a="1"/>
  <c r="F65" i="39" s="1"/>
  <c r="X62" i="39"/>
  <c r="Y62" i="39"/>
  <c r="AB62" i="39" s="1"/>
  <c r="AC61" i="39"/>
  <c r="AF61" i="39"/>
  <c r="Z60" i="38"/>
  <c r="Y61" i="38"/>
  <c r="AB61" i="38" s="1"/>
  <c r="AD61" i="38" s="1"/>
  <c r="T62" i="38"/>
  <c r="Y62" i="38" s="1"/>
  <c r="AB62" i="38" s="1"/>
  <c r="AD62" i="38" s="1"/>
  <c r="J64" i="38" a="1"/>
  <c r="J64" i="38" s="1"/>
  <c r="S63" i="38" a="1"/>
  <c r="S63" i="38" s="1"/>
  <c r="I64" i="38" a="1"/>
  <c r="I64" i="38" s="1"/>
  <c r="R63" i="38" a="1"/>
  <c r="R63" i="38" s="1"/>
  <c r="AF60" i="38"/>
  <c r="AC60" i="38"/>
  <c r="AE59" i="38"/>
  <c r="H65" i="38" a="1"/>
  <c r="H65" i="38" s="1"/>
  <c r="Q64" i="38" a="1"/>
  <c r="Q64" i="38" s="1"/>
  <c r="P64" i="38"/>
  <c r="G65" i="38" a="1"/>
  <c r="G65" i="38" s="1"/>
  <c r="Z61" i="38"/>
  <c r="AA61" i="38"/>
  <c r="N63" i="38" a="1"/>
  <c r="N63" i="38" s="1"/>
  <c r="E64" i="38" a="1"/>
  <c r="E64" i="38" s="1"/>
  <c r="O63" i="38"/>
  <c r="F64" i="38" a="1"/>
  <c r="F64" i="38" s="1"/>
  <c r="W68" i="4"/>
  <c r="W53" i="4"/>
  <c r="W72" i="4"/>
  <c r="W54" i="4"/>
  <c r="W62" i="4"/>
  <c r="W55" i="4"/>
  <c r="W66" i="4"/>
  <c r="W49" i="4"/>
  <c r="W56" i="4"/>
  <c r="W69" i="4"/>
  <c r="W71" i="4"/>
  <c r="W57" i="4"/>
  <c r="W73" i="4"/>
  <c r="W50" i="4"/>
  <c r="W58" i="4"/>
  <c r="W64" i="4"/>
  <c r="W70" i="4"/>
  <c r="W59" i="4"/>
  <c r="W67" i="4"/>
  <c r="W74" i="4"/>
  <c r="W60" i="4"/>
  <c r="W63" i="4"/>
  <c r="W51" i="4"/>
  <c r="W61" i="4"/>
  <c r="W48" i="4"/>
  <c r="W52" i="4"/>
  <c r="W65" i="4"/>
  <c r="J49" i="4" a="1"/>
  <c r="J49" i="4" s="1"/>
  <c r="S49" i="4" s="1" a="1"/>
  <c r="S49" i="4" s="1"/>
  <c r="I49" i="4" a="1"/>
  <c r="I49" i="4" s="1"/>
  <c r="R49" i="4" s="1" a="1"/>
  <c r="R49" i="4" s="1"/>
  <c r="H49" i="4" a="1"/>
  <c r="H49" i="4" s="1"/>
  <c r="Q49" i="4" s="1" a="1"/>
  <c r="Q49" i="4" s="1"/>
  <c r="F49" i="4" a="1"/>
  <c r="F49" i="4" s="1"/>
  <c r="O48" i="4"/>
  <c r="E49" i="4" a="1"/>
  <c r="E49" i="4" s="1"/>
  <c r="N48" i="4" a="1"/>
  <c r="N48" i="4" s="1"/>
  <c r="P65" i="39" l="1"/>
  <c r="G66" i="39" a="1"/>
  <c r="G66" i="39" s="1"/>
  <c r="O65" i="39"/>
  <c r="F66" i="39" a="1"/>
  <c r="F66" i="39" s="1"/>
  <c r="AA62" i="39"/>
  <c r="Z62" i="39"/>
  <c r="Y63" i="39"/>
  <c r="AB63" i="39" s="1"/>
  <c r="AD63" i="39" s="1"/>
  <c r="X63" i="39"/>
  <c r="AD62" i="39"/>
  <c r="N65" i="39" a="1"/>
  <c r="N65" i="39" s="1"/>
  <c r="E66" i="39" a="1"/>
  <c r="E66" i="39" s="1"/>
  <c r="T64" i="39"/>
  <c r="Q65" i="39" a="1"/>
  <c r="Q65" i="39" s="1"/>
  <c r="H66" i="39" a="1"/>
  <c r="H66" i="39" s="1"/>
  <c r="X62" i="38"/>
  <c r="AA62" i="38" s="1"/>
  <c r="T63" i="38"/>
  <c r="AJ63" i="38" s="1"/>
  <c r="J65" i="38" a="1"/>
  <c r="J65" i="38" s="1"/>
  <c r="S64" i="38" a="1"/>
  <c r="S64" i="38" s="1"/>
  <c r="I65" i="38" a="1"/>
  <c r="I65" i="38" s="1"/>
  <c r="R64" i="38" a="1"/>
  <c r="R64" i="38" s="1"/>
  <c r="F65" i="38" a="1"/>
  <c r="F65" i="38" s="1"/>
  <c r="O64" i="38"/>
  <c r="E65" i="38" a="1"/>
  <c r="E65" i="38" s="1"/>
  <c r="N64" i="38" a="1"/>
  <c r="N64" i="38" s="1"/>
  <c r="AC61" i="38"/>
  <c r="AF61" i="38"/>
  <c r="AE60" i="38"/>
  <c r="P65" i="38"/>
  <c r="G66" i="38" a="1"/>
  <c r="G66" i="38" s="1"/>
  <c r="Q65" i="38" a="1"/>
  <c r="Q65" i="38" s="1"/>
  <c r="H66" i="38" a="1"/>
  <c r="H66" i="38" s="1"/>
  <c r="T48" i="4"/>
  <c r="I50" i="4" a="1"/>
  <c r="I50" i="4" s="1"/>
  <c r="R50" i="4" s="1" a="1"/>
  <c r="R50" i="4" s="1"/>
  <c r="J50" i="4" a="1"/>
  <c r="J50" i="4" s="1"/>
  <c r="S50" i="4" s="1" a="1"/>
  <c r="S50" i="4" s="1"/>
  <c r="F50" i="4" a="1"/>
  <c r="F50" i="4" s="1"/>
  <c r="O49" i="4"/>
  <c r="H50" i="4" a="1"/>
  <c r="H50" i="4" s="1"/>
  <c r="Q50" i="4" s="1" a="1"/>
  <c r="Q50" i="4" s="1"/>
  <c r="E50" i="4" a="1"/>
  <c r="E50" i="4" s="1"/>
  <c r="N49" i="4" a="1"/>
  <c r="N49" i="4" s="1"/>
  <c r="M21" i="4"/>
  <c r="P66" i="39" l="1"/>
  <c r="G67" i="39" a="1"/>
  <c r="G67" i="39" s="1"/>
  <c r="N66" i="39" a="1"/>
  <c r="N66" i="39" s="1"/>
  <c r="E67" i="39" a="1"/>
  <c r="E67" i="39" s="1"/>
  <c r="T65" i="39"/>
  <c r="AF62" i="39"/>
  <c r="AC62" i="39"/>
  <c r="G103" i="39"/>
  <c r="X64" i="39"/>
  <c r="Y64" i="39"/>
  <c r="AB64" i="39" s="1"/>
  <c r="AJ64" i="39"/>
  <c r="O66" i="39"/>
  <c r="F67" i="39" a="1"/>
  <c r="F67" i="39" s="1"/>
  <c r="AA63" i="39"/>
  <c r="Z63" i="39"/>
  <c r="Q66" i="39" a="1"/>
  <c r="Q66" i="39" s="1"/>
  <c r="H67" i="39" a="1"/>
  <c r="H67" i="39" s="1"/>
  <c r="AE63" i="39"/>
  <c r="AE62" i="39"/>
  <c r="Z62" i="38"/>
  <c r="Y63" i="38"/>
  <c r="AB63" i="38" s="1"/>
  <c r="AD63" i="38" s="1"/>
  <c r="X63" i="38"/>
  <c r="AA63" i="38" s="1"/>
  <c r="J66" i="38" a="1"/>
  <c r="J66" i="38" s="1"/>
  <c r="S65" i="38" a="1"/>
  <c r="S65" i="38" s="1"/>
  <c r="T64" i="38"/>
  <c r="I66" i="38" a="1"/>
  <c r="I66" i="38" s="1"/>
  <c r="R65" i="38" a="1"/>
  <c r="R65" i="38" s="1"/>
  <c r="Q66" i="38" a="1"/>
  <c r="Q66" i="38" s="1"/>
  <c r="H67" i="38" a="1"/>
  <c r="H67" i="38" s="1"/>
  <c r="N65" i="38" a="1"/>
  <c r="N65" i="38" s="1"/>
  <c r="E66" i="38" a="1"/>
  <c r="E66" i="38" s="1"/>
  <c r="P66" i="38"/>
  <c r="G67" i="38" a="1"/>
  <c r="G67" i="38" s="1"/>
  <c r="O65" i="38"/>
  <c r="F66" i="38" a="1"/>
  <c r="F66" i="38" s="1"/>
  <c r="AE61" i="38"/>
  <c r="AF62" i="38"/>
  <c r="AC62" i="38"/>
  <c r="X19" i="4"/>
  <c r="X21" i="4"/>
  <c r="Y48" i="4"/>
  <c r="X48" i="4"/>
  <c r="J51" i="4" a="1"/>
  <c r="J51" i="4" s="1"/>
  <c r="S51" i="4" s="1" a="1"/>
  <c r="S51" i="4" s="1"/>
  <c r="I51" i="4" a="1"/>
  <c r="I51" i="4" s="1"/>
  <c r="R51" i="4" s="1" a="1"/>
  <c r="R51" i="4" s="1"/>
  <c r="H51" i="4" a="1"/>
  <c r="H51" i="4" s="1"/>
  <c r="Q51" i="4" s="1" a="1"/>
  <c r="Q51" i="4" s="1"/>
  <c r="F51" i="4" a="1"/>
  <c r="F51" i="4" s="1"/>
  <c r="O50" i="4"/>
  <c r="E51" i="4" a="1"/>
  <c r="E51" i="4" s="1"/>
  <c r="N50" i="4" a="1"/>
  <c r="N50" i="4" s="1"/>
  <c r="G49" i="4" a="1"/>
  <c r="G49" i="4" s="1"/>
  <c r="P49" i="4" s="1"/>
  <c r="T49" i="4" s="1"/>
  <c r="P67" i="39" l="1"/>
  <c r="G68" i="39" a="1"/>
  <c r="G68" i="39" s="1"/>
  <c r="AD64" i="39"/>
  <c r="Q67" i="39" a="1"/>
  <c r="Q67" i="39" s="1"/>
  <c r="H68" i="39" a="1"/>
  <c r="H68" i="39" s="1"/>
  <c r="AA64" i="39"/>
  <c r="Z64" i="39"/>
  <c r="G104" i="39"/>
  <c r="AF63" i="39"/>
  <c r="AC63" i="39"/>
  <c r="X65" i="39"/>
  <c r="Y65" i="39"/>
  <c r="AB65" i="39" s="1"/>
  <c r="O67" i="39"/>
  <c r="F68" i="39" a="1"/>
  <c r="F68" i="39" s="1"/>
  <c r="N67" i="39" a="1"/>
  <c r="N67" i="39" s="1"/>
  <c r="E68" i="39" a="1"/>
  <c r="E68" i="39" s="1"/>
  <c r="T66" i="39"/>
  <c r="X64" i="38"/>
  <c r="Z64" i="38" s="1"/>
  <c r="AJ64" i="38"/>
  <c r="Z63" i="38"/>
  <c r="Y64" i="38"/>
  <c r="AB64" i="38" s="1"/>
  <c r="AD64" i="38" s="1"/>
  <c r="J67" i="38" a="1"/>
  <c r="J67" i="38" s="1"/>
  <c r="S66" i="38" a="1"/>
  <c r="S66" i="38" s="1"/>
  <c r="I67" i="38" a="1"/>
  <c r="I67" i="38" s="1"/>
  <c r="R66" i="38" a="1"/>
  <c r="R66" i="38" s="1"/>
  <c r="T65" i="38"/>
  <c r="X65" i="38" s="1"/>
  <c r="N66" i="38" a="1"/>
  <c r="N66" i="38" s="1"/>
  <c r="E67" i="38" a="1"/>
  <c r="E67" i="38" s="1"/>
  <c r="AE62" i="38"/>
  <c r="AC63" i="38"/>
  <c r="AF63" i="38"/>
  <c r="O66" i="38"/>
  <c r="F67" i="38" a="1"/>
  <c r="F67" i="38" s="1"/>
  <c r="G68" i="38" a="1"/>
  <c r="G68" i="38" s="1"/>
  <c r="P67" i="38"/>
  <c r="Q67" i="38" a="1"/>
  <c r="Q67" i="38" s="1"/>
  <c r="H68" i="38" a="1"/>
  <c r="H68" i="38" s="1"/>
  <c r="AB48" i="4"/>
  <c r="AD48" i="4" s="1"/>
  <c r="X49" i="4"/>
  <c r="AA49" i="4" s="1"/>
  <c r="Y49" i="4"/>
  <c r="AB49" i="4" s="1"/>
  <c r="Z48" i="4"/>
  <c r="AA48" i="4"/>
  <c r="I52" i="4" a="1"/>
  <c r="I52" i="4" s="1"/>
  <c r="R52" i="4" s="1" a="1"/>
  <c r="R52" i="4" s="1"/>
  <c r="J52" i="4" a="1"/>
  <c r="J52" i="4" s="1"/>
  <c r="S52" i="4" s="1" a="1"/>
  <c r="S52" i="4" s="1"/>
  <c r="F52" i="4" a="1"/>
  <c r="F52" i="4" s="1"/>
  <c r="O51" i="4"/>
  <c r="H52" i="4" a="1"/>
  <c r="H52" i="4" s="1"/>
  <c r="Q52" i="4" s="1" a="1"/>
  <c r="Q52" i="4" s="1"/>
  <c r="G50" i="4" a="1"/>
  <c r="G50" i="4" s="1"/>
  <c r="P50" i="4" s="1"/>
  <c r="T50" i="4" s="1"/>
  <c r="E52" i="4" a="1"/>
  <c r="E52" i="4" s="1"/>
  <c r="N51" i="4" a="1"/>
  <c r="N51" i="4" s="1"/>
  <c r="AG48" i="4"/>
  <c r="AH48" i="4" s="1"/>
  <c r="AI48" i="4" s="1"/>
  <c r="AJ48" i="4" s="1"/>
  <c r="T67" i="39" l="1"/>
  <c r="Y67" i="39" s="1"/>
  <c r="AB67" i="39" s="1"/>
  <c r="AD67" i="39" s="1"/>
  <c r="P68" i="39"/>
  <c r="G69" i="39" a="1"/>
  <c r="G69" i="39" s="1"/>
  <c r="N68" i="39" a="1"/>
  <c r="N68" i="39" s="1"/>
  <c r="E69" i="39" a="1"/>
  <c r="E69" i="39" s="1"/>
  <c r="AD65" i="39"/>
  <c r="AE65" i="39" s="1"/>
  <c r="AC64" i="39"/>
  <c r="AF64" i="39"/>
  <c r="AA65" i="39"/>
  <c r="Z65" i="39"/>
  <c r="X67" i="39"/>
  <c r="Q68" i="39" a="1"/>
  <c r="Q68" i="39" s="1"/>
  <c r="H69" i="39" a="1"/>
  <c r="H69" i="39" s="1"/>
  <c r="F69" i="39" a="1"/>
  <c r="F69" i="39" s="1"/>
  <c r="O68" i="39"/>
  <c r="X66" i="39"/>
  <c r="Y66" i="39"/>
  <c r="AB66" i="39" s="1"/>
  <c r="AD66" i="39" s="1"/>
  <c r="AE64" i="39"/>
  <c r="AA64" i="38"/>
  <c r="AE64" i="38" s="1"/>
  <c r="Y65" i="38"/>
  <c r="AB65" i="38" s="1"/>
  <c r="AD65" i="38" s="1"/>
  <c r="T66" i="38"/>
  <c r="Y66" i="38" s="1"/>
  <c r="AB66" i="38" s="1"/>
  <c r="AD66" i="38" s="1"/>
  <c r="J68" i="38" a="1"/>
  <c r="J68" i="38" s="1"/>
  <c r="S67" i="38" a="1"/>
  <c r="S67" i="38" s="1"/>
  <c r="I68" i="38" a="1"/>
  <c r="I68" i="38" s="1"/>
  <c r="R67" i="38" a="1"/>
  <c r="R67" i="38" s="1"/>
  <c r="N67" i="38" a="1"/>
  <c r="N67" i="38" s="1"/>
  <c r="E68" i="38" a="1"/>
  <c r="E68" i="38" s="1"/>
  <c r="Q68" i="38" a="1"/>
  <c r="Q68" i="38" s="1"/>
  <c r="H69" i="38" a="1"/>
  <c r="H69" i="38" s="1"/>
  <c r="AA65" i="38"/>
  <c r="Z65" i="38"/>
  <c r="O67" i="38"/>
  <c r="F68" i="38" a="1"/>
  <c r="F68" i="38" s="1"/>
  <c r="AE63" i="38"/>
  <c r="P68" i="38"/>
  <c r="G69" i="38" a="1"/>
  <c r="G69" i="38" s="1"/>
  <c r="AF48" i="4"/>
  <c r="AC48" i="4"/>
  <c r="AC49" i="4"/>
  <c r="Y50" i="4"/>
  <c r="AB50" i="4" s="1"/>
  <c r="Z49" i="4"/>
  <c r="J53" i="4" a="1"/>
  <c r="J53" i="4" s="1"/>
  <c r="S53" i="4" s="1" a="1"/>
  <c r="S53" i="4" s="1"/>
  <c r="I53" i="4" a="1"/>
  <c r="I53" i="4" s="1"/>
  <c r="R53" i="4" s="1" a="1"/>
  <c r="R53" i="4" s="1"/>
  <c r="H53" i="4" a="1"/>
  <c r="H53" i="4" s="1"/>
  <c r="Q53" i="4" s="1" a="1"/>
  <c r="Q53" i="4" s="1"/>
  <c r="F53" i="4" a="1"/>
  <c r="F53" i="4" s="1"/>
  <c r="O52" i="4"/>
  <c r="G51" i="4" a="1"/>
  <c r="G51" i="4" s="1"/>
  <c r="P51" i="4" s="1"/>
  <c r="T51" i="4" s="1"/>
  <c r="E53" i="4" a="1"/>
  <c r="E53" i="4" s="1"/>
  <c r="N52" i="4" a="1"/>
  <c r="N52" i="4" s="1"/>
  <c r="AG49" i="4"/>
  <c r="AH49" i="4" s="1"/>
  <c r="AI49" i="4" s="1"/>
  <c r="AJ49" i="4" s="1"/>
  <c r="K49" i="4"/>
  <c r="AD49" i="4" s="1"/>
  <c r="P69" i="39" l="1"/>
  <c r="G70" i="39" a="1"/>
  <c r="G70" i="39" s="1"/>
  <c r="Q69" i="39" a="1"/>
  <c r="Q69" i="39" s="1"/>
  <c r="H70" i="39" a="1"/>
  <c r="H70" i="39" s="1"/>
  <c r="AA66" i="39"/>
  <c r="Z66" i="39"/>
  <c r="AA67" i="39"/>
  <c r="Z67" i="39"/>
  <c r="AE67" i="39"/>
  <c r="AE66" i="39"/>
  <c r="O69" i="39"/>
  <c r="F70" i="39" a="1"/>
  <c r="F70" i="39" s="1"/>
  <c r="AC65" i="39"/>
  <c r="AF65" i="39"/>
  <c r="N69" i="39" a="1"/>
  <c r="N69" i="39" s="1"/>
  <c r="E70" i="39" a="1"/>
  <c r="E70" i="39" s="1"/>
  <c r="T68" i="39"/>
  <c r="AC64" i="38"/>
  <c r="AF64" i="38"/>
  <c r="X66" i="38"/>
  <c r="AA66" i="38" s="1"/>
  <c r="J69" i="38" a="1"/>
  <c r="J69" i="38" s="1"/>
  <c r="S68" i="38" a="1"/>
  <c r="S68" i="38" s="1"/>
  <c r="I69" i="38" a="1"/>
  <c r="I69" i="38" s="1"/>
  <c r="R68" i="38" a="1"/>
  <c r="R68" i="38" s="1"/>
  <c r="T67" i="38"/>
  <c r="Y67" i="38" s="1"/>
  <c r="AB67" i="38" s="1"/>
  <c r="AD67" i="38" s="1"/>
  <c r="P69" i="38"/>
  <c r="G70" i="38" a="1"/>
  <c r="G70" i="38" s="1"/>
  <c r="AF65" i="38"/>
  <c r="AE65" i="38"/>
  <c r="AC65" i="38"/>
  <c r="H70" i="38" a="1"/>
  <c r="H70" i="38" s="1"/>
  <c r="Q69" i="38" a="1"/>
  <c r="Q69" i="38" s="1"/>
  <c r="O68" i="38"/>
  <c r="F69" i="38" a="1"/>
  <c r="F69" i="38" s="1"/>
  <c r="E69" i="38" a="1"/>
  <c r="E69" i="38" s="1"/>
  <c r="N68" i="38" a="1"/>
  <c r="N68" i="38" s="1"/>
  <c r="AF49" i="4"/>
  <c r="X50" i="4"/>
  <c r="L78" i="4"/>
  <c r="X51" i="4"/>
  <c r="AA51" i="4" s="1"/>
  <c r="Y51" i="4"/>
  <c r="I54" i="4" a="1"/>
  <c r="I54" i="4" s="1"/>
  <c r="R54" i="4" s="1" a="1"/>
  <c r="R54" i="4" s="1"/>
  <c r="J54" i="4" a="1"/>
  <c r="J54" i="4" s="1"/>
  <c r="S54" i="4" s="1" a="1"/>
  <c r="S54" i="4" s="1"/>
  <c r="F54" i="4" a="1"/>
  <c r="F54" i="4" s="1"/>
  <c r="O53" i="4"/>
  <c r="H54" i="4" a="1"/>
  <c r="H54" i="4" s="1"/>
  <c r="Q54" i="4" s="1" a="1"/>
  <c r="Q54" i="4" s="1"/>
  <c r="G52" i="4" a="1"/>
  <c r="G52" i="4" s="1"/>
  <c r="P52" i="4" s="1"/>
  <c r="T52" i="4" s="1"/>
  <c r="E54" i="4" a="1"/>
  <c r="E54" i="4" s="1"/>
  <c r="N53" i="4" a="1"/>
  <c r="N53" i="4" s="1"/>
  <c r="AG50" i="4"/>
  <c r="AH50" i="4" s="1"/>
  <c r="AI50" i="4" s="1"/>
  <c r="AJ50" i="4" s="1"/>
  <c r="K50" i="4"/>
  <c r="AD50" i="4" s="1"/>
  <c r="T69" i="39" l="1"/>
  <c r="Y69" i="39" s="1"/>
  <c r="AB69" i="39" s="1"/>
  <c r="AD69" i="39" s="1"/>
  <c r="G71" i="39" a="1"/>
  <c r="G71" i="39" s="1"/>
  <c r="P70" i="39"/>
  <c r="AC67" i="39"/>
  <c r="AF67" i="39"/>
  <c r="N70" i="39" a="1"/>
  <c r="N70" i="39" s="1"/>
  <c r="E71" i="39" a="1"/>
  <c r="E71" i="39" s="1"/>
  <c r="AC66" i="39"/>
  <c r="AF66" i="39"/>
  <c r="O70" i="39"/>
  <c r="F71" i="39" a="1"/>
  <c r="F71" i="39" s="1"/>
  <c r="Q70" i="39" a="1"/>
  <c r="Q70" i="39" s="1"/>
  <c r="H71" i="39" a="1"/>
  <c r="H71" i="39" s="1"/>
  <c r="X68" i="39"/>
  <c r="Y68" i="39"/>
  <c r="AB68" i="39" s="1"/>
  <c r="X67" i="38"/>
  <c r="AA67" i="38" s="1"/>
  <c r="Z66" i="38"/>
  <c r="T68" i="38"/>
  <c r="Y68" i="38" s="1"/>
  <c r="AB68" i="38" s="1"/>
  <c r="AD68" i="38" s="1"/>
  <c r="J70" i="38" a="1"/>
  <c r="J70" i="38" s="1"/>
  <c r="S69" i="38" a="1"/>
  <c r="S69" i="38" s="1"/>
  <c r="I70" i="38" a="1"/>
  <c r="I70" i="38" s="1"/>
  <c r="R69" i="38" a="1"/>
  <c r="R69" i="38" s="1"/>
  <c r="AC66" i="38"/>
  <c r="AF66" i="38"/>
  <c r="AE66" i="38"/>
  <c r="F70" i="38" a="1"/>
  <c r="F70" i="38" s="1"/>
  <c r="O69" i="38"/>
  <c r="P70" i="38"/>
  <c r="G71" i="38" a="1"/>
  <c r="G71" i="38" s="1"/>
  <c r="E70" i="38" a="1"/>
  <c r="E70" i="38" s="1"/>
  <c r="N69" i="38" a="1"/>
  <c r="N69" i="38" s="1"/>
  <c r="Q70" i="38" a="1"/>
  <c r="Q70" i="38" s="1"/>
  <c r="H71" i="38" a="1"/>
  <c r="H71" i="38" s="1"/>
  <c r="AB51" i="4"/>
  <c r="AD51" i="4" s="1"/>
  <c r="AC51" i="4"/>
  <c r="AA50" i="4"/>
  <c r="Z50" i="4"/>
  <c r="AE48" i="4"/>
  <c r="Z51" i="4"/>
  <c r="X52" i="4"/>
  <c r="Y52" i="4"/>
  <c r="AB52" i="4" s="1"/>
  <c r="J55" i="4" a="1"/>
  <c r="J55" i="4" s="1"/>
  <c r="S55" i="4" s="1" a="1"/>
  <c r="S55" i="4" s="1"/>
  <c r="I55" i="4" a="1"/>
  <c r="I55" i="4" s="1"/>
  <c r="R55" i="4" s="1" a="1"/>
  <c r="R55" i="4" s="1"/>
  <c r="H55" i="4" a="1"/>
  <c r="H55" i="4" s="1"/>
  <c r="Q55" i="4" s="1" a="1"/>
  <c r="Q55" i="4" s="1"/>
  <c r="F55" i="4" a="1"/>
  <c r="F55" i="4" s="1"/>
  <c r="O54" i="4"/>
  <c r="G53" i="4" a="1"/>
  <c r="G53" i="4" s="1"/>
  <c r="P53" i="4" s="1"/>
  <c r="T53" i="4" s="1"/>
  <c r="E55" i="4" a="1"/>
  <c r="E55" i="4" s="1"/>
  <c r="N54" i="4" a="1"/>
  <c r="N54" i="4" s="1"/>
  <c r="AG51" i="4"/>
  <c r="AH51" i="4" s="1"/>
  <c r="AI51" i="4" s="1"/>
  <c r="AJ51" i="4" s="1"/>
  <c r="K51" i="4"/>
  <c r="AF51" i="4" s="1"/>
  <c r="X69" i="39" l="1"/>
  <c r="P71" i="39"/>
  <c r="G72" i="39" a="1"/>
  <c r="G72" i="39" s="1"/>
  <c r="Q71" i="39" a="1"/>
  <c r="Q71" i="39" s="1"/>
  <c r="H72" i="39" a="1"/>
  <c r="H72" i="39" s="1"/>
  <c r="N71" i="39" a="1"/>
  <c r="N71" i="39" s="1"/>
  <c r="E72" i="39" a="1"/>
  <c r="E72" i="39" s="1"/>
  <c r="T70" i="39"/>
  <c r="AA68" i="39"/>
  <c r="Z68" i="39"/>
  <c r="O71" i="39"/>
  <c r="F72" i="39" a="1"/>
  <c r="F72" i="39" s="1"/>
  <c r="AA69" i="39"/>
  <c r="Z69" i="39"/>
  <c r="AD68" i="39"/>
  <c r="AE69" i="39" s="1"/>
  <c r="Z67" i="38"/>
  <c r="X68" i="38"/>
  <c r="Z68" i="38" s="1"/>
  <c r="T69" i="38"/>
  <c r="X69" i="38" s="1"/>
  <c r="J71" i="38" a="1"/>
  <c r="J71" i="38" s="1"/>
  <c r="S70" i="38" a="1"/>
  <c r="S70" i="38" s="1"/>
  <c r="I71" i="38" a="1"/>
  <c r="I71" i="38" s="1"/>
  <c r="R70" i="38" a="1"/>
  <c r="R70" i="38" s="1"/>
  <c r="Q71" i="38" a="1"/>
  <c r="Q71" i="38" s="1"/>
  <c r="H72" i="38" a="1"/>
  <c r="H72" i="38" s="1"/>
  <c r="P71" i="38"/>
  <c r="G72" i="38" a="1"/>
  <c r="G72" i="38" s="1"/>
  <c r="N70" i="38" a="1"/>
  <c r="N70" i="38" s="1"/>
  <c r="E71" i="38" a="1"/>
  <c r="E71" i="38" s="1"/>
  <c r="O70" i="38"/>
  <c r="F71" i="38" a="1"/>
  <c r="F71" i="38" s="1"/>
  <c r="AC67" i="38"/>
  <c r="AF67" i="38"/>
  <c r="AE67" i="38"/>
  <c r="AF50" i="4"/>
  <c r="AC50" i="4"/>
  <c r="Z52" i="4"/>
  <c r="AA52" i="4"/>
  <c r="X53" i="4"/>
  <c r="Y53" i="4"/>
  <c r="I56" i="4" a="1"/>
  <c r="I56" i="4" s="1"/>
  <c r="R56" i="4" s="1" a="1"/>
  <c r="R56" i="4" s="1"/>
  <c r="J56" i="4" a="1"/>
  <c r="J56" i="4" s="1"/>
  <c r="S56" i="4" s="1" a="1"/>
  <c r="S56" i="4" s="1"/>
  <c r="F56" i="4" a="1"/>
  <c r="F56" i="4" s="1"/>
  <c r="O55" i="4"/>
  <c r="H56" i="4" a="1"/>
  <c r="H56" i="4" s="1"/>
  <c r="Q56" i="4" s="1" a="1"/>
  <c r="Q56" i="4" s="1"/>
  <c r="G54" i="4" a="1"/>
  <c r="G54" i="4" s="1"/>
  <c r="P54" i="4" s="1"/>
  <c r="T54" i="4" s="1"/>
  <c r="E56" i="4" a="1"/>
  <c r="E56" i="4" s="1"/>
  <c r="N55" i="4" a="1"/>
  <c r="N55" i="4" s="1"/>
  <c r="AG52" i="4"/>
  <c r="AH52" i="4" s="1"/>
  <c r="AI52" i="4" s="1"/>
  <c r="AJ52" i="4" s="1"/>
  <c r="K52" i="4"/>
  <c r="AD52" i="4" s="1"/>
  <c r="P72" i="39" l="1"/>
  <c r="G73" i="39" a="1"/>
  <c r="G73" i="39" s="1"/>
  <c r="AE68" i="39"/>
  <c r="AC68" i="39"/>
  <c r="AF68" i="39"/>
  <c r="AC69" i="39"/>
  <c r="AF69" i="39"/>
  <c r="Y70" i="39"/>
  <c r="AB70" i="39" s="1"/>
  <c r="X70" i="39"/>
  <c r="N72" i="39" a="1"/>
  <c r="N72" i="39" s="1"/>
  <c r="E73" i="39" a="1"/>
  <c r="E73" i="39" s="1"/>
  <c r="T71" i="39"/>
  <c r="O72" i="39"/>
  <c r="F73" i="39" a="1"/>
  <c r="F73" i="39" s="1"/>
  <c r="Q72" i="39" a="1"/>
  <c r="Q72" i="39" s="1"/>
  <c r="H73" i="39" a="1"/>
  <c r="H73" i="39" s="1"/>
  <c r="AA68" i="38"/>
  <c r="AC68" i="38" s="1"/>
  <c r="Y69" i="38"/>
  <c r="AB69" i="38" s="1"/>
  <c r="AD69" i="38" s="1"/>
  <c r="T70" i="38"/>
  <c r="X70" i="38" s="1"/>
  <c r="J72" i="38" a="1"/>
  <c r="J72" i="38" s="1"/>
  <c r="S71" i="38" a="1"/>
  <c r="S71" i="38" s="1"/>
  <c r="I72" i="38" a="1"/>
  <c r="I72" i="38" s="1"/>
  <c r="R71" i="38" a="1"/>
  <c r="R71" i="38" s="1"/>
  <c r="AA69" i="38"/>
  <c r="Z69" i="38"/>
  <c r="N71" i="38" a="1"/>
  <c r="N71" i="38" s="1"/>
  <c r="E72" i="38" a="1"/>
  <c r="E72" i="38" s="1"/>
  <c r="O71" i="38"/>
  <c r="F72" i="38" a="1"/>
  <c r="F72" i="38" s="1"/>
  <c r="P72" i="38"/>
  <c r="G73" i="38" a="1"/>
  <c r="G73" i="38" s="1"/>
  <c r="H73" i="38" a="1"/>
  <c r="H73" i="38" s="1"/>
  <c r="Q72" i="38" a="1"/>
  <c r="Q72" i="38" s="1"/>
  <c r="AB53" i="4"/>
  <c r="AF52" i="4"/>
  <c r="AC52" i="4"/>
  <c r="AA53" i="4"/>
  <c r="Z53" i="4"/>
  <c r="X54" i="4"/>
  <c r="AA54" i="4" s="1"/>
  <c r="Y54" i="4"/>
  <c r="AB54" i="4" s="1"/>
  <c r="J57" i="4" a="1"/>
  <c r="J57" i="4" s="1"/>
  <c r="S57" i="4" s="1" a="1"/>
  <c r="S57" i="4" s="1"/>
  <c r="I57" i="4" a="1"/>
  <c r="I57" i="4" s="1"/>
  <c r="R57" i="4" s="1" a="1"/>
  <c r="R57" i="4" s="1"/>
  <c r="H57" i="4" a="1"/>
  <c r="H57" i="4" s="1"/>
  <c r="Q57" i="4" s="1" a="1"/>
  <c r="Q57" i="4" s="1"/>
  <c r="F57" i="4" a="1"/>
  <c r="F57" i="4" s="1"/>
  <c r="O56" i="4"/>
  <c r="G55" i="4" a="1"/>
  <c r="G55" i="4" s="1"/>
  <c r="P55" i="4" s="1"/>
  <c r="T55" i="4" s="1"/>
  <c r="X55" i="4" s="1"/>
  <c r="E57" i="4" a="1"/>
  <c r="E57" i="4" s="1"/>
  <c r="N56" i="4" a="1"/>
  <c r="N56" i="4" s="1"/>
  <c r="AG53" i="4"/>
  <c r="AH53" i="4" s="1"/>
  <c r="AI53" i="4" s="1"/>
  <c r="AJ53" i="4" s="1"/>
  <c r="K53" i="4"/>
  <c r="P73" i="39" l="1"/>
  <c r="G74" i="39" a="1"/>
  <c r="G74" i="39" s="1"/>
  <c r="P74" i="39" s="1"/>
  <c r="AD53" i="4"/>
  <c r="AD70" i="39"/>
  <c r="AE70" i="39" s="1"/>
  <c r="O73" i="39"/>
  <c r="F74" i="39" a="1"/>
  <c r="F74" i="39" s="1"/>
  <c r="O74" i="39" s="1"/>
  <c r="Q73" i="39" a="1"/>
  <c r="Q73" i="39" s="1"/>
  <c r="H74" i="39" a="1"/>
  <c r="H74" i="39" s="1"/>
  <c r="Q74" i="39" s="1" a="1"/>
  <c r="Q74" i="39" s="1"/>
  <c r="AA70" i="39"/>
  <c r="Z70" i="39"/>
  <c r="Y71" i="39"/>
  <c r="AB71" i="39" s="1"/>
  <c r="AD71" i="39" s="1"/>
  <c r="X71" i="39"/>
  <c r="N73" i="39" a="1"/>
  <c r="N73" i="39" s="1"/>
  <c r="E74" i="39" a="1"/>
  <c r="E74" i="39" s="1"/>
  <c r="N74" i="39" s="1" a="1"/>
  <c r="N74" i="39" s="1"/>
  <c r="T72" i="39"/>
  <c r="AF68" i="38"/>
  <c r="AE68" i="38"/>
  <c r="T71" i="38"/>
  <c r="Y71" i="38" s="1"/>
  <c r="AB71" i="38" s="1"/>
  <c r="AD71" i="38" s="1"/>
  <c r="Y70" i="38"/>
  <c r="AB70" i="38" s="1"/>
  <c r="AD70" i="38" s="1"/>
  <c r="J73" i="38" a="1"/>
  <c r="J73" i="38" s="1"/>
  <c r="S72" i="38" a="1"/>
  <c r="S72" i="38" s="1"/>
  <c r="I73" i="38" a="1"/>
  <c r="I73" i="38" s="1"/>
  <c r="R72" i="38" a="1"/>
  <c r="R72" i="38" s="1"/>
  <c r="P73" i="38"/>
  <c r="G74" i="38" a="1"/>
  <c r="G74" i="38" s="1"/>
  <c r="O72" i="38"/>
  <c r="F73" i="38" a="1"/>
  <c r="F73" i="38" s="1"/>
  <c r="AA70" i="38"/>
  <c r="Z70" i="38"/>
  <c r="Q73" i="38" a="1"/>
  <c r="Q73" i="38" s="1"/>
  <c r="H74" i="38" a="1"/>
  <c r="H74" i="38" s="1"/>
  <c r="N72" i="38" a="1"/>
  <c r="N72" i="38" s="1"/>
  <c r="E73" i="38" a="1"/>
  <c r="E73" i="38" s="1"/>
  <c r="AC69" i="38"/>
  <c r="AF69" i="38"/>
  <c r="AF53" i="4"/>
  <c r="AC53" i="4"/>
  <c r="AC54" i="4"/>
  <c r="Z54" i="4"/>
  <c r="Y55" i="4"/>
  <c r="AB55" i="4" s="1"/>
  <c r="I58" i="4" a="1"/>
  <c r="I58" i="4" s="1"/>
  <c r="R58" i="4" s="1" a="1"/>
  <c r="R58" i="4" s="1"/>
  <c r="J58" i="4" a="1"/>
  <c r="J58" i="4" s="1"/>
  <c r="S58" i="4" s="1" a="1"/>
  <c r="S58" i="4" s="1"/>
  <c r="F58" i="4" a="1"/>
  <c r="F58" i="4" s="1"/>
  <c r="O57" i="4"/>
  <c r="H58" i="4" a="1"/>
  <c r="H58" i="4" s="1"/>
  <c r="Q58" i="4" s="1" a="1"/>
  <c r="Q58" i="4" s="1"/>
  <c r="G56" i="4" a="1"/>
  <c r="G56" i="4" s="1"/>
  <c r="P56" i="4" s="1"/>
  <c r="T56" i="4" s="1"/>
  <c r="E58" i="4" a="1"/>
  <c r="E58" i="4" s="1"/>
  <c r="N57" i="4" a="1"/>
  <c r="N57" i="4" s="1"/>
  <c r="AG54" i="4"/>
  <c r="AH54" i="4" s="1"/>
  <c r="AI54" i="4" s="1"/>
  <c r="AJ54" i="4" s="1"/>
  <c r="K54" i="4"/>
  <c r="AD54" i="4" s="1"/>
  <c r="Q74" i="38" l="1" a="1"/>
  <c r="Q74" i="38" s="1"/>
  <c r="H75" i="38" a="1"/>
  <c r="H75" i="38" s="1"/>
  <c r="AE71" i="39"/>
  <c r="P74" i="38"/>
  <c r="G75" i="38" a="1"/>
  <c r="G75" i="38" s="1"/>
  <c r="Y72" i="39"/>
  <c r="AB72" i="39" s="1"/>
  <c r="AD72" i="39" s="1"/>
  <c r="AE72" i="39" s="1"/>
  <c r="X72" i="39"/>
  <c r="AF70" i="39"/>
  <c r="AC70" i="39"/>
  <c r="T73" i="39"/>
  <c r="T74" i="39"/>
  <c r="AA71" i="39"/>
  <c r="Z71" i="39"/>
  <c r="AE69" i="38"/>
  <c r="X71" i="38"/>
  <c r="AA71" i="38" s="1"/>
  <c r="T72" i="38"/>
  <c r="Y72" i="38" s="1"/>
  <c r="AB72" i="38" s="1"/>
  <c r="AD72" i="38" s="1"/>
  <c r="J74" i="38" a="1"/>
  <c r="J74" i="38" s="1"/>
  <c r="S73" i="38" a="1"/>
  <c r="S73" i="38" s="1"/>
  <c r="I74" i="38" a="1"/>
  <c r="I74" i="38" s="1"/>
  <c r="R73" i="38" a="1"/>
  <c r="R73" i="38" s="1"/>
  <c r="N73" i="38" a="1"/>
  <c r="N73" i="38" s="1"/>
  <c r="E74" i="38" a="1"/>
  <c r="E74" i="38" s="1"/>
  <c r="O73" i="38"/>
  <c r="F74" i="38" a="1"/>
  <c r="F74" i="38" s="1"/>
  <c r="AC70" i="38"/>
  <c r="AF70" i="38"/>
  <c r="AE70" i="38"/>
  <c r="AF54" i="4"/>
  <c r="AA55" i="4"/>
  <c r="Z55" i="4"/>
  <c r="X56" i="4"/>
  <c r="Z56" i="4" s="1"/>
  <c r="Y56" i="4"/>
  <c r="AB56" i="4" s="1"/>
  <c r="J59" i="4" a="1"/>
  <c r="J59" i="4" s="1"/>
  <c r="S59" i="4" s="1" a="1"/>
  <c r="S59" i="4" s="1"/>
  <c r="I59" i="4" a="1"/>
  <c r="I59" i="4" s="1"/>
  <c r="R59" i="4" s="1" a="1"/>
  <c r="R59" i="4" s="1"/>
  <c r="H59" i="4" a="1"/>
  <c r="H59" i="4" s="1"/>
  <c r="Q59" i="4" s="1" a="1"/>
  <c r="Q59" i="4" s="1"/>
  <c r="F59" i="4" a="1"/>
  <c r="F59" i="4" s="1"/>
  <c r="O58" i="4"/>
  <c r="G57" i="4" a="1"/>
  <c r="G57" i="4" s="1"/>
  <c r="P57" i="4" s="1"/>
  <c r="T57" i="4" s="1"/>
  <c r="E59" i="4" a="1"/>
  <c r="E59" i="4" s="1"/>
  <c r="N58" i="4" a="1"/>
  <c r="N58" i="4" s="1"/>
  <c r="AG55" i="4"/>
  <c r="AH55" i="4" s="1"/>
  <c r="AI55" i="4" s="1"/>
  <c r="AJ55" i="4" s="1"/>
  <c r="K55" i="4"/>
  <c r="AD55" i="4" s="1"/>
  <c r="S74" i="38" l="1" a="1"/>
  <c r="S74" i="38" s="1"/>
  <c r="J75" i="38" a="1"/>
  <c r="J75" i="38" s="1"/>
  <c r="Q75" i="38" a="1"/>
  <c r="Q75" i="38" s="1"/>
  <c r="H76" i="38" a="1"/>
  <c r="H76" i="38" s="1"/>
  <c r="O74" i="38"/>
  <c r="F75" i="38" a="1"/>
  <c r="F75" i="38" s="1"/>
  <c r="N74" i="38" a="1"/>
  <c r="N74" i="38" s="1"/>
  <c r="E75" i="38" a="1"/>
  <c r="E75" i="38" s="1"/>
  <c r="P75" i="38"/>
  <c r="G76" i="38" a="1"/>
  <c r="G76" i="38" s="1"/>
  <c r="R74" i="38" a="1"/>
  <c r="R74" i="38" s="1"/>
  <c r="I75" i="38" a="1"/>
  <c r="I75" i="38" s="1"/>
  <c r="Y73" i="39"/>
  <c r="AB73" i="39" s="1"/>
  <c r="AD73" i="39" s="1"/>
  <c r="AE73" i="39" s="1"/>
  <c r="X73" i="39"/>
  <c r="AJ74" i="39"/>
  <c r="Y74" i="39"/>
  <c r="X74" i="39"/>
  <c r="E95" i="39"/>
  <c r="AA72" i="39"/>
  <c r="Z72" i="39"/>
  <c r="AC71" i="39"/>
  <c r="AF71" i="39"/>
  <c r="Z71" i="38"/>
  <c r="X72" i="38"/>
  <c r="AA72" i="38" s="1"/>
  <c r="T73" i="38"/>
  <c r="AJ73" i="38" s="1"/>
  <c r="AC71" i="38"/>
  <c r="AF71" i="38"/>
  <c r="AE71" i="38"/>
  <c r="AF55" i="4"/>
  <c r="AC55" i="4"/>
  <c r="AA56" i="4"/>
  <c r="X57" i="4"/>
  <c r="AA57" i="4" s="1"/>
  <c r="Y57" i="4"/>
  <c r="AB57" i="4" s="1"/>
  <c r="I60" i="4" a="1"/>
  <c r="I60" i="4" s="1"/>
  <c r="R60" i="4" s="1" a="1"/>
  <c r="R60" i="4" s="1"/>
  <c r="J60" i="4" a="1"/>
  <c r="J60" i="4" s="1"/>
  <c r="S60" i="4" s="1" a="1"/>
  <c r="S60" i="4" s="1"/>
  <c r="F60" i="4" a="1"/>
  <c r="F60" i="4" s="1"/>
  <c r="O59" i="4"/>
  <c r="H60" i="4" a="1"/>
  <c r="H60" i="4" s="1"/>
  <c r="Q60" i="4" s="1" a="1"/>
  <c r="Q60" i="4" s="1"/>
  <c r="G58" i="4" a="1"/>
  <c r="G58" i="4" s="1"/>
  <c r="P58" i="4" s="1"/>
  <c r="T58" i="4" s="1"/>
  <c r="E60" i="4" a="1"/>
  <c r="E60" i="4" s="1"/>
  <c r="N59" i="4" a="1"/>
  <c r="N59" i="4" s="1"/>
  <c r="AE49" i="4"/>
  <c r="AG56" i="4"/>
  <c r="AH56" i="4" s="1"/>
  <c r="AI56" i="4" s="1"/>
  <c r="AJ56" i="4" s="1"/>
  <c r="K56" i="4"/>
  <c r="AD56" i="4" s="1"/>
  <c r="T74" i="38" l="1"/>
  <c r="Y74" i="38" s="1"/>
  <c r="AB74" i="38" s="1"/>
  <c r="AD74" i="38" s="1"/>
  <c r="N75" i="38" a="1"/>
  <c r="N75" i="38" s="1"/>
  <c r="E76" i="38" a="1"/>
  <c r="E76" i="38" s="1"/>
  <c r="P76" i="38"/>
  <c r="G77" i="38" a="1"/>
  <c r="G77" i="38" s="1"/>
  <c r="P77" i="38" s="1"/>
  <c r="O75" i="38"/>
  <c r="F76" i="38" a="1"/>
  <c r="F76" i="38" s="1"/>
  <c r="Q76" i="38" a="1"/>
  <c r="Q76" i="38" s="1"/>
  <c r="H77" i="38" a="1"/>
  <c r="H77" i="38" s="1"/>
  <c r="Q77" i="38" s="1" a="1"/>
  <c r="Q77" i="38" s="1"/>
  <c r="S75" i="38" a="1"/>
  <c r="S75" i="38" s="1"/>
  <c r="J76" i="38" a="1"/>
  <c r="J76" i="38" s="1"/>
  <c r="R75" i="38" a="1"/>
  <c r="R75" i="38" s="1"/>
  <c r="I76" i="38" a="1"/>
  <c r="I76" i="38" s="1"/>
  <c r="AC72" i="39"/>
  <c r="AF72" i="39"/>
  <c r="AA74" i="39"/>
  <c r="Z74" i="39"/>
  <c r="AA73" i="39"/>
  <c r="Z73" i="39"/>
  <c r="AB74" i="39"/>
  <c r="Y78" i="39"/>
  <c r="X74" i="38"/>
  <c r="AA74" i="38" s="1"/>
  <c r="AJ74" i="38"/>
  <c r="Z72" i="38"/>
  <c r="X73" i="38"/>
  <c r="AA73" i="38" s="1"/>
  <c r="Y73" i="38"/>
  <c r="AB73" i="38" s="1"/>
  <c r="AD73" i="38" s="1"/>
  <c r="AC72" i="38"/>
  <c r="AF72" i="38"/>
  <c r="AE72" i="38"/>
  <c r="AF56" i="4"/>
  <c r="AC56" i="4"/>
  <c r="AC57" i="4"/>
  <c r="Z57" i="4"/>
  <c r="X58" i="4"/>
  <c r="Y58" i="4"/>
  <c r="AB58" i="4" s="1"/>
  <c r="J61" i="4" a="1"/>
  <c r="J61" i="4" s="1"/>
  <c r="S61" i="4" s="1" a="1"/>
  <c r="S61" i="4" s="1"/>
  <c r="I61" i="4" a="1"/>
  <c r="I61" i="4" s="1"/>
  <c r="R61" i="4" s="1" a="1"/>
  <c r="R61" i="4" s="1"/>
  <c r="H61" i="4" a="1"/>
  <c r="H61" i="4" s="1"/>
  <c r="Q61" i="4" s="1" a="1"/>
  <c r="Q61" i="4" s="1"/>
  <c r="F61" i="4" a="1"/>
  <c r="F61" i="4" s="1"/>
  <c r="O60" i="4"/>
  <c r="G59" i="4" a="1"/>
  <c r="G59" i="4" s="1"/>
  <c r="P59" i="4" s="1"/>
  <c r="T59" i="4" s="1"/>
  <c r="E61" i="4" a="1"/>
  <c r="E61" i="4" s="1"/>
  <c r="N60" i="4" a="1"/>
  <c r="N60" i="4" s="1"/>
  <c r="AG57" i="4"/>
  <c r="AH57" i="4" s="1"/>
  <c r="AI57" i="4" s="1"/>
  <c r="AJ57" i="4" s="1"/>
  <c r="K57" i="4"/>
  <c r="AD57" i="4" s="1"/>
  <c r="O76" i="38" l="1"/>
  <c r="F77" i="38" a="1"/>
  <c r="F77" i="38" s="1"/>
  <c r="O77" i="38" s="1"/>
  <c r="R76" i="38" a="1"/>
  <c r="R76" i="38" s="1"/>
  <c r="I77" i="38" a="1"/>
  <c r="I77" i="38" s="1"/>
  <c r="R77" i="38" s="1" a="1"/>
  <c r="R77" i="38" s="1"/>
  <c r="S76" i="38" a="1"/>
  <c r="S76" i="38" s="1"/>
  <c r="J77" i="38" a="1"/>
  <c r="J77" i="38" s="1"/>
  <c r="S77" i="38" s="1" a="1"/>
  <c r="S77" i="38" s="1"/>
  <c r="N76" i="38" a="1"/>
  <c r="N76" i="38" s="1"/>
  <c r="E77" i="38" a="1"/>
  <c r="E77" i="38" s="1"/>
  <c r="N77" i="38" s="1" a="1"/>
  <c r="N77" i="38" s="1"/>
  <c r="T77" i="38" s="1"/>
  <c r="Y77" i="38" s="1"/>
  <c r="T75" i="38"/>
  <c r="AD74" i="39"/>
  <c r="E88" i="39"/>
  <c r="E89" i="39" s="1"/>
  <c r="AB78" i="39"/>
  <c r="H103" i="39"/>
  <c r="AC73" i="39"/>
  <c r="AF73" i="39"/>
  <c r="AC74" i="39"/>
  <c r="AF74" i="39"/>
  <c r="E84" i="39" a="1"/>
  <c r="E84" i="39" s="1"/>
  <c r="AA78" i="39"/>
  <c r="E86" i="39"/>
  <c r="E87" i="39" s="1"/>
  <c r="E85" i="39" a="1"/>
  <c r="E85" i="39" s="1"/>
  <c r="Z74" i="38"/>
  <c r="Z73" i="38"/>
  <c r="AC73" i="38"/>
  <c r="AF73" i="38"/>
  <c r="AE73" i="38"/>
  <c r="E88" i="38"/>
  <c r="E89" i="38" s="1"/>
  <c r="AB78" i="38"/>
  <c r="G103" i="38"/>
  <c r="H103" i="38"/>
  <c r="H104" i="38" s="1"/>
  <c r="AC74" i="38"/>
  <c r="AF74" i="38"/>
  <c r="E84" i="38" a="1"/>
  <c r="E84" i="38" s="1"/>
  <c r="AA78" i="38"/>
  <c r="E85" i="38" a="1"/>
  <c r="E85" i="38" s="1"/>
  <c r="E86" i="38"/>
  <c r="E87" i="38" s="1"/>
  <c r="AF57" i="4"/>
  <c r="Z58" i="4"/>
  <c r="AA58" i="4"/>
  <c r="X59" i="4"/>
  <c r="Y59" i="4"/>
  <c r="AB59" i="4" s="1"/>
  <c r="I62" i="4" a="1"/>
  <c r="I62" i="4" s="1"/>
  <c r="R62" i="4" s="1" a="1"/>
  <c r="R62" i="4" s="1"/>
  <c r="J62" i="4" a="1"/>
  <c r="J62" i="4" s="1"/>
  <c r="S62" i="4" s="1" a="1"/>
  <c r="S62" i="4" s="1"/>
  <c r="F62" i="4" a="1"/>
  <c r="F62" i="4" s="1"/>
  <c r="O61" i="4"/>
  <c r="H62" i="4" a="1"/>
  <c r="H62" i="4" s="1"/>
  <c r="Q62" i="4" s="1" a="1"/>
  <c r="Q62" i="4" s="1"/>
  <c r="G60" i="4" a="1"/>
  <c r="G60" i="4" s="1"/>
  <c r="P60" i="4" s="1"/>
  <c r="T60" i="4" s="1"/>
  <c r="E62" i="4" a="1"/>
  <c r="E62" i="4" s="1"/>
  <c r="N61" i="4" a="1"/>
  <c r="N61" i="4" s="1"/>
  <c r="AG58" i="4"/>
  <c r="AH58" i="4" s="1"/>
  <c r="AI58" i="4" s="1"/>
  <c r="AJ58" i="4" s="1"/>
  <c r="K58" i="4"/>
  <c r="AD58" i="4" s="1"/>
  <c r="T76" i="38" l="1"/>
  <c r="Y76" i="38" s="1"/>
  <c r="AF78" i="39"/>
  <c r="Y75" i="38"/>
  <c r="E95" i="38"/>
  <c r="H104" i="39"/>
  <c r="I104" i="39" s="1"/>
  <c r="I103" i="39"/>
  <c r="AE77" i="39"/>
  <c r="AE75" i="39"/>
  <c r="AE76" i="39"/>
  <c r="AD78" i="39"/>
  <c r="AE74" i="39"/>
  <c r="E94" i="39" s="1"/>
  <c r="AF78" i="38"/>
  <c r="AE76" i="38"/>
  <c r="AD78" i="38"/>
  <c r="AE74" i="38"/>
  <c r="E94" i="38" s="1"/>
  <c r="AE77" i="38"/>
  <c r="AE75" i="38"/>
  <c r="G104" i="38"/>
  <c r="I104" i="38" s="1"/>
  <c r="I103" i="38"/>
  <c r="AF58" i="4"/>
  <c r="AC58" i="4"/>
  <c r="AA59" i="4"/>
  <c r="Z59" i="4"/>
  <c r="X60" i="4"/>
  <c r="Y60" i="4"/>
  <c r="AB60" i="4" s="1"/>
  <c r="J63" i="4" a="1"/>
  <c r="J63" i="4" s="1"/>
  <c r="S63" i="4" s="1" a="1"/>
  <c r="S63" i="4" s="1"/>
  <c r="I63" i="4" a="1"/>
  <c r="I63" i="4" s="1"/>
  <c r="R63" i="4" s="1" a="1"/>
  <c r="R63" i="4" s="1"/>
  <c r="H63" i="4" a="1"/>
  <c r="H63" i="4" s="1"/>
  <c r="Q63" i="4" s="1" a="1"/>
  <c r="Q63" i="4" s="1"/>
  <c r="F63" i="4" a="1"/>
  <c r="F63" i="4" s="1"/>
  <c r="O62" i="4"/>
  <c r="G61" i="4" a="1"/>
  <c r="G61" i="4" s="1"/>
  <c r="P61" i="4" s="1"/>
  <c r="T61" i="4" s="1"/>
  <c r="E63" i="4" a="1"/>
  <c r="E63" i="4" s="1"/>
  <c r="N62" i="4" a="1"/>
  <c r="N62" i="4" s="1"/>
  <c r="AE51" i="4"/>
  <c r="AE50" i="4"/>
  <c r="AG59" i="4"/>
  <c r="AH59" i="4" s="1"/>
  <c r="AI59" i="4" s="1"/>
  <c r="AJ59" i="4" s="1"/>
  <c r="K59" i="4"/>
  <c r="AD59" i="4" s="1"/>
  <c r="Y78" i="38" l="1"/>
  <c r="E92" i="39"/>
  <c r="E93" i="39" a="1"/>
  <c r="E93" i="39" s="1"/>
  <c r="E93" i="38" a="1"/>
  <c r="E93" i="38" s="1"/>
  <c r="E92" i="38"/>
  <c r="AF59" i="4"/>
  <c r="AC59" i="4"/>
  <c r="AA60" i="4"/>
  <c r="Z60" i="4"/>
  <c r="X61" i="4"/>
  <c r="AA61" i="4" s="1"/>
  <c r="Y61" i="4"/>
  <c r="AB61" i="4" s="1"/>
  <c r="I64" i="4" a="1"/>
  <c r="I64" i="4" s="1"/>
  <c r="R64" i="4" s="1" a="1"/>
  <c r="R64" i="4" s="1"/>
  <c r="J64" i="4" a="1"/>
  <c r="J64" i="4" s="1"/>
  <c r="S64" i="4" s="1" a="1"/>
  <c r="S64" i="4" s="1"/>
  <c r="F64" i="4" a="1"/>
  <c r="F64" i="4" s="1"/>
  <c r="O63" i="4"/>
  <c r="H64" i="4" a="1"/>
  <c r="H64" i="4" s="1"/>
  <c r="Q64" i="4" s="1" a="1"/>
  <c r="Q64" i="4" s="1"/>
  <c r="G62" i="4" a="1"/>
  <c r="G62" i="4" s="1"/>
  <c r="P62" i="4" s="1"/>
  <c r="T62" i="4" s="1"/>
  <c r="E64" i="4" a="1"/>
  <c r="E64" i="4" s="1"/>
  <c r="N63" i="4" a="1"/>
  <c r="N63" i="4" s="1"/>
  <c r="AE52" i="4"/>
  <c r="AG60" i="4"/>
  <c r="AH60" i="4" s="1"/>
  <c r="AI60" i="4" s="1"/>
  <c r="AJ60" i="4" s="1"/>
  <c r="K60" i="4"/>
  <c r="AD60" i="4" s="1"/>
  <c r="AF60" i="4" l="1"/>
  <c r="AC60" i="4"/>
  <c r="AC61" i="4"/>
  <c r="Z61" i="4"/>
  <c r="X62" i="4"/>
  <c r="Y62" i="4"/>
  <c r="AB62" i="4" s="1"/>
  <c r="J65" i="4" a="1"/>
  <c r="J65" i="4" s="1"/>
  <c r="S65" i="4" s="1" a="1"/>
  <c r="S65" i="4" s="1"/>
  <c r="I65" i="4" a="1"/>
  <c r="I65" i="4" s="1"/>
  <c r="R65" i="4" s="1" a="1"/>
  <c r="R65" i="4" s="1"/>
  <c r="H65" i="4" a="1"/>
  <c r="H65" i="4" s="1"/>
  <c r="Q65" i="4" s="1" a="1"/>
  <c r="Q65" i="4" s="1"/>
  <c r="F65" i="4" a="1"/>
  <c r="F65" i="4" s="1"/>
  <c r="O64" i="4"/>
  <c r="G63" i="4" a="1"/>
  <c r="G63" i="4" s="1"/>
  <c r="P63" i="4" s="1"/>
  <c r="T63" i="4" s="1"/>
  <c r="E65" i="4" a="1"/>
  <c r="E65" i="4" s="1"/>
  <c r="N64" i="4" a="1"/>
  <c r="N64" i="4" s="1"/>
  <c r="AG61" i="4"/>
  <c r="AH61" i="4" s="1"/>
  <c r="AI61" i="4" s="1"/>
  <c r="AJ61" i="4" s="1"/>
  <c r="K61" i="4"/>
  <c r="AF61" i="4" s="1"/>
  <c r="AD61" i="4" l="1"/>
  <c r="Z62" i="4"/>
  <c r="AA62" i="4"/>
  <c r="X63" i="4"/>
  <c r="Y63" i="4"/>
  <c r="AB63" i="4" s="1"/>
  <c r="I66" i="4" a="1"/>
  <c r="I66" i="4" s="1"/>
  <c r="R66" i="4" s="1" a="1"/>
  <c r="R66" i="4" s="1"/>
  <c r="J66" i="4" a="1"/>
  <c r="J66" i="4" s="1"/>
  <c r="S66" i="4" s="1" a="1"/>
  <c r="S66" i="4" s="1"/>
  <c r="F66" i="4" a="1"/>
  <c r="F66" i="4" s="1"/>
  <c r="O65" i="4"/>
  <c r="H66" i="4" a="1"/>
  <c r="H66" i="4" s="1"/>
  <c r="Q66" i="4" s="1" a="1"/>
  <c r="Q66" i="4" s="1"/>
  <c r="G64" i="4" a="1"/>
  <c r="G64" i="4" s="1"/>
  <c r="P64" i="4" s="1"/>
  <c r="T64" i="4" s="1"/>
  <c r="E66" i="4" a="1"/>
  <c r="E66" i="4" s="1"/>
  <c r="N65" i="4" a="1"/>
  <c r="N65" i="4" s="1"/>
  <c r="AE54" i="4"/>
  <c r="AE53" i="4"/>
  <c r="AG62" i="4"/>
  <c r="AH62" i="4" s="1"/>
  <c r="AI62" i="4" s="1"/>
  <c r="AJ62" i="4" s="1"/>
  <c r="K62" i="4"/>
  <c r="AD62" i="4" s="1"/>
  <c r="AF62" i="4" l="1"/>
  <c r="AC62" i="4"/>
  <c r="AA63" i="4"/>
  <c r="Z63" i="4"/>
  <c r="X64" i="4"/>
  <c r="AA64" i="4" s="1"/>
  <c r="Y64" i="4"/>
  <c r="AB64" i="4" s="1"/>
  <c r="J67" i="4" a="1"/>
  <c r="J67" i="4" s="1"/>
  <c r="S67" i="4" s="1" a="1"/>
  <c r="S67" i="4" s="1"/>
  <c r="I67" i="4" a="1"/>
  <c r="I67" i="4" s="1"/>
  <c r="R67" i="4" s="1" a="1"/>
  <c r="R67" i="4" s="1"/>
  <c r="H67" i="4" a="1"/>
  <c r="H67" i="4" s="1"/>
  <c r="Q67" i="4" s="1" a="1"/>
  <c r="Q67" i="4" s="1"/>
  <c r="F67" i="4" a="1"/>
  <c r="F67" i="4" s="1"/>
  <c r="O66" i="4"/>
  <c r="G65" i="4" a="1"/>
  <c r="G65" i="4" s="1"/>
  <c r="P65" i="4" s="1"/>
  <c r="T65" i="4" s="1"/>
  <c r="E67" i="4" a="1"/>
  <c r="E67" i="4" s="1"/>
  <c r="N66" i="4" a="1"/>
  <c r="N66" i="4" s="1"/>
  <c r="AE55" i="4"/>
  <c r="AG63" i="4"/>
  <c r="AH63" i="4" s="1"/>
  <c r="AI63" i="4" s="1"/>
  <c r="AJ63" i="4" s="1"/>
  <c r="K63" i="4"/>
  <c r="AD63" i="4" s="1"/>
  <c r="AF63" i="4" l="1"/>
  <c r="AC64" i="4"/>
  <c r="AC63" i="4"/>
  <c r="Z64" i="4"/>
  <c r="X65" i="4"/>
  <c r="Y65" i="4"/>
  <c r="AB65" i="4" s="1"/>
  <c r="I68" i="4" a="1"/>
  <c r="I68" i="4" s="1"/>
  <c r="R68" i="4" s="1" a="1"/>
  <c r="R68" i="4" s="1"/>
  <c r="J68" i="4" a="1"/>
  <c r="J68" i="4" s="1"/>
  <c r="S68" i="4" s="1" a="1"/>
  <c r="S68" i="4" s="1"/>
  <c r="F68" i="4" a="1"/>
  <c r="F68" i="4" s="1"/>
  <c r="O67" i="4"/>
  <c r="H68" i="4" a="1"/>
  <c r="H68" i="4" s="1"/>
  <c r="Q68" i="4" s="1" a="1"/>
  <c r="Q68" i="4" s="1"/>
  <c r="G66" i="4" a="1"/>
  <c r="G66" i="4" s="1"/>
  <c r="P66" i="4" s="1"/>
  <c r="T66" i="4" s="1"/>
  <c r="E68" i="4" a="1"/>
  <c r="E68" i="4" s="1"/>
  <c r="N67" i="4" a="1"/>
  <c r="N67" i="4" s="1"/>
  <c r="AE56" i="4"/>
  <c r="AG64" i="4"/>
  <c r="AH64" i="4" s="1"/>
  <c r="AI64" i="4" s="1"/>
  <c r="AJ64" i="4" s="1"/>
  <c r="K64" i="4"/>
  <c r="AD64" i="4" s="1"/>
  <c r="AF64" i="4" l="1"/>
  <c r="AA65" i="4"/>
  <c r="Z65" i="4"/>
  <c r="X66" i="4"/>
  <c r="Y66" i="4"/>
  <c r="AB66" i="4" s="1"/>
  <c r="J69" i="4" a="1"/>
  <c r="J69" i="4" s="1"/>
  <c r="S69" i="4" s="1" a="1"/>
  <c r="S69" i="4" s="1"/>
  <c r="I69" i="4" a="1"/>
  <c r="I69" i="4" s="1"/>
  <c r="R69" i="4" s="1" a="1"/>
  <c r="R69" i="4" s="1"/>
  <c r="H69" i="4" a="1"/>
  <c r="H69" i="4" s="1"/>
  <c r="Q69" i="4" s="1" a="1"/>
  <c r="Q69" i="4" s="1"/>
  <c r="F69" i="4" a="1"/>
  <c r="F69" i="4" s="1"/>
  <c r="O68" i="4"/>
  <c r="G67" i="4" a="1"/>
  <c r="G67" i="4" s="1"/>
  <c r="P67" i="4" s="1"/>
  <c r="T67" i="4" s="1"/>
  <c r="E69" i="4" a="1"/>
  <c r="E69" i="4" s="1"/>
  <c r="N68" i="4" a="1"/>
  <c r="N68" i="4" s="1"/>
  <c r="AE57" i="4"/>
  <c r="AG65" i="4"/>
  <c r="AH65" i="4" s="1"/>
  <c r="AI65" i="4" s="1"/>
  <c r="AJ65" i="4" s="1"/>
  <c r="K65" i="4"/>
  <c r="AD65" i="4" s="1"/>
  <c r="AF65" i="4" l="1"/>
  <c r="AC65" i="4"/>
  <c r="Z66" i="4"/>
  <c r="AA66" i="4"/>
  <c r="X67" i="4"/>
  <c r="AA67" i="4" s="1"/>
  <c r="Y67" i="4"/>
  <c r="AB67" i="4" s="1"/>
  <c r="I70" i="4" a="1"/>
  <c r="I70" i="4" s="1"/>
  <c r="R70" i="4" s="1" a="1"/>
  <c r="R70" i="4" s="1"/>
  <c r="J70" i="4" a="1"/>
  <c r="J70" i="4" s="1"/>
  <c r="S70" i="4" s="1" a="1"/>
  <c r="S70" i="4" s="1"/>
  <c r="F70" i="4" a="1"/>
  <c r="F70" i="4" s="1"/>
  <c r="O69" i="4"/>
  <c r="H70" i="4" a="1"/>
  <c r="H70" i="4" s="1"/>
  <c r="Q70" i="4" s="1" a="1"/>
  <c r="Q70" i="4" s="1"/>
  <c r="G68" i="4" a="1"/>
  <c r="G68" i="4" s="1"/>
  <c r="P68" i="4" s="1"/>
  <c r="T68" i="4" s="1"/>
  <c r="E70" i="4" a="1"/>
  <c r="E70" i="4" s="1"/>
  <c r="N69" i="4" a="1"/>
  <c r="N69" i="4" s="1"/>
  <c r="AE58" i="4"/>
  <c r="AG66" i="4"/>
  <c r="AH66" i="4" s="1"/>
  <c r="AI66" i="4" s="1"/>
  <c r="AJ66" i="4" s="1"/>
  <c r="K66" i="4"/>
  <c r="AD66" i="4" s="1"/>
  <c r="AF66" i="4" l="1"/>
  <c r="AC67" i="4"/>
  <c r="AC66" i="4"/>
  <c r="Z67" i="4"/>
  <c r="X68" i="4"/>
  <c r="Y68" i="4"/>
  <c r="AB68" i="4" s="1"/>
  <c r="J71" i="4" a="1"/>
  <c r="J71" i="4" s="1"/>
  <c r="S71" i="4" s="1" a="1"/>
  <c r="S71" i="4" s="1"/>
  <c r="I71" i="4" a="1"/>
  <c r="I71" i="4" s="1"/>
  <c r="R71" i="4" s="1" a="1"/>
  <c r="R71" i="4" s="1"/>
  <c r="H71" i="4" a="1"/>
  <c r="H71" i="4" s="1"/>
  <c r="Q71" i="4" s="1" a="1"/>
  <c r="Q71" i="4" s="1"/>
  <c r="F71" i="4" a="1"/>
  <c r="F71" i="4" s="1"/>
  <c r="O70" i="4"/>
  <c r="G69" i="4" a="1"/>
  <c r="G69" i="4" s="1"/>
  <c r="P69" i="4" s="1"/>
  <c r="T69" i="4" s="1"/>
  <c r="E71" i="4" a="1"/>
  <c r="E71" i="4" s="1"/>
  <c r="N70" i="4" a="1"/>
  <c r="N70" i="4" s="1"/>
  <c r="AE59" i="4"/>
  <c r="AE60" i="4"/>
  <c r="AG67" i="4"/>
  <c r="AH67" i="4" s="1"/>
  <c r="AI67" i="4" s="1"/>
  <c r="AJ67" i="4" s="1"/>
  <c r="K67" i="4"/>
  <c r="AF67" i="4" s="1"/>
  <c r="AD67" i="4" l="1"/>
  <c r="AA68" i="4"/>
  <c r="Z68" i="4"/>
  <c r="X69" i="4"/>
  <c r="Y69" i="4"/>
  <c r="AB69" i="4" s="1"/>
  <c r="I72" i="4" a="1"/>
  <c r="I72" i="4" s="1"/>
  <c r="R72" i="4" s="1" a="1"/>
  <c r="R72" i="4" s="1"/>
  <c r="J72" i="4" a="1"/>
  <c r="J72" i="4" s="1"/>
  <c r="S72" i="4" s="1" a="1"/>
  <c r="S72" i="4" s="1"/>
  <c r="F72" i="4" a="1"/>
  <c r="F72" i="4" s="1"/>
  <c r="O71" i="4"/>
  <c r="H72" i="4" a="1"/>
  <c r="H72" i="4" s="1"/>
  <c r="Q72" i="4" s="1" a="1"/>
  <c r="Q72" i="4" s="1"/>
  <c r="G70" i="4" a="1"/>
  <c r="G70" i="4" s="1"/>
  <c r="P70" i="4" s="1"/>
  <c r="T70" i="4" s="1"/>
  <c r="E72" i="4" a="1"/>
  <c r="E72" i="4" s="1"/>
  <c r="N71" i="4" a="1"/>
  <c r="N71" i="4" s="1"/>
  <c r="AE61" i="4"/>
  <c r="AG68" i="4"/>
  <c r="AH68" i="4" s="1"/>
  <c r="AI68" i="4" s="1"/>
  <c r="AJ68" i="4" s="1"/>
  <c r="K68" i="4"/>
  <c r="AD68" i="4" s="1"/>
  <c r="AF68" i="4" l="1"/>
  <c r="AC68" i="4"/>
  <c r="AA69" i="4"/>
  <c r="Z69" i="4"/>
  <c r="X70" i="4"/>
  <c r="Y70" i="4"/>
  <c r="AB70" i="4" s="1"/>
  <c r="J73" i="4" a="1"/>
  <c r="J73" i="4" s="1"/>
  <c r="S73" i="4" s="1" a="1"/>
  <c r="S73" i="4" s="1"/>
  <c r="I73" i="4" a="1"/>
  <c r="I73" i="4" s="1"/>
  <c r="R73" i="4" s="1" a="1"/>
  <c r="R73" i="4" s="1"/>
  <c r="H73" i="4" a="1"/>
  <c r="H73" i="4" s="1"/>
  <c r="Q73" i="4" s="1" a="1"/>
  <c r="Q73" i="4" s="1"/>
  <c r="F73" i="4" a="1"/>
  <c r="F73" i="4" s="1"/>
  <c r="O72" i="4"/>
  <c r="G71" i="4" a="1"/>
  <c r="G71" i="4" s="1"/>
  <c r="P71" i="4" s="1"/>
  <c r="T71" i="4" s="1"/>
  <c r="E73" i="4" a="1"/>
  <c r="E73" i="4" s="1"/>
  <c r="N72" i="4" a="1"/>
  <c r="N72" i="4" s="1"/>
  <c r="AE62" i="4"/>
  <c r="AG69" i="4"/>
  <c r="AH69" i="4" s="1"/>
  <c r="AI69" i="4" s="1"/>
  <c r="AJ69" i="4" s="1"/>
  <c r="K69" i="4"/>
  <c r="AD69" i="4" s="1"/>
  <c r="AF69" i="4" l="1"/>
  <c r="AC69" i="4"/>
  <c r="AA70" i="4"/>
  <c r="Z70" i="4"/>
  <c r="X71" i="4"/>
  <c r="Z71" i="4" s="1"/>
  <c r="Y71" i="4"/>
  <c r="AB71" i="4" s="1"/>
  <c r="I74" i="4" a="1"/>
  <c r="I74" i="4" s="1"/>
  <c r="R74" i="4" s="1" a="1"/>
  <c r="R74" i="4" s="1"/>
  <c r="J74" i="4" a="1"/>
  <c r="J74" i="4" s="1"/>
  <c r="S74" i="4" s="1" a="1"/>
  <c r="S74" i="4" s="1"/>
  <c r="F74" i="4" a="1"/>
  <c r="F74" i="4" s="1"/>
  <c r="O73" i="4"/>
  <c r="H74" i="4" a="1"/>
  <c r="H74" i="4" s="1"/>
  <c r="Q74" i="4" s="1" a="1"/>
  <c r="Q74" i="4" s="1"/>
  <c r="G72" i="4" a="1"/>
  <c r="G72" i="4" s="1"/>
  <c r="P72" i="4" s="1"/>
  <c r="T72" i="4" s="1"/>
  <c r="E74" i="4" a="1"/>
  <c r="E74" i="4" s="1"/>
  <c r="E75" i="4" s="1" a="1"/>
  <c r="E75" i="4" s="1"/>
  <c r="E76" i="4" s="1" a="1"/>
  <c r="E76" i="4" s="1"/>
  <c r="N73" i="4" a="1"/>
  <c r="N73" i="4" s="1"/>
  <c r="AE63" i="4"/>
  <c r="AG70" i="4"/>
  <c r="AH70" i="4" s="1"/>
  <c r="AI70" i="4" s="1"/>
  <c r="AJ70" i="4" s="1"/>
  <c r="K70" i="4"/>
  <c r="AD70" i="4" s="1"/>
  <c r="AF70" i="4" l="1"/>
  <c r="AC70" i="4"/>
  <c r="N76" i="4" a="1"/>
  <c r="N76" i="4" s="1"/>
  <c r="E77" i="4" a="1"/>
  <c r="E77" i="4" s="1"/>
  <c r="N77" i="4" s="1" a="1"/>
  <c r="N77" i="4" s="1"/>
  <c r="AA71" i="4"/>
  <c r="X72" i="4"/>
  <c r="Y72" i="4"/>
  <c r="AB72" i="4" s="1"/>
  <c r="J75" i="4" a="1"/>
  <c r="J75" i="4" s="1"/>
  <c r="I75" i="4" a="1"/>
  <c r="I75" i="4" s="1"/>
  <c r="R75" i="4" s="1" a="1"/>
  <c r="R75" i="4" s="1"/>
  <c r="N74" i="4" a="1"/>
  <c r="N74" i="4" s="1"/>
  <c r="N75" i="4" a="1"/>
  <c r="N75" i="4" s="1"/>
  <c r="H75" i="4" a="1"/>
  <c r="H75" i="4" s="1"/>
  <c r="Q75" i="4" s="1" a="1"/>
  <c r="Q75" i="4" s="1"/>
  <c r="O74" i="4"/>
  <c r="F75" i="4" a="1"/>
  <c r="F75" i="4" s="1"/>
  <c r="G73" i="4" a="1"/>
  <c r="G73" i="4" s="1"/>
  <c r="P73" i="4" s="1"/>
  <c r="T73" i="4" s="1"/>
  <c r="AG71" i="4"/>
  <c r="AH71" i="4" s="1"/>
  <c r="AI71" i="4" s="1"/>
  <c r="AJ71" i="4" s="1"/>
  <c r="K71" i="4"/>
  <c r="AD71" i="4" s="1"/>
  <c r="J76" i="4" l="1" a="1"/>
  <c r="J76" i="4" s="1"/>
  <c r="S75" i="4" a="1"/>
  <c r="S75" i="4" s="1"/>
  <c r="AF71" i="4"/>
  <c r="AC71" i="4"/>
  <c r="H76" i="4" a="1"/>
  <c r="H76" i="4" s="1"/>
  <c r="Q76" i="4" s="1" a="1"/>
  <c r="Q76" i="4" s="1"/>
  <c r="O75" i="4"/>
  <c r="F76" i="4" a="1"/>
  <c r="F76" i="4" s="1"/>
  <c r="I76" i="4" a="1"/>
  <c r="I76" i="4" s="1"/>
  <c r="R76" i="4" s="1" a="1"/>
  <c r="R76" i="4" s="1"/>
  <c r="Z72" i="4"/>
  <c r="AA72" i="4"/>
  <c r="X73" i="4"/>
  <c r="Y73" i="4"/>
  <c r="AB73" i="4" s="1"/>
  <c r="G74" i="4" a="1"/>
  <c r="G74" i="4" s="1"/>
  <c r="AE64" i="4"/>
  <c r="AG72" i="4"/>
  <c r="AH72" i="4" s="1"/>
  <c r="AI72" i="4" s="1"/>
  <c r="AJ72" i="4" s="1"/>
  <c r="K72" i="4"/>
  <c r="AD72" i="4" s="1"/>
  <c r="J77" i="4" l="1" a="1"/>
  <c r="J77" i="4" s="1"/>
  <c r="S77" i="4" s="1" a="1"/>
  <c r="S77" i="4" s="1"/>
  <c r="S76" i="4" a="1"/>
  <c r="S76" i="4" s="1"/>
  <c r="AF72" i="4"/>
  <c r="AC72" i="4"/>
  <c r="F77" i="4" a="1"/>
  <c r="F77" i="4" s="1"/>
  <c r="O77" i="4" s="1"/>
  <c r="O76" i="4"/>
  <c r="H77" i="4" a="1"/>
  <c r="H77" i="4" s="1"/>
  <c r="Q77" i="4" s="1" a="1"/>
  <c r="Q77" i="4" s="1"/>
  <c r="I77" i="4" a="1"/>
  <c r="I77" i="4" s="1"/>
  <c r="R77" i="4" s="1" a="1"/>
  <c r="R77" i="4" s="1"/>
  <c r="AA73" i="4"/>
  <c r="Z73" i="4"/>
  <c r="P74" i="4"/>
  <c r="T74" i="4" s="1"/>
  <c r="G75" i="4" a="1"/>
  <c r="G75" i="4" s="1"/>
  <c r="AE65" i="4"/>
  <c r="AE66" i="4"/>
  <c r="AG73" i="4"/>
  <c r="AH73" i="4" s="1"/>
  <c r="AI73" i="4" s="1"/>
  <c r="AJ73" i="4" s="1"/>
  <c r="K73" i="4"/>
  <c r="AD73" i="4" s="1"/>
  <c r="AF73" i="4" l="1"/>
  <c r="AC73" i="4"/>
  <c r="P75" i="4"/>
  <c r="T75" i="4" s="1"/>
  <c r="Y75" i="4" s="1"/>
  <c r="AB75" i="4" s="1"/>
  <c r="G76" i="4" a="1"/>
  <c r="G76" i="4" s="1"/>
  <c r="X74" i="4"/>
  <c r="Z74" i="4" s="1"/>
  <c r="Y74" i="4"/>
  <c r="AB74" i="4" s="1"/>
  <c r="AE67" i="4"/>
  <c r="AG74" i="4"/>
  <c r="AH74" i="4" s="1"/>
  <c r="AI74" i="4" s="1"/>
  <c r="AJ74" i="4" s="1"/>
  <c r="K74" i="4"/>
  <c r="AD74" i="4" l="1"/>
  <c r="E103" i="4" a="1"/>
  <c r="E103" i="4" s="1"/>
  <c r="F103" i="4"/>
  <c r="E88" i="4"/>
  <c r="G103" i="4"/>
  <c r="H103" i="4"/>
  <c r="X75" i="4"/>
  <c r="AA75" i="4" s="1"/>
  <c r="P76" i="4"/>
  <c r="T76" i="4" s="1"/>
  <c r="G77" i="4" a="1"/>
  <c r="G77" i="4" s="1"/>
  <c r="P77" i="4" s="1"/>
  <c r="T77" i="4" s="1"/>
  <c r="AA74" i="4"/>
  <c r="AF74" i="4" s="1"/>
  <c r="AG75" i="4"/>
  <c r="AH75" i="4" s="1"/>
  <c r="K75" i="4"/>
  <c r="E101" i="4" l="1" a="1"/>
  <c r="E101" i="4" s="1"/>
  <c r="F101" i="4"/>
  <c r="F104" i="4" s="1"/>
  <c r="I103" i="4"/>
  <c r="G101" i="4"/>
  <c r="G104" i="4" s="1"/>
  <c r="H101" i="4"/>
  <c r="Z75" i="4"/>
  <c r="AI75" i="4"/>
  <c r="AJ75" i="4" s="1"/>
  <c r="AI76" i="4"/>
  <c r="AJ76" i="4" s="1"/>
  <c r="AF75" i="4"/>
  <c r="AC74" i="4"/>
  <c r="AC75" i="4"/>
  <c r="Y76" i="4"/>
  <c r="X76" i="4"/>
  <c r="E95" i="4"/>
  <c r="Y77" i="4"/>
  <c r="X77" i="4"/>
  <c r="K78" i="4"/>
  <c r="AE68" i="4"/>
  <c r="E104" i="4" l="1"/>
  <c r="I101" i="4"/>
  <c r="AE75" i="4"/>
  <c r="Z77" i="4"/>
  <c r="AA77" i="4"/>
  <c r="Y78" i="4"/>
  <c r="AA76" i="4"/>
  <c r="Z76" i="4"/>
  <c r="AE69" i="4"/>
  <c r="AE70" i="4"/>
  <c r="E86" i="4" l="1"/>
  <c r="AB78" i="4"/>
  <c r="H104" i="4" s="1"/>
  <c r="I104" i="4" s="1"/>
  <c r="E85" i="4" a="1"/>
  <c r="E85" i="4" s="1"/>
  <c r="E84" i="4" a="1"/>
  <c r="E84" i="4" s="1"/>
  <c r="AC76" i="4"/>
  <c r="AC77" i="4"/>
  <c r="AE76" i="4"/>
  <c r="AA78" i="4"/>
  <c r="AE77" i="4" l="1"/>
  <c r="AD78" i="4"/>
  <c r="AF78" i="4"/>
  <c r="AE71" i="4"/>
  <c r="AE72" i="4" l="1"/>
  <c r="AE73" i="4" l="1"/>
  <c r="E89" i="4" l="1"/>
  <c r="AE74" i="4"/>
  <c r="E92" i="4" s="1"/>
  <c r="E93" i="4" l="1" a="1"/>
  <c r="E93" i="4" s="1"/>
  <c r="E87" i="4"/>
  <c r="E94" i="4"/>
  <c r="W7" i="4" l="1"/>
  <c r="O27" i="4" s="1" a="1"/>
  <c r="O27" i="4" s="1"/>
  <c r="P27" i="4" s="1"/>
  <c r="M7" i="32"/>
  <c r="O37" i="4" a="1"/>
  <c r="O37" i="4" s="1"/>
  <c r="P37" i="4" s="1"/>
  <c r="O32" i="4" a="1"/>
  <c r="O32" i="4" s="1"/>
  <c r="O29" i="4" a="1"/>
  <c r="O29" i="4" s="1"/>
  <c r="P29" i="4" s="1"/>
  <c r="O39" i="4" a="1"/>
  <c r="O39" i="4" s="1"/>
  <c r="P39" i="4" s="1"/>
  <c r="O23" i="4" a="1"/>
  <c r="O23" i="4" s="1"/>
  <c r="O33" i="4" a="1"/>
  <c r="O33" i="4" s="1"/>
  <c r="P33" i="4" s="1"/>
  <c r="O19" i="4" a="1"/>
  <c r="O19" i="4" s="1"/>
  <c r="O28" i="4" a="1"/>
  <c r="O28" i="4" s="1"/>
  <c r="O21" i="4" a="1"/>
  <c r="O21" i="4" s="1"/>
  <c r="P21" i="4" s="1"/>
  <c r="O22" i="4" a="1"/>
  <c r="O22" i="4" s="1"/>
  <c r="P22" i="4" s="1"/>
  <c r="O31" i="4" a="1"/>
  <c r="O31" i="4" s="1"/>
  <c r="P31" i="4" s="1"/>
  <c r="O38" i="4" a="1"/>
  <c r="O38" i="4" s="1"/>
  <c r="P38" i="4" s="1"/>
  <c r="O30" i="4" a="1"/>
  <c r="O30" i="4" s="1"/>
  <c r="P30" i="4" s="1"/>
  <c r="O40" i="4" a="1"/>
  <c r="O40" i="4" s="1"/>
  <c r="P40" i="4" s="1"/>
  <c r="O24" i="4" l="1" a="1"/>
  <c r="O24" i="4" s="1"/>
  <c r="P24" i="4" s="1"/>
  <c r="O26" i="4" a="1"/>
  <c r="O26" i="4" s="1"/>
  <c r="P26" i="4" s="1"/>
  <c r="O36" i="4" a="1"/>
  <c r="O36" i="4" s="1"/>
  <c r="P36" i="4" s="1"/>
  <c r="O42" i="4" a="1"/>
  <c r="O42" i="4" s="1"/>
  <c r="P42" i="4" s="1"/>
  <c r="O34" i="4" a="1"/>
  <c r="O34" i="4" s="1"/>
  <c r="P34" i="4" s="1"/>
  <c r="O41" i="4" a="1"/>
  <c r="O41" i="4" s="1"/>
  <c r="P41" i="4" s="1"/>
  <c r="O20" i="4" a="1"/>
  <c r="O20" i="4" s="1"/>
  <c r="P20" i="4" s="1"/>
  <c r="O25" i="4" a="1"/>
  <c r="O25" i="4" s="1"/>
  <c r="P25" i="4" s="1"/>
  <c r="O35" i="4" a="1"/>
  <c r="O35" i="4" s="1"/>
  <c r="P35" i="4" s="1"/>
  <c r="O34" i="38" a="1"/>
  <c r="O34" i="38" s="1"/>
  <c r="O31" i="38" a="1"/>
  <c r="O31" i="38" s="1"/>
  <c r="P31" i="38" s="1"/>
  <c r="O21" i="38" a="1"/>
  <c r="O21" i="38" s="1"/>
  <c r="P21" i="38" s="1"/>
  <c r="O38" i="38" a="1"/>
  <c r="O38" i="38" s="1"/>
  <c r="P38" i="38" s="1"/>
  <c r="O26" i="38" a="1"/>
  <c r="O26" i="38" s="1"/>
  <c r="P26" i="38" s="1"/>
  <c r="O30" i="38" a="1"/>
  <c r="O30" i="38" s="1"/>
  <c r="P30" i="38" s="1"/>
  <c r="O35" i="38" a="1"/>
  <c r="O35" i="38" s="1"/>
  <c r="P35" i="38" s="1"/>
  <c r="O33" i="38" a="1"/>
  <c r="O33" i="38" s="1"/>
  <c r="P33" i="38" s="1"/>
  <c r="O36" i="38" a="1"/>
  <c r="O36" i="38" s="1"/>
  <c r="P36" i="38" s="1"/>
  <c r="O19" i="38" a="1"/>
  <c r="O19" i="38" s="1"/>
  <c r="O29" i="38" a="1"/>
  <c r="O29" i="38" s="1"/>
  <c r="P29" i="38" s="1"/>
  <c r="O39" i="38" a="1"/>
  <c r="O39" i="38" s="1"/>
  <c r="P39" i="38" s="1"/>
  <c r="O40" i="38" a="1"/>
  <c r="O40" i="38" s="1"/>
  <c r="P40" i="38" s="1"/>
  <c r="O24" i="38" a="1"/>
  <c r="O24" i="38" s="1"/>
  <c r="P24" i="38" s="1"/>
  <c r="O28" i="38" a="1"/>
  <c r="O28" i="38" s="1"/>
  <c r="O22" i="38" a="1"/>
  <c r="O22" i="38" s="1"/>
  <c r="P22" i="38" s="1"/>
  <c r="O41" i="38" a="1"/>
  <c r="O41" i="38" s="1"/>
  <c r="P41" i="38" s="1"/>
  <c r="O25" i="38" a="1"/>
  <c r="O25" i="38" s="1"/>
  <c r="P25" i="38" s="1"/>
  <c r="O20" i="38" a="1"/>
  <c r="O20" i="38" s="1"/>
  <c r="P20" i="38" s="1"/>
  <c r="O23" i="38" a="1"/>
  <c r="O23" i="38" s="1"/>
  <c r="O32" i="38" a="1"/>
  <c r="O32" i="38" s="1"/>
  <c r="O27" i="38" a="1"/>
  <c r="O27" i="38" s="1"/>
  <c r="P27" i="38" s="1"/>
  <c r="O37" i="38" a="1"/>
  <c r="O37" i="38" s="1"/>
  <c r="P37" i="38" s="1"/>
  <c r="Y21" i="4"/>
  <c r="Z21" i="4" s="1"/>
  <c r="P28" i="4"/>
  <c r="P32" i="4"/>
  <c r="Y22" i="4"/>
  <c r="Z22" i="4" s="1"/>
  <c r="P19" i="4"/>
  <c r="Y19" i="4"/>
  <c r="Z19" i="4" s="1"/>
  <c r="P23" i="4"/>
  <c r="Y20" i="4"/>
  <c r="Z20" i="4" s="1"/>
  <c r="P34" i="38" l="1"/>
  <c r="Y23" i="38"/>
  <c r="Z23" i="38" s="1"/>
  <c r="P28" i="38"/>
  <c r="Y21" i="38"/>
  <c r="Z21" i="38" s="1"/>
  <c r="P19" i="38"/>
  <c r="Y19" i="38"/>
  <c r="Z19" i="38" s="1"/>
  <c r="P32" i="38"/>
  <c r="Y22" i="38"/>
  <c r="Z22" i="38" s="1"/>
  <c r="Y20" i="38"/>
  <c r="Z20" i="38" s="1"/>
  <c r="P23"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zhen ren</author>
  </authors>
  <commentList>
    <comment ref="J6" authorId="0" shapeId="0" xr:uid="{58801E39-23E4-4F39-90F5-4E282947BD75}">
      <text>
        <r>
          <rPr>
            <b/>
            <sz val="10"/>
            <color indexed="81"/>
            <rFont val="Arial"/>
            <family val="2"/>
            <scheme val="minor"/>
          </rPr>
          <t>This tool requires district steam energy inputs in the unit of thousand pounds.
For Con Edison bills, input the steam usage value before "Mlbs."
For example, if the ConEd bill states "100 Mlbs," enter "100" here.
For other service providers such as ENERGY STAR Portfolio Manager, please enter usage in kLbs.
For example, if the bill states "100 kLbs", enter 100 here.</t>
        </r>
      </text>
    </comment>
    <comment ref="F18" authorId="0" shapeId="0" xr:uid="{E23A1A90-ADC0-4629-868A-9890D6183A0C}">
      <text>
        <r>
          <rPr>
            <b/>
            <sz val="10"/>
            <color indexed="81"/>
            <rFont val="Arial"/>
            <family val="2"/>
            <scheme val="minor"/>
          </rPr>
          <t xml:space="preserve">NYSERDA and local utilities offer a range of financial and technical support for energy projects. </t>
        </r>
        <r>
          <rPr>
            <sz val="10"/>
            <color indexed="81"/>
            <rFont val="Arial"/>
            <family val="2"/>
            <scheme val="minor"/>
          </rPr>
          <t>Check out the link below to learn more:
https://www.nyserda.ny.gov/All-Programs/Home-Energy-Efficiency-Upgrades</t>
        </r>
      </text>
    </comment>
    <comment ref="I18" authorId="0" shapeId="0" xr:uid="{027DEB75-4F31-4A1C-AC3A-6DD399A9B576}">
      <text>
        <r>
          <rPr>
            <b/>
            <sz val="10"/>
            <color indexed="81"/>
            <rFont val="Arial"/>
            <family val="2"/>
            <scheme val="minor"/>
          </rPr>
          <t>This tool requires district steam energy inputs in the unit of thousand pounds.
For Con Edison bills, input the steam usage value before "Mlbs."
For example, if the ConEd bill states "100 Mlbs," enter "100" here.
For other service providers such as ENERGY STAR Portfolio Manager, please enter usage in kLbs.
For example, if the bill states "100 kLbs", enter 100 here.</t>
        </r>
      </text>
    </comment>
    <comment ref="N18" authorId="0" shapeId="0" xr:uid="{70A9BB31-47AE-4451-906A-956A66211C22}">
      <text>
        <r>
          <rPr>
            <b/>
            <sz val="10"/>
            <color indexed="81"/>
            <rFont val="Arial"/>
            <family val="2"/>
            <scheme val="minor"/>
          </rPr>
          <t>Input utility savings from audit reports, if available. If utility savings are not available or reliable, input the default utility savings from column N.</t>
        </r>
      </text>
    </comment>
    <comment ref="P18" authorId="0" shapeId="0" xr:uid="{5BEC943E-5003-40DF-ADBA-273E02C18138}">
      <text>
        <r>
          <rPr>
            <sz val="10"/>
            <color indexed="81"/>
            <rFont val="Arial"/>
            <family val="2"/>
            <scheme val="minor"/>
          </rPr>
          <t xml:space="preserve">For info only. This is a calculated field that accounts for energy savings and incentives only. The payback could be shorter after including LL97 avoided penalties.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zhen ren</author>
  </authors>
  <commentList>
    <comment ref="J6" authorId="0" shapeId="0" xr:uid="{8A963D0F-AB0F-4C68-BD49-F607EEC7EDA2}">
      <text>
        <r>
          <rPr>
            <b/>
            <sz val="10"/>
            <color indexed="81"/>
            <rFont val="Arial"/>
            <family val="2"/>
            <scheme val="minor"/>
          </rPr>
          <t>This tool requires district steam energy inputs in the unit of thousand pounds.
For Con Edison bills, input the steam usage value before "Mlbs."
For example, if the ConEd bill states "100 Mlbs," enter "100" here.
For other service providers such as ENERGY STAR Portfolio Manager, please enter usage in kLbs.
For example, if the bill states "100 kLbs", enter 100 here.</t>
        </r>
      </text>
    </comment>
    <comment ref="F18" authorId="0" shapeId="0" xr:uid="{B42EFB36-0070-4D45-A135-2D7E54C988B6}">
      <text>
        <r>
          <rPr>
            <b/>
            <sz val="10"/>
            <color indexed="81"/>
            <rFont val="Arial"/>
            <family val="2"/>
            <scheme val="minor"/>
          </rPr>
          <t xml:space="preserve">NYSERDA and local utilities offer a range of financial and technical support for energy projects. </t>
        </r>
        <r>
          <rPr>
            <sz val="10"/>
            <color indexed="81"/>
            <rFont val="Arial"/>
            <family val="2"/>
            <scheme val="minor"/>
          </rPr>
          <t>Check out the link below to learn more:
https://www.nyserda.ny.gov/All-Programs/Home-Energy-Efficiency-Upgrades</t>
        </r>
      </text>
    </comment>
    <comment ref="I18" authorId="0" shapeId="0" xr:uid="{60B80073-8020-4300-BA8D-FE5B769C1293}">
      <text>
        <r>
          <rPr>
            <b/>
            <sz val="10"/>
            <color indexed="81"/>
            <rFont val="Arial"/>
            <family val="2"/>
            <scheme val="minor"/>
          </rPr>
          <t>This tool requires district steam energy inputs in the unit of thousand pounds.
For Con Edison bills, input the steam usage value before "Mlbs."
For example, if the ConEd bill states "100 Mlbs," enter "100" here.
For other service providers such as ENERGY STAR Portfolio Manager, please enter usage in kLbs.
For example, if the bill states "100 kLbs", enter 100 here.</t>
        </r>
      </text>
    </comment>
    <comment ref="N18" authorId="0" shapeId="0" xr:uid="{D0AAFFE4-F5E8-4F17-872F-0E4B0C14A30A}">
      <text>
        <r>
          <rPr>
            <b/>
            <sz val="10"/>
            <color indexed="81"/>
            <rFont val="Arial"/>
            <family val="2"/>
            <scheme val="minor"/>
          </rPr>
          <t>Input utility savings from audit reports, if available. If utility savings are not available or reliable, input the default utility savings from column N.</t>
        </r>
      </text>
    </comment>
    <comment ref="P18" authorId="0" shapeId="0" xr:uid="{D0AEDD7D-6DD6-4CCB-911F-7ADB9D26D011}">
      <text>
        <r>
          <rPr>
            <sz val="10"/>
            <color indexed="81"/>
            <rFont val="Arial"/>
            <family val="2"/>
            <scheme val="minor"/>
          </rPr>
          <t xml:space="preserve">For info only. This is a calculated field that accounts for energy savings and incentives only. The payback could be shorter after including LL97 avoided penalties.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zhen ren</author>
  </authors>
  <commentList>
    <comment ref="J6" authorId="0" shapeId="0" xr:uid="{61C89492-0866-4624-9ED2-70C880E015A1}">
      <text>
        <r>
          <rPr>
            <b/>
            <sz val="10"/>
            <color indexed="81"/>
            <rFont val="Arial"/>
            <family val="2"/>
            <scheme val="minor"/>
          </rPr>
          <t>This tool requires district steam energy inputs in the unit of thousand pounds.
For Con Edison bills, input the steam usage value before "Mlbs."
For example, if the ConEd bill states "100 Mlbs," enter "100" here.
For other service providers such as ENERGY STAR Portfolio Manager, please enter usage in kLbs.
For example, if the bill states "100 kLbs", enter 100 here.</t>
        </r>
      </text>
    </comment>
    <comment ref="F18" authorId="0" shapeId="0" xr:uid="{82A1C5DF-B587-4710-BE44-1AA54BB4BA29}">
      <text>
        <r>
          <rPr>
            <b/>
            <sz val="10"/>
            <color indexed="81"/>
            <rFont val="Arial"/>
            <family val="2"/>
            <scheme val="minor"/>
          </rPr>
          <t xml:space="preserve">NYSERDA and local utilities offer a range of financial and technical support for energy projects. </t>
        </r>
        <r>
          <rPr>
            <sz val="10"/>
            <color indexed="81"/>
            <rFont val="Arial"/>
            <family val="2"/>
            <scheme val="minor"/>
          </rPr>
          <t>Check out the link below to learn more:
https://www.nyserda.ny.gov/All-Programs/Home-Energy-Efficiency-Upgrades</t>
        </r>
      </text>
    </comment>
    <comment ref="I18" authorId="0" shapeId="0" xr:uid="{DB9CBBD8-15B2-4C0C-BFC0-7E7C2530228E}">
      <text>
        <r>
          <rPr>
            <b/>
            <sz val="10"/>
            <color indexed="81"/>
            <rFont val="Arial"/>
            <family val="2"/>
            <scheme val="minor"/>
          </rPr>
          <t>This tool requires district steam energy inputs in the unit of thousand pounds.
For Con Edison bills, input the steam usage value before "Mlbs."
For example, if the ConEd bill states "100 Mlbs," enter "100" here.
For other service providers such as ENERGY STAR Portfolio Manager, please enter usage in kLbs.
For example, if the bill states "100 kLbs", enter 100 here.</t>
        </r>
      </text>
    </comment>
    <comment ref="N18" authorId="0" shapeId="0" xr:uid="{4AFF137A-193E-4148-844F-4CE461837EB5}">
      <text>
        <r>
          <rPr>
            <b/>
            <sz val="10"/>
            <color indexed="81"/>
            <rFont val="Arial"/>
            <family val="2"/>
            <scheme val="minor"/>
          </rPr>
          <t>Input utility savings from audit reports, if available. If utility savings are not available or reliable, input the default utility savings from column N.</t>
        </r>
      </text>
    </comment>
    <comment ref="P18" authorId="0" shapeId="0" xr:uid="{2171E6FD-C624-43BC-AB2B-1FC2D68DDF85}">
      <text>
        <r>
          <rPr>
            <sz val="10"/>
            <color indexed="81"/>
            <rFont val="Arial"/>
            <family val="2"/>
            <scheme val="minor"/>
          </rPr>
          <t xml:space="preserve">For info only. This is a calculated field that accounts for energy savings and incentives only. The payback could be shorter after including LL97 avoided penalties.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tc={EAB3799C-74FE-4867-9EAA-F556CEFFA7A7}</author>
    <author>tc={B06D03FC-8BA9-4484-AFAB-10D0F40111C9}</author>
  </authors>
  <commentList>
    <comment ref="M5" authorId="0" shapeId="0" xr:uid="{EAB3799C-74FE-4867-9EAA-F556CEFFA7A7}">
      <text>
        <t>[Threaded comment]
Your version of Excel allows you to read this threaded comment; however, any edits to it will get removed if the file is opened in a newer version of Excel. Learn more: https://go.microsoft.com/fwlink/?linkid=870924
Comment:
    Please lock all cells in this tab!!!</t>
      </text>
    </comment>
    <comment ref="N5" authorId="1" shapeId="0" xr:uid="{B06D03FC-8BA9-4484-AFAB-10D0F40111C9}">
      <text>
        <t>[Threaded comment]
Your version of Excel allows you to read this threaded comment; however, any edits to it will get removed if the file is opened in a newer version of Excel. Learn more: https://go.microsoft.com/fwlink/?linkid=870924
Comment:
    Please lock all cells in this tab</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600665E-1437-4376-BF14-37FB1948544E}" keepAlive="1" name="Query - List_BldgSelected" description="Connection to the 'List_BldgSelected' query in the workbook." type="5" refreshedVersion="0" saveData="1">
    <dbPr connection="Provider=Microsoft.Mashup.OleDb.1;Data Source=$Workbook$;Location=List_BldgSelected;Extended Properties=&quot;&quot;" command="SELECT * FROM [List_BldgSelected]"/>
  </connection>
  <connection id="2" xr16:uid="{7BD4882F-8D37-4376-8CC0-E45F0387C115}" keepAlive="1" name="Query - Portfolio_ECMs" description="Connection to the 'Portfolio_ECMs' query in the workbook." type="5" refreshedVersion="8" saveData="1">
    <dbPr connection="Provider=Microsoft.Mashup.OleDb.1;Data Source=$Workbook$;Location=Portfolio_ECMs;Extended Properties=&quot;&quot;" command="SELECT * FROM [Portfolio_ECMs]"/>
  </connection>
  <connection id="3" xr16:uid="{35E95A23-68DC-48E6-A541-046C5573B5C0}" keepAlive="1" name="Query - Portfolio_GroupByYr" description="Connection to the 'Portfolio_GroupByYr' query in the workbook." type="5" refreshedVersion="8" saveData="1">
    <dbPr connection="Provider=Microsoft.Mashup.OleDb.1;Data Source=$Workbook$;Location=Portfolio_GroupByYr;Extended Properties=&quot;&quot;" command="SELECT * FROM [Portfolio_GroupByYr]"/>
  </connection>
  <connection id="4" xr16:uid="{1C72E749-AF14-4FAC-A1CE-18D3DD3808A8}" keepAlive="1" name="Query - Portfolio_SelectedBldgAgg" description="Connection to the 'Portfolio_SelectedBldgAgg' query in the workbook." type="5" refreshedVersion="8" saveData="1">
    <dbPr connection="Provider=Microsoft.Mashup.OleDb.1;Data Source=$Workbook$;Location=Portfolio_SelectedBldgAgg;Extended Properties=&quot;&quot;" command="SELECT * FROM [Portfolio_SelectedBldgAgg]"/>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<sst xmlns="http://schemas.openxmlformats.org/spreadsheetml/2006/main" count="928" uniqueCount="370">
  <si>
    <t>Building Inputs</t>
  </si>
  <si>
    <t>HPD Project Scope &amp; Cost Analysis Section</t>
  </si>
  <si>
    <t>Cell Color Keys</t>
  </si>
  <si>
    <t>Direct Inputs</t>
  </si>
  <si>
    <t>Inputs (Dropdown)</t>
  </si>
  <si>
    <t>Do Not Change</t>
  </si>
  <si>
    <t>Input Building Areas</t>
  </si>
  <si>
    <t>Default Utility Rates</t>
  </si>
  <si>
    <t>Project &amp; Scope Scenario Information</t>
  </si>
  <si>
    <t>Change Only with Careful Consideration</t>
  </si>
  <si>
    <t>Space Type</t>
  </si>
  <si>
    <t>Sq.Ft.</t>
  </si>
  <si>
    <r>
      <t xml:space="preserve">Annual Electricity 
</t>
    </r>
    <r>
      <rPr>
        <sz val="11"/>
        <color theme="1"/>
        <rFont val="Aptos"/>
        <family val="2"/>
      </rPr>
      <t>(kWh)</t>
    </r>
  </si>
  <si>
    <r>
      <t xml:space="preserve">Annual Natural Gas  
</t>
    </r>
    <r>
      <rPr>
        <sz val="11"/>
        <color theme="1"/>
        <rFont val="Aptos"/>
        <family val="2"/>
      </rPr>
      <t>(therm)</t>
    </r>
  </si>
  <si>
    <r>
      <t xml:space="preserve">Annual District Steam  </t>
    </r>
    <r>
      <rPr>
        <sz val="10"/>
        <color theme="1"/>
        <rFont val="Aptos"/>
        <family val="2"/>
      </rPr>
      <t xml:space="preserve">
(Mlb for ConEd, kLb for others)</t>
    </r>
  </si>
  <si>
    <t>Annual Fuel Oil#2
(Gallon)</t>
  </si>
  <si>
    <t>Annual Other Fuel 1
(kBtu)</t>
  </si>
  <si>
    <t>Annual Other Fuel 2
(kBtu)</t>
  </si>
  <si>
    <t>Total Emissions (tCO2e)</t>
  </si>
  <si>
    <t>Utility Type</t>
  </si>
  <si>
    <r>
      <t xml:space="preserve">Utility rates recommended by HPD 
</t>
    </r>
    <r>
      <rPr>
        <i/>
        <sz val="11"/>
        <color theme="1"/>
        <rFont val="Aptos"/>
        <family val="2"/>
      </rPr>
      <t>(2025 defaults)</t>
    </r>
  </si>
  <si>
    <r>
      <t xml:space="preserve">Scope Narrative 
</t>
    </r>
    <r>
      <rPr>
        <i/>
        <sz val="11"/>
        <color theme="1"/>
        <rFont val="Aptos"/>
        <family val="2"/>
      </rPr>
      <t>(Use cell below to describe the proposed scope scenario)</t>
    </r>
  </si>
  <si>
    <t>Instructions</t>
  </si>
  <si>
    <t>Multifamily Housing</t>
  </si>
  <si>
    <t>123 Main Street, Scope Alt 1</t>
  </si>
  <si>
    <t>Nat Grid</t>
  </si>
  <si>
    <t>Self-Storage Facility</t>
  </si>
  <si>
    <t>$1.30 for Nat Grid, $2.60 for Con Ed</t>
  </si>
  <si>
    <t>Parking</t>
  </si>
  <si>
    <t>n/a</t>
  </si>
  <si>
    <t>Food Service</t>
  </si>
  <si>
    <t>Retail Store</t>
  </si>
  <si>
    <t>Reason for overwrite if applicable:</t>
  </si>
  <si>
    <t xml:space="preserve">E.g., we use an ESCO for electricity </t>
  </si>
  <si>
    <t>Total Sq.Ft.</t>
  </si>
  <si>
    <t>Input Measures</t>
  </si>
  <si>
    <t>Measure Energy Savings</t>
  </si>
  <si>
    <t xml:space="preserve">Summary by Scope </t>
  </si>
  <si>
    <t>Scope Name</t>
  </si>
  <si>
    <t>Measure ID</t>
  </si>
  <si>
    <t>Measure Name</t>
  </si>
  <si>
    <t>Cost to Install Measures ($)</t>
  </si>
  <si>
    <t>Incentives &amp; Rebates ($)</t>
  </si>
  <si>
    <t>Annual Electricity Savings
(kWh)</t>
  </si>
  <si>
    <t>Annual Natural Gas Savings
(therm)</t>
  </si>
  <si>
    <t>Annual Fuel Oil#2 Savings
(Gallon)</t>
  </si>
  <si>
    <t>Annual Other Fuel 1 Savings
(kBtu)</t>
  </si>
  <si>
    <t>Annual Other Fuel 2 Savings
(kBtu)</t>
  </si>
  <si>
    <t>Total Annual Energy Savings
(kBtu)</t>
  </si>
  <si>
    <t>Total Annual Utility Savings from Audit (for reference only)
($)</t>
  </si>
  <si>
    <t>Total Annual Utility Savings using Default Utility rates 
($)</t>
  </si>
  <si>
    <t>Simple Payback
(Yr)</t>
  </si>
  <si>
    <t>Would you like to Include this measure in the decarbonization pathway?</t>
  </si>
  <si>
    <t>When will the measure installation be complete and operational?</t>
  </si>
  <si>
    <t>Notes</t>
  </si>
  <si>
    <t>Annual Energy Savings
(kBtu)</t>
  </si>
  <si>
    <t>Annual Utility Savings
($)</t>
  </si>
  <si>
    <t>Scope 1</t>
  </si>
  <si>
    <t>R1</t>
  </si>
  <si>
    <t>Correct Modulating Burner Controls</t>
  </si>
  <si>
    <t>low-cost, quick payback</t>
  </si>
  <si>
    <t>R2</t>
  </si>
  <si>
    <t>Lower Steam Pressure</t>
  </si>
  <si>
    <t>Scope 2</t>
  </si>
  <si>
    <t>R3</t>
  </si>
  <si>
    <t>Clean, Tune and Optimize Boiler</t>
  </si>
  <si>
    <t>Scope 3</t>
  </si>
  <si>
    <t>R4</t>
  </si>
  <si>
    <t>Upgrade to LED Lighting and add Controls</t>
  </si>
  <si>
    <t>Scope 4</t>
  </si>
  <si>
    <t>R5</t>
  </si>
  <si>
    <t>Correct Malfunctioning Photocell</t>
  </si>
  <si>
    <t>E1</t>
  </si>
  <si>
    <t>Add Solar Energy System</t>
  </si>
  <si>
    <t>high utility savings</t>
  </si>
  <si>
    <t>E2</t>
  </si>
  <si>
    <t>Add Thermostatic Steam Valves</t>
  </si>
  <si>
    <t>E3</t>
  </si>
  <si>
    <t>Boiler Energy Management System</t>
  </si>
  <si>
    <t>E4</t>
  </si>
  <si>
    <t>Caulk and Weather Strip</t>
  </si>
  <si>
    <t>E5</t>
  </si>
  <si>
    <t>Energy Star Kitchen Appliances</t>
  </si>
  <si>
    <t>E6</t>
  </si>
  <si>
    <t>Decentralize Hot Water Heating</t>
  </si>
  <si>
    <t>E7</t>
  </si>
  <si>
    <t>Insulate Walls</t>
  </si>
  <si>
    <t>E8</t>
  </si>
  <si>
    <t>Upgrade Roof Insulation</t>
  </si>
  <si>
    <t>E9</t>
  </si>
  <si>
    <t>Add Electric Air Source PTHPs</t>
  </si>
  <si>
    <t>electrification measure</t>
  </si>
  <si>
    <t>E10</t>
  </si>
  <si>
    <t>Add Air Source Heat Pump Water Heater</t>
  </si>
  <si>
    <t>Local Law 97 Compliance Planning Tool for NYC Coops and Condos (HPD Editon)</t>
  </si>
  <si>
    <t xml:space="preserve">About This Tool </t>
  </si>
  <si>
    <t xml:space="preserve">This tool is designed to assist building owners and stakeholders in evaluating the implementation of energy and carbon reduction projects that may help to achieve compliance with NYC Local Law 97 (LL97). </t>
  </si>
  <si>
    <t xml:space="preserve">It enables you to create a building decarbonization pathway by selecting energy or carbon reduction measures under consideration and dynamically preview the projected LL97 impacts, including compliance status and building cash flows. </t>
  </si>
  <si>
    <t xml:space="preserve">The tool was developed by Jaros, Baum &amp; Bolles Consulting Engineers, LLP (JB&amp;B). </t>
  </si>
  <si>
    <t xml:space="preserve">This tool is optimized for Microsoft Excel. It is meant to be downloaded, edited, and maintained by a building owner over time. </t>
  </si>
  <si>
    <t>For assistance using or updating the tool, please contact the Council of New York Cooperatives &amp; Condominiums at info@cnyc.coop, or poole@cnyc.coop</t>
  </si>
  <si>
    <t>For general LL97 questions, please contact the NYC Accelerator via info@accelerator.nyc.</t>
  </si>
  <si>
    <t>To formulate a decarbonization pathway for your building, enter building data manually, following the steps below. A pre-filled sample is available in the last sheet to give you a sense of the inputs needed.</t>
  </si>
  <si>
    <r>
      <t>1. Input</t>
    </r>
    <r>
      <rPr>
        <b/>
        <sz val="11"/>
        <color theme="1"/>
        <rFont val="Aptos"/>
        <family val="2"/>
      </rPr>
      <t xml:space="preserve"> building gross floor areas</t>
    </r>
    <r>
      <rPr>
        <sz val="11"/>
        <color theme="1"/>
        <rFont val="Aptos"/>
        <family val="2"/>
      </rPr>
      <t xml:space="preserve"> (GFA) and applicable </t>
    </r>
    <r>
      <rPr>
        <b/>
        <sz val="11"/>
        <color theme="1"/>
        <rFont val="Aptos"/>
        <family val="2"/>
      </rPr>
      <t>space type</t>
    </r>
    <r>
      <rPr>
        <sz val="11"/>
        <color theme="1"/>
        <rFont val="Aptos"/>
        <family val="2"/>
      </rPr>
      <t xml:space="preserve"> categorizations. You can select up to eight (8) categories in this tool. </t>
    </r>
  </si>
  <si>
    <r>
      <t xml:space="preserve">2. Input the </t>
    </r>
    <r>
      <rPr>
        <b/>
        <sz val="11"/>
        <color theme="1"/>
        <rFont val="Aptos"/>
        <family val="2"/>
      </rPr>
      <t>year</t>
    </r>
    <r>
      <rPr>
        <sz val="11"/>
        <color theme="1"/>
        <rFont val="Aptos"/>
        <family val="2"/>
      </rPr>
      <t xml:space="preserve"> and</t>
    </r>
    <r>
      <rPr>
        <b/>
        <sz val="11"/>
        <color theme="1"/>
        <rFont val="Aptos"/>
        <family val="2"/>
      </rPr>
      <t xml:space="preserve"> building utility information</t>
    </r>
    <r>
      <rPr>
        <sz val="11"/>
        <color theme="1"/>
        <rFont val="Aptos"/>
        <family val="2"/>
      </rPr>
      <t xml:space="preserve"> for all utilities entering the building. 
     Electricity, natural gas, district steam and fuel oil are common utilities for New York City; however, you can add other specialty fuel types if needed under the cells titled "Other Fuel 1 and 2".</t>
    </r>
  </si>
  <si>
    <r>
      <t xml:space="preserve">3.  Input </t>
    </r>
    <r>
      <rPr>
        <b/>
        <sz val="11"/>
        <color theme="1"/>
        <rFont val="Aptos"/>
        <family val="2"/>
      </rPr>
      <t>energy savings, cost, and incentive/rebate</t>
    </r>
    <r>
      <rPr>
        <sz val="11"/>
        <color theme="1"/>
        <rFont val="Aptos"/>
        <family val="2"/>
      </rPr>
      <t xml:space="preserve"> information </t>
    </r>
    <r>
      <rPr>
        <b/>
        <sz val="11"/>
        <color theme="1"/>
        <rFont val="Aptos"/>
        <family val="2"/>
      </rPr>
      <t>for energy or carbon reduction measures</t>
    </r>
    <r>
      <rPr>
        <sz val="11"/>
        <color theme="1"/>
        <rFont val="Aptos"/>
        <family val="2"/>
      </rPr>
      <t xml:space="preserve"> that your building is considering installing. Typically, this information can be found in Energy Auditing Reports or Vendor proposals. </t>
    </r>
  </si>
  <si>
    <r>
      <t>4.</t>
    </r>
    <r>
      <rPr>
        <b/>
        <sz val="11"/>
        <color theme="1"/>
        <rFont val="Aptos"/>
        <family val="2"/>
      </rPr>
      <t xml:space="preserve">  Select or de-select various measures </t>
    </r>
    <r>
      <rPr>
        <sz val="11"/>
        <color theme="1"/>
        <rFont val="Aptos"/>
        <family val="2"/>
      </rPr>
      <t xml:space="preserve">under consideration via </t>
    </r>
    <r>
      <rPr>
        <b/>
        <sz val="11"/>
        <color theme="1"/>
        <rFont val="Aptos"/>
        <family val="2"/>
      </rPr>
      <t>Column Q</t>
    </r>
    <r>
      <rPr>
        <sz val="11"/>
        <color theme="1"/>
        <rFont val="Aptos"/>
        <family val="2"/>
      </rPr>
      <t xml:space="preserve"> of the Calculator sheet to dynamically view how measures may affect your building's overall emissions performance. </t>
    </r>
  </si>
  <si>
    <t xml:space="preserve">5.  Scroll down to the "Projections" pane at the bottom of the tool to view key performance indicators (KPIs) associated with your selected energy or carbon reduction measures. </t>
  </si>
  <si>
    <t xml:space="preserve">Notes &amp; Clarifications </t>
  </si>
  <si>
    <t>•   This calculator is based on various assumptions and interpretation of NYC Local Law 97 – 2019. It provides only an approximation of the impact of implementing certain energy or carbon reduction measures and is intended to help guide a condo or co-op audience's understanding of how to develop and evaluate a decarbonization pathway over time. Actual results will vary, and this tool should not be relied on for specific legal or risk mitigation guidance.</t>
  </si>
  <si>
    <t>•   City agency rulemaking and enforcement practices may significantly impact the application of LL97 to individual buildings.</t>
  </si>
  <si>
    <t>•   LL97 provides several possible adjustments to the annual building emissions thresholds, including appeals based on special circumstances and critical building uses. These are not accounted for in the calculator.</t>
  </si>
  <si>
    <t xml:space="preserve">•   For years beyond 2034, this tool uses linear extrapolation to determine emissions coefficients of the electric grid and district steam systems, assuming zero emissions by 2040 and 2050, respectively. These assumptions are in alignment with published City and State grid decarbonization goals. </t>
  </si>
  <si>
    <t>•   Cash flows are calculated as the sum of measure costs, utility savings, and LL97 penalties. For simplicity and scalability, this tool does not account for price inflation, interest rates, or construction phasing factors.</t>
  </si>
  <si>
    <t>•   Out-of-pocket costs include measured capital costs and LL97 penalties.</t>
  </si>
  <si>
    <t>Glossary</t>
  </si>
  <si>
    <t>Measure: Energy or Carbon Savings Measure</t>
  </si>
  <si>
    <t>LL97: Local Law 97</t>
  </si>
  <si>
    <t>tCO2e: metric tons of Carbon Dioxide Equivalent</t>
  </si>
  <si>
    <t>Sq.Ft.: Square Footage of buildings space</t>
  </si>
  <si>
    <t>Disclaimer</t>
  </si>
  <si>
    <t>The JB&amp;B Deep Carbon Reduction group developed this tool in partnership with the Council of New York Cooperatives &amp; Condominiums (collectively, “Provider”).</t>
  </si>
  <si>
    <t>This tool does not constitute legal advice, and the Provider assumes no responsibility for any actions taken based on its contents. This tool is provided "as is" and the Provider hereby disclaims all warranties, whether express, implied, statutory, or otherwise. The Provider specifically disclaims all implied warranties of merchantability, fitness for a particular purpose, title, and non-infringement, and all warranties arising from course of dealing, usage, or trade practice. The Provider makes no warranty of any kind that the results of the use of the tool will meet any user’s or any other person's, organization’s, municipal or legal requirements, operate without interruption, achieve any intended result, be compatible or work with any software, system, or other services, or be secure, accurate, complete, free of harmful code, or error free. For specific guidance tailored to your circumstances, always consult with legal and other relevant professionals.</t>
  </si>
  <si>
    <t>Input Building Energy Usage</t>
  </si>
  <si>
    <t>Usage Year</t>
  </si>
  <si>
    <t>2021 ~ 2050 only</t>
  </si>
  <si>
    <t>Other Fuel: Input usage, then choose fuel type from dropdown list</t>
  </si>
  <si>
    <r>
      <t xml:space="preserve">Annual District Steam Savings
</t>
    </r>
    <r>
      <rPr>
        <sz val="10"/>
        <color theme="1"/>
        <rFont val="Aptos"/>
        <family val="2"/>
      </rPr>
      <t>(Mlb for ConEd, klb for others)</t>
    </r>
  </si>
  <si>
    <t>Calculations</t>
  </si>
  <si>
    <t>Electricity</t>
  </si>
  <si>
    <t>Natural Gas</t>
  </si>
  <si>
    <t>Fuel Oil #2</t>
  </si>
  <si>
    <t>District Steam</t>
  </si>
  <si>
    <t>#</t>
  </si>
  <si>
    <t>Year</t>
  </si>
  <si>
    <t>Electricity (kBtu)</t>
  </si>
  <si>
    <t>Natural Gas (kBtu)</t>
  </si>
  <si>
    <t>Fuel Oil#2 (kBtu)</t>
  </si>
  <si>
    <t>District Steam (kBtu)</t>
  </si>
  <si>
    <t>Other Fuel 1 (kBtu)</t>
  </si>
  <si>
    <t>Other Fuel 2 (kBtu)</t>
  </si>
  <si>
    <t>Measure Cost ($)</t>
  </si>
  <si>
    <t>Utility Savings ($)</t>
  </si>
  <si>
    <t>LL97</t>
  </si>
  <si>
    <t>LL97 Electricity (tCO2e)</t>
  </si>
  <si>
    <t>LL97 Natural Gas (tCO2e)</t>
  </si>
  <si>
    <t>LL97 Fuel Oil#2 (tCO2e)</t>
  </si>
  <si>
    <t>LL97 District Steam (tCO2e)</t>
  </si>
  <si>
    <t>LL97 Other Fuel 1 (tCO2e)</t>
  </si>
  <si>
    <t>LL97 Other Fuel 2 (tCO2e)</t>
  </si>
  <si>
    <t>LL97 Emissions After Measures</t>
  </si>
  <si>
    <t>LL97 Emissions Limit (tCO2e)</t>
  </si>
  <si>
    <t>LL97 Business-As-Usual Emissions</t>
  </si>
  <si>
    <t>LL97 BAU Excess Emissions</t>
  </si>
  <si>
    <t>LL97 Excess Emissions After Measures</t>
  </si>
  <si>
    <t>LL97 Emissions Reduced by Measures</t>
  </si>
  <si>
    <t>LL97 Compliance Status</t>
  </si>
  <si>
    <t>LL97 Adjusted Penalty After Measures</t>
  </si>
  <si>
    <t>LL97 Compliance Mark</t>
  </si>
  <si>
    <t>Annual Total Cash Flow ($)</t>
  </si>
  <si>
    <t>Cumulative Total Cash Flow ($)</t>
  </si>
  <si>
    <t>Annual Total Out-of-Pocket Cost ($)</t>
  </si>
  <si>
    <t>Yr</t>
  </si>
  <si>
    <t>Measure Qty</t>
  </si>
  <si>
    <t>Measure Label</t>
  </si>
  <si>
    <t>Measure Y Axis</t>
  </si>
  <si>
    <t>Base Yr</t>
  </si>
  <si>
    <t>2050 Totals</t>
  </si>
  <si>
    <t>Projections</t>
  </si>
  <si>
    <t>LL97 Compliance Outlook</t>
  </si>
  <si>
    <t>LL97 Violation Risk Year(s) by 2050:</t>
  </si>
  <si>
    <t>Final Average Annual Penalty:</t>
  </si>
  <si>
    <r>
      <t xml:space="preserve">Final Average Annual Penalty </t>
    </r>
    <r>
      <rPr>
        <i/>
        <sz val="12"/>
        <color theme="1"/>
        <rFont val="Aptos Narrow"/>
        <family val="2"/>
      </rPr>
      <t>per SqFt</t>
    </r>
    <r>
      <rPr>
        <sz val="12"/>
        <color theme="1"/>
        <rFont val="Aptos Narrow"/>
        <family val="2"/>
      </rPr>
      <t>:</t>
    </r>
  </si>
  <si>
    <t>Average Annual Penalty Reduced by Measures:</t>
  </si>
  <si>
    <r>
      <t xml:space="preserve">Average Annual Penalty Reduced by Measures </t>
    </r>
    <r>
      <rPr>
        <i/>
        <sz val="12"/>
        <color theme="1"/>
        <rFont val="Aptos Narrow"/>
        <family val="2"/>
      </rPr>
      <t>per SqFt</t>
    </r>
    <r>
      <rPr>
        <sz val="12"/>
        <color theme="1"/>
        <rFont val="Aptos Narrow"/>
        <family val="2"/>
      </rPr>
      <t>:</t>
    </r>
  </si>
  <si>
    <t>Simple Payback:</t>
  </si>
  <si>
    <t>Break-Even Yr:</t>
  </si>
  <si>
    <t>Cumulative Cash Flow by 2050:</t>
  </si>
  <si>
    <t>Carbon Neutrality Achieved:</t>
  </si>
  <si>
    <t>Cost Benefit By LL97 Phase</t>
  </si>
  <si>
    <t>Overall</t>
  </si>
  <si>
    <t>Net Savings</t>
  </si>
  <si>
    <t>such as Café, Bakery</t>
  </si>
  <si>
    <t>such as CVS</t>
  </si>
  <si>
    <t>End Yr</t>
  </si>
  <si>
    <t>Study Duration</t>
  </si>
  <si>
    <t>User Input - Calculator</t>
  </si>
  <si>
    <t>User Input - Sample 1</t>
  </si>
  <si>
    <t>User Inputs Dropdowns</t>
  </si>
  <si>
    <t>LL97 Emissions Limits by Property Type</t>
  </si>
  <si>
    <t>ESPM</t>
  </si>
  <si>
    <t>Other Fuel Type</t>
  </si>
  <si>
    <t>Property Type</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</si>
  <si>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</si>
  <si>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</si>
  <si>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</si>
  <si>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</si>
  <si>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</si>
  <si>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</si>
  <si>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</si>
  <si>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</si>
  <si>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</si>
  <si>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</si>
  <si>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</si>
  <si>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</si>
  <si>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</si>
  <si>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</si>
  <si>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</si>
  <si>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</si>
  <si>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</si>
  <si>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</si>
  <si>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</si>
  <si>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</si>
  <si>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</si>
  <si>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</si>
  <si>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</si>
  <si>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</si>
  <si>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</si>
  <si>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</si>
  <si>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</si>
  <si>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Space 1 Limit Intensity</t>
  </si>
  <si>
    <t>Space 2 Limit Intensity</t>
  </si>
  <si>
    <t>Space 3 Limit Intensity</t>
  </si>
  <si>
    <t>Space 4 Limit Intensity</t>
  </si>
  <si>
    <t>Space 5 Limit Intensity</t>
  </si>
  <si>
    <t>Space 6 Limit Intensity</t>
  </si>
  <si>
    <t>Space 7 Limit Intensity</t>
  </si>
  <si>
    <t>Space 8 Limit Intensity</t>
  </si>
  <si>
    <t>Space 1 Limit (tCO2e)</t>
  </si>
  <si>
    <t>Space 2 Limit (tCO2e)</t>
  </si>
  <si>
    <t>Space 3 Limit (tCO2e)</t>
  </si>
  <si>
    <t>Space 4 Limit (tCO2e)</t>
  </si>
  <si>
    <t>Space 5 Limit (tCO2e)</t>
  </si>
  <si>
    <t>Space 6 Limit (tCO2e)</t>
  </si>
  <si>
    <t>Space 7 Limit (tCO2e)</t>
  </si>
  <si>
    <t>Space 8 Limit (tCO2e)</t>
  </si>
  <si>
    <t>Total Limits (tCO2e)</t>
  </si>
  <si>
    <t>Biofuel</t>
  </si>
  <si>
    <t>Adult Education</t>
  </si>
  <si>
    <t>Butane</t>
  </si>
  <si>
    <t>Ambulatory Surgical Center</t>
  </si>
  <si>
    <t>Butylene</t>
  </si>
  <si>
    <t>Automobile Dealership</t>
  </si>
  <si>
    <t>Coke Oven Gas</t>
  </si>
  <si>
    <t>Bank Branch</t>
  </si>
  <si>
    <t>Diesel</t>
  </si>
  <si>
    <t>Bowling Alley</t>
  </si>
  <si>
    <t>Distillate Fuel Oil No. 1</t>
  </si>
  <si>
    <t>College/University</t>
  </si>
  <si>
    <t>Ethane</t>
  </si>
  <si>
    <t>Convenience Store without Gas Station</t>
  </si>
  <si>
    <t>Ethylene</t>
  </si>
  <si>
    <t>Courthouse</t>
  </si>
  <si>
    <t>Fuel Gas</t>
  </si>
  <si>
    <t>Data Center</t>
  </si>
  <si>
    <t>Fuel Oil #4</t>
  </si>
  <si>
    <t>Distribution Center</t>
  </si>
  <si>
    <t>Gasoline</t>
  </si>
  <si>
    <t>Enclosed Mall</t>
  </si>
  <si>
    <t>Isobutane</t>
  </si>
  <si>
    <t>Financial Office</t>
  </si>
  <si>
    <t>Isobutylene</t>
  </si>
  <si>
    <t>Fitness Center/Health Club/Gym</t>
  </si>
  <si>
    <t>Kerosene</t>
  </si>
  <si>
    <t>Food Sales</t>
  </si>
  <si>
    <t>Naphtha (˂ 401 deg F)</t>
  </si>
  <si>
    <t>Other Oil (&gt; 401 deg F)</t>
  </si>
  <si>
    <t>Hospital (General Medical &amp; Surgical)</t>
  </si>
  <si>
    <t>Pentanes Plus</t>
  </si>
  <si>
    <t>Hotel</t>
  </si>
  <si>
    <t>Propane</t>
  </si>
  <si>
    <t>K-12 School</t>
  </si>
  <si>
    <t>Propylene</t>
  </si>
  <si>
    <t>Laboratory</t>
  </si>
  <si>
    <t>Special Naphtha</t>
  </si>
  <si>
    <t>Library</t>
  </si>
  <si>
    <t>Lifestyle Center</t>
  </si>
  <si>
    <t>Mailing Center/Post Office</t>
  </si>
  <si>
    <t>Manufacturing/Industrial Plant</t>
  </si>
  <si>
    <t>Medical Office</t>
  </si>
  <si>
    <t>Movie Theater</t>
  </si>
  <si>
    <t>Museum</t>
  </si>
  <si>
    <t>Non-Refrigerated Warehouse</t>
  </si>
  <si>
    <t>Office</t>
  </si>
  <si>
    <t>Other - Education</t>
  </si>
  <si>
    <t>Other - Entertainment/Public Assembly</t>
  </si>
  <si>
    <t>Other - Lodging/Residential</t>
  </si>
  <si>
    <t>Other - Mall</t>
  </si>
  <si>
    <t>Other - Public Services</t>
  </si>
  <si>
    <t>Other - Recreation</t>
  </si>
  <si>
    <t>Other - Restaurant/Bar</t>
  </si>
  <si>
    <t>Other - Services</t>
  </si>
  <si>
    <t>Other - Specialty Hospital</t>
  </si>
  <si>
    <t>Other - Technology/Science</t>
  </si>
  <si>
    <t>Outpatient Rehabilitation/Physical Therapy</t>
  </si>
  <si>
    <t>Performing Arts</t>
  </si>
  <si>
    <t>Personal Services (Health/Beauty, Dry Cleaning</t>
  </si>
  <si>
    <t>Pre-school/Daycare</t>
  </si>
  <si>
    <t>Refrigerated Warehouse</t>
  </si>
  <si>
    <t>Repair Services (Vehicle, Shoe, Locksmith)</t>
  </si>
  <si>
    <t>Residence Hall/Dormitory</t>
  </si>
  <si>
    <t>Residential Care Facility</t>
  </si>
  <si>
    <t>Restaurant</t>
  </si>
  <si>
    <t>Senior Care Community</t>
  </si>
  <si>
    <t>Social/Meeting Hall</t>
  </si>
  <si>
    <t>Strip Mall</t>
  </si>
  <si>
    <t>Supermarket/Grocery Store</t>
  </si>
  <si>
    <t>Transportation Terminal/Station</t>
  </si>
  <si>
    <t>Urgent Care/Clinic/Other Outpatient</t>
  </si>
  <si>
    <t>Vocational School</t>
  </si>
  <si>
    <t>Wholesale Club/Supercenter</t>
  </si>
  <si>
    <t>Worship Facility</t>
  </si>
  <si>
    <t>Utility Decarbonization Scenario</t>
  </si>
  <si>
    <t>Utility Default Price</t>
  </si>
  <si>
    <t>Fuel Type</t>
  </si>
  <si>
    <t>Scenario Name</t>
  </si>
  <si>
    <t>Carbon Intensity (tCO2e/kBtu)</t>
  </si>
  <si>
    <t>Unit</t>
  </si>
  <si>
    <t>User Inputs from Main Tab</t>
  </si>
  <si>
    <t>HPD Default Rate</t>
  </si>
  <si>
    <t>Comments</t>
  </si>
  <si>
    <t>Fuel Territory</t>
  </si>
  <si>
    <t>LL97 Grid Coefficient</t>
  </si>
  <si>
    <t>2024 LL97 Grid Electricity Coefficient</t>
  </si>
  <si>
    <t>$/kWh</t>
  </si>
  <si>
    <t>REDi standard, 2025</t>
  </si>
  <si>
    <t>Con Ed</t>
  </si>
  <si>
    <t>$/therm</t>
  </si>
  <si>
    <t>$/Mlb (ConEd) or $/klb (others)</t>
  </si>
  <si>
    <t>Per JB&amp;B</t>
  </si>
  <si>
    <t>Other</t>
  </si>
  <si>
    <t>$/gallon</t>
  </si>
  <si>
    <t>$/kBtu</t>
  </si>
  <si>
    <t>Estimated</t>
  </si>
  <si>
    <t>25% reduction from 2030</t>
  </si>
  <si>
    <t>50% reduction</t>
  </si>
  <si>
    <t>LL97 Steam Coefficient</t>
  </si>
  <si>
    <t>2024 LL97 Steam Coefficient</t>
  </si>
  <si>
    <r>
      <t xml:space="preserve">Project Name/ Scope Name
</t>
    </r>
    <r>
      <rPr>
        <i/>
        <sz val="10"/>
        <color theme="1"/>
        <rFont val="Aptos"/>
        <family val="2"/>
      </rPr>
      <t>(e.g. 123 Main/ Scope Alt 1)</t>
    </r>
  </si>
  <si>
    <r>
      <t xml:space="preserve">Gas Territory
</t>
    </r>
    <r>
      <rPr>
        <i/>
        <sz val="10"/>
        <color theme="1"/>
        <rFont val="Aptos"/>
        <family val="2"/>
      </rPr>
      <t>(determines default gas rate used in tool)</t>
    </r>
  </si>
  <si>
    <r>
      <t xml:space="preserve">Default Rates used in Tool </t>
    </r>
    <r>
      <rPr>
        <i/>
        <sz val="10"/>
        <color theme="1"/>
        <rFont val="Aptos"/>
        <family val="2"/>
      </rPr>
      <t>(assumed HPD rates, may be overwritten by user)</t>
    </r>
  </si>
  <si>
    <t>FYI, not used for calculation</t>
  </si>
  <si>
    <t>used for calculation</t>
  </si>
  <si>
    <t xml:space="preserve"> $/Mlb for Con Ed, $/kLb for others</t>
  </si>
  <si>
    <t xml:space="preserve"> ($/ kWh)</t>
  </si>
  <si>
    <t>($/ therm)</t>
  </si>
  <si>
    <t>($/ gallon)</t>
  </si>
  <si>
    <t>Total Utility Savings</t>
  </si>
  <si>
    <t>Total LL97 Penalty Savings</t>
  </si>
  <si>
    <t>Last Update: June 2025</t>
  </si>
  <si>
    <t>•   This HPD edition of the tool uses linear extrapolation to determine emissions coefficients of the electric grid assuming zero emissions by 2050 which is a more conservative approach.</t>
  </si>
  <si>
    <t>•   This HPD edition of the tool assumes the building won't be subject to LL97 until calendar year 2035.</t>
  </si>
  <si>
    <t>$1.30 in N Grid or $2.605 in Con Ed</t>
  </si>
  <si>
    <t>Scope 5</t>
  </si>
  <si>
    <t>Convert to Electric Cooking</t>
  </si>
  <si>
    <t>75% reduction not calculated to align w/ LL97</t>
  </si>
  <si>
    <t>This scoping scenario assumes a phased approach, where electrification does not begin until 2039. Note that incentives may NOT be available at that time. See Scenario 2 for an approach that integrates early electrification to attract REDi and other funds available today.</t>
  </si>
  <si>
    <t>Total Cost to Install Measure</t>
  </si>
  <si>
    <t>LL97 Penalty Avoided by Measures ($)</t>
  </si>
  <si>
    <t>Cumulative Net Savings ($)</t>
  </si>
  <si>
    <t>Cumulative Net Savings by 2050:</t>
  </si>
  <si>
    <t>Net Savings by Phase</t>
  </si>
  <si>
    <t>Reason for overwrite:</t>
  </si>
  <si>
    <t>Upgrade Electrical Service</t>
  </si>
  <si>
    <t>Total Annual Utility Savings from Audit (for reference )
($)</t>
  </si>
  <si>
    <t>Utility Rates used in this Tool</t>
  </si>
  <si>
    <r>
      <t xml:space="preserve"> Rates used in Tool </t>
    </r>
    <r>
      <rPr>
        <i/>
        <sz val="10"/>
        <color theme="1"/>
        <rFont val="Aptos"/>
        <family val="2"/>
      </rPr>
      <t>(assumed HPD rates, may be overwritten by user)</t>
    </r>
  </si>
  <si>
    <r>
      <t xml:space="preserve">Default Utility Rates recommended by HPD 
</t>
    </r>
    <r>
      <rPr>
        <i/>
        <sz val="11"/>
        <color theme="1"/>
        <rFont val="Aptos"/>
        <family val="2"/>
      </rPr>
      <t>(2025 defaults)</t>
    </r>
  </si>
  <si>
    <t>Simple Payback using Utility Rates in Column W
(Yr)</t>
  </si>
  <si>
    <t>Total Annual Utility Savings using Rates in Column 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</si>
</sst>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 numFmtId="168" formatCode="0.0000000"/>
    <numFmt numFmtId="169" formatCode=";[Red]\✘;[Color50]\✔;&quot;&quot;"/>
    <numFmt numFmtId="170" formatCode="&quot;$&quot;#,##0,&quot;K&quot;;\-&quot;$&quot;#,##0,&quot;K&quot;;&quot;$&quot;0;"/>
    <numFmt numFmtId="171" formatCode="0.00000"/>
    <numFmt numFmtId="172" formatCode="0.000000000"/>
    <numFmt numFmtId="173" formatCode="0.00000000"/>
    <numFmt numFmtId="174" formatCode="[&gt;999999]&quot;$&quot;0.0,,\M;[&gt;999]&quot;$&quot;0,\K;&quot;$&quot;#,##0"/>
    <numFmt numFmtId="175" formatCode="[&gt;999999]&quot;$&quot;0.000,,\M;[&gt;999]&quot;$&quot;0.00,\K;&quot;$&quot;#,##0.00"/>
    <numFmt numFmtId="176" formatCode="[&lt;-999999]&quot;$&quot;0.0,,\M;[&lt;0]&quot;$&quot;#,##0.0,\K;"/>
  </numFmts>
  <fonts count="56">
    <font>
      <sz val="11"/>
      <color theme="1"/>
      <name val="Arial"/>
      <family val="2"/>
      <scheme val="minor"/>
    </font>
    <font>
      <sz val="11"/>
      <color theme="1"/>
      <name val="Arial"/>
      <family val="2"/>
      <scheme val="minor"/>
    </font>
    <font>
      <b/>
      <sz val="11"/>
      <color rgb="FF3F3F3F"/>
      <name val="Arial"/>
      <family val="2"/>
      <scheme val="minor"/>
    </font>
    <font>
      <sz val="8"/>
      <name val="Arial"/>
      <family val="2"/>
      <scheme val="minor"/>
    </font>
    <font>
      <sz val="11"/>
      <color theme="1"/>
      <name val="Aptos"/>
      <family val="2"/>
    </font>
    <font>
      <b/>
      <sz val="11"/>
      <color theme="1"/>
      <name val="Aptos"/>
      <family val="2"/>
    </font>
    <font>
      <b/>
      <sz val="14"/>
      <color theme="1"/>
      <name val="Aptos"/>
      <family val="2"/>
    </font>
    <font>
      <b/>
      <sz val="11"/>
      <color rgb="FF3F3F3F"/>
      <name val="Aptos"/>
      <family val="2"/>
    </font>
    <font>
      <b/>
      <sz val="11"/>
      <color theme="0"/>
      <name val="Aptos"/>
      <family val="2"/>
    </font>
    <font>
      <b/>
      <sz val="11"/>
      <color theme="9"/>
      <name val="Aptos"/>
      <family val="2"/>
    </font>
    <font>
      <b/>
      <sz val="11"/>
      <color theme="4"/>
      <name val="Aptos"/>
      <family val="2"/>
    </font>
    <font>
      <sz val="11"/>
      <color theme="1"/>
      <name val="Aptos Narrow"/>
      <family val="2"/>
    </font>
    <font>
      <sz val="12"/>
      <color theme="1"/>
      <name val="Aptos"/>
      <family val="2"/>
    </font>
    <font>
      <b/>
      <sz val="11"/>
      <color theme="1"/>
      <name val="Aptos Narrow"/>
      <family val="2"/>
    </font>
    <font>
      <sz val="11"/>
      <color theme="0"/>
      <name val="Aptos"/>
      <family val="2"/>
    </font>
    <font>
      <sz val="10"/>
      <color theme="1"/>
      <name val="Aptos"/>
      <family val="2"/>
    </font>
    <font>
      <sz val="10"/>
      <color theme="1" tint="0.499984740745262"/>
      <name val="Aptos"/>
      <family val="2"/>
    </font>
    <font>
      <b/>
      <sz val="16"/>
      <color theme="0"/>
      <name val="Aptos"/>
      <family val="2"/>
    </font>
    <font>
      <b/>
      <sz val="12"/>
      <color theme="1"/>
      <name val="Aptos"/>
      <family val="2"/>
    </font>
    <font>
      <sz val="12"/>
      <color theme="0"/>
      <name val="Aptos"/>
      <family val="2"/>
    </font>
    <font>
      <b/>
      <sz val="12"/>
      <color theme="0"/>
      <name val="Aptos"/>
      <family val="2"/>
    </font>
    <font>
      <sz val="11"/>
      <name val="Aptos"/>
      <family val="2"/>
    </font>
    <font>
      <b/>
      <sz val="11"/>
      <color theme="5"/>
      <name val="Aptos Narrow"/>
      <family val="2"/>
    </font>
    <font>
      <b/>
      <u/>
      <sz val="11"/>
      <color theme="1"/>
      <name val="Aptos"/>
      <family val="2"/>
    </font>
    <font>
      <b/>
      <sz val="10"/>
      <color rgb="FF3F3F3F"/>
      <name val="Aptos Narrow"/>
      <family val="2"/>
    </font>
    <font>
      <b/>
      <sz val="10"/>
      <color theme="1"/>
      <name val="Aptos Narrow"/>
      <family val="2"/>
    </font>
    <font>
      <b/>
      <sz val="10"/>
      <color theme="5"/>
      <name val="Aptos Narrow"/>
      <family val="2"/>
    </font>
    <font>
      <sz val="12"/>
      <color theme="1"/>
      <name val="Aptos Narrow"/>
      <family val="2"/>
    </font>
    <font>
      <sz val="11"/>
      <color theme="3"/>
      <name val="Aptos Narrow"/>
      <family val="2"/>
    </font>
    <font>
      <sz val="11"/>
      <color theme="1"/>
      <name val="Arial"/>
      <family val="2"/>
    </font>
    <font>
      <b/>
      <sz val="14"/>
      <color theme="1"/>
      <name val="Futura PT Medium"/>
      <family val="2"/>
      <scheme val="major"/>
    </font>
    <font>
      <b/>
      <sz val="10"/>
      <color theme="0"/>
      <name val="Arial"/>
      <family val="2"/>
    </font>
    <font>
      <sz val="11"/>
      <name val="Arial"/>
      <family val="2"/>
    </font>
    <font>
      <sz val="11"/>
      <color rgb="FF3F3F76"/>
      <name val="Arial"/>
      <family val="2"/>
      <scheme val="minor"/>
    </font>
    <font>
      <i/>
      <sz val="10"/>
      <color theme="0" tint="-0.499984740745262"/>
      <name val="Aptos Narrow"/>
      <family val="2"/>
    </font>
    <font>
      <b/>
      <sz val="16"/>
      <color theme="0"/>
      <name val="Aptos Narrow"/>
      <family val="2"/>
    </font>
    <font>
      <b/>
      <sz val="12"/>
      <color rgb="FFC00000"/>
      <name val="Aptos"/>
      <family val="2"/>
    </font>
    <font>
      <b/>
      <sz val="12"/>
      <color theme="1"/>
      <name val="Aptos Narrow"/>
      <family val="2"/>
    </font>
    <font>
      <i/>
      <sz val="12"/>
      <color theme="1"/>
      <name val="Aptos Narrow"/>
      <family val="2"/>
    </font>
    <font>
      <b/>
      <sz val="18"/>
      <color theme="0"/>
      <name val="Aptos"/>
      <family val="2"/>
    </font>
    <font>
      <b/>
      <sz val="10"/>
      <color theme="1"/>
      <name val="Aptos"/>
      <family val="2"/>
    </font>
    <font>
      <sz val="10"/>
      <color theme="0" tint="-0.249977111117893"/>
      <name val="Aptos Narrow"/>
      <family val="2"/>
    </font>
    <font>
      <sz val="9"/>
      <color theme="1"/>
      <name val="Aptos Light"/>
      <family val="2"/>
    </font>
    <font>
      <i/>
      <sz val="10"/>
      <color theme="0" tint="-0.249977111117893"/>
      <name val="Aptos Narrow"/>
      <family val="2"/>
    </font>
    <font>
      <b/>
      <sz val="13"/>
      <color theme="0"/>
      <name val="Aptos"/>
      <family val="2"/>
    </font>
    <font>
      <sz val="11"/>
      <color rgb="FF3F3F76"/>
      <name val="Aptos Narrow"/>
      <family val="2"/>
    </font>
    <font>
      <sz val="10"/>
      <color indexed="81"/>
      <name val="Arial"/>
      <family val="2"/>
      <scheme val="minor"/>
    </font>
    <font>
      <b/>
      <sz val="10"/>
      <color indexed="81"/>
      <name val="Arial"/>
      <family val="2"/>
      <scheme val="minor"/>
    </font>
    <font>
      <sz val="11"/>
      <color rgb="FFFF0000"/>
      <name val="Aptos Narrow"/>
      <family val="2"/>
    </font>
    <font>
      <sz val="9"/>
      <name val="Aptos Light"/>
      <family val="2"/>
    </font>
    <font>
      <sz val="9"/>
      <color theme="0"/>
      <name val="Aptos Light"/>
      <family val="2"/>
    </font>
    <font>
      <b/>
      <u/>
      <sz val="11"/>
      <name val="Aptos"/>
      <family val="2"/>
    </font>
    <font>
      <b/>
      <sz val="10"/>
      <color rgb="FFFF0000"/>
      <name val="Aptos Narrow"/>
      <family val="2"/>
    </font>
    <font>
      <sz val="12"/>
      <color rgb="FF3F3F76"/>
      <name val="Aptos"/>
      <family val="2"/>
    </font>
    <font>
      <i/>
      <sz val="11"/>
      <color theme="1"/>
      <name val="Aptos"/>
      <family val="2"/>
    </font>
    <font>
      <i/>
      <sz val="10"/>
      <color theme="1"/>
      <name val="Aptos"/>
      <family val="2"/>
    </font>
  </fonts>
  <fills count="17">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3"/>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CC99"/>
      </patternFill>
    </fill>
    <fill>
      <patternFill patternType="solid">
        <fgColor theme="0"/>
        <bgColor indexed="64"/>
      </patternFill>
    </fill>
    <fill>
      <patternFill patternType="solid">
        <fgColor theme="9" tint="0.79995117038483843"/>
        <bgColor theme="0"/>
      </patternFill>
    </fill>
    <fill>
      <patternFill patternType="solid">
        <fgColor theme="9" tint="0.79998168889431442"/>
        <bgColor indexed="64"/>
      </patternFill>
    </fill>
    <fill>
      <patternFill patternType="solid">
        <fgColor rgb="FFFFFF00"/>
        <bgColor indexed="64"/>
      </patternFill>
    </fill>
    <fill>
      <patternFill patternType="solid">
        <fgColor rgb="FFC9C9FF"/>
        <bgColor indexed="64"/>
      </patternFill>
    </fill>
    <fill>
      <patternFill patternType="solid">
        <fgColor theme="0" tint="-4.9989318521683403E-2"/>
        <bgColor indexed="64"/>
      </patternFill>
    </fill>
  </fills>
  <borders count="30">
    <border>
      <left/>
      <right/>
      <top/>
      <bottom/>
      <diagonal/>
    </border>
    <border>
      <left style="thin">
        <color rgb="FF3F3F3F"/>
      </left>
      <right style="thin">
        <color rgb="FF3F3F3F"/>
      </right>
      <top style="thin">
        <color rgb="FF3F3F3F"/>
      </top>
      <bottom style="thin">
        <color rgb="FF3F3F3F"/>
      </bottom>
      <diagonal/>
    </border>
    <border>
      <left/>
      <right/>
      <top style="thin">
        <color theme="4"/>
      </top>
      <bottom/>
      <diagonal/>
    </border>
    <border>
      <left/>
      <right style="thin">
        <color theme="8"/>
      </right>
      <top/>
      <bottom/>
      <diagonal/>
    </border>
    <border>
      <left style="thin">
        <color theme="8" tint="0.39997558519241921"/>
      </left>
      <right/>
      <top style="thin">
        <color theme="8" tint="0.39997558519241921"/>
      </top>
      <bottom style="thin">
        <color theme="8" tint="0.39997558519241921"/>
      </bottom>
      <diagonal/>
    </border>
    <border>
      <left/>
      <right/>
      <top/>
      <bottom style="thin">
        <color indexed="64"/>
      </bottom>
      <diagonal/>
    </border>
    <border>
      <left style="thin">
        <color indexed="64"/>
      </left>
      <right/>
      <top/>
      <bottom/>
      <diagonal/>
    </border>
    <border>
      <left style="thin">
        <color theme="0"/>
      </left>
      <right/>
      <top/>
      <bottom/>
      <diagonal/>
    </border>
    <border>
      <left style="thin">
        <color theme="0"/>
      </left>
      <right/>
      <top style="thin">
        <color rgb="FF3F3F3F"/>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indexed="64"/>
      </left>
      <right style="thin">
        <color indexed="64"/>
      </right>
      <top/>
      <bottom/>
      <diagonal/>
    </border>
    <border>
      <left/>
      <right/>
      <top style="thin">
        <color theme="4"/>
      </top>
      <bottom style="thin">
        <color indexed="64"/>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right/>
      <top style="thin">
        <color theme="1"/>
      </top>
      <bottom style="thin">
        <color theme="1"/>
      </bottom>
      <diagonal/>
    </border>
    <border>
      <left/>
      <right/>
      <top style="thin">
        <color theme="1"/>
      </top>
      <bottom/>
      <diagonal/>
    </border>
    <border>
      <left/>
      <right/>
      <top style="thin">
        <color theme="1"/>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1" applyNumberFormat="0" applyAlignment="0" applyProtection="0"/>
    <xf numFmtId="0" fontId="33" fillId="10" borderId="18" applyNumberFormat="0" applyAlignment="0" applyProtection="0"/>
  </cellStyleXfs>
  <cellXfs count="297">
    <xf numFmtId="0" fontId="0" fillId="0" borderId="0" xfId="0"/>
    <xf numFmtId="0" fontId="4" fillId="0" borderId="0" xfId="0" applyFont="1"/>
    <xf numFmtId="0" fontId="6" fillId="0" borderId="0" xfId="0" applyFont="1"/>
    <xf numFmtId="0" fontId="4" fillId="0" borderId="0" xfId="0" applyFont="1" applyAlignment="1">
      <alignment vertical="top" wrapText="1"/>
    </xf>
    <xf numFmtId="0" fontId="4" fillId="0" borderId="0" xfId="0" applyFont="1" applyAlignment="1">
      <alignment vertical="top"/>
    </xf>
    <xf numFmtId="0" fontId="4" fillId="3" borderId="0" xfId="0" applyFont="1" applyFill="1"/>
    <xf numFmtId="164" fontId="4" fillId="0" borderId="0" xfId="0" applyNumberFormat="1" applyFont="1"/>
    <xf numFmtId="166" fontId="4" fillId="0" borderId="0" xfId="2" applyNumberFormat="1" applyFont="1" applyFill="1"/>
    <xf numFmtId="166" fontId="4" fillId="0" borderId="0" xfId="0" applyNumberFormat="1" applyFont="1"/>
    <xf numFmtId="0" fontId="8" fillId="0" borderId="0" xfId="0" applyFont="1" applyAlignment="1">
      <alignment vertical="top" wrapText="1"/>
    </xf>
    <xf numFmtId="0" fontId="11" fillId="0" borderId="0" xfId="0" applyFont="1"/>
    <xf numFmtId="0" fontId="4" fillId="0" borderId="0" xfId="0" applyFont="1" applyAlignment="1">
      <alignment horizontal="right"/>
    </xf>
    <xf numFmtId="0" fontId="8" fillId="6" borderId="0" xfId="0" applyFont="1" applyFill="1" applyAlignment="1">
      <alignment vertical="top" wrapText="1"/>
    </xf>
    <xf numFmtId="0" fontId="12" fillId="0" borderId="0" xfId="0" applyFont="1" applyAlignment="1">
      <alignment horizontal="right"/>
    </xf>
    <xf numFmtId="0" fontId="13" fillId="0" borderId="0" xfId="0" applyFont="1"/>
    <xf numFmtId="166" fontId="13" fillId="0" borderId="0" xfId="0" applyNumberFormat="1" applyFont="1"/>
    <xf numFmtId="164" fontId="13" fillId="0" borderId="0" xfId="1" applyNumberFormat="1" applyFont="1"/>
    <xf numFmtId="0" fontId="8" fillId="0" borderId="8" xfId="0" applyFont="1" applyBorder="1" applyAlignment="1">
      <alignment vertical="top" wrapText="1"/>
    </xf>
    <xf numFmtId="0" fontId="8" fillId="6" borderId="7" xfId="0" applyFont="1" applyFill="1" applyBorder="1" applyAlignment="1">
      <alignment vertical="top" wrapText="1"/>
    </xf>
    <xf numFmtId="0" fontId="8" fillId="5" borderId="0" xfId="0" applyFont="1" applyFill="1" applyAlignment="1">
      <alignment vertical="top"/>
    </xf>
    <xf numFmtId="0" fontId="8" fillId="5" borderId="3" xfId="0" applyFont="1" applyFill="1" applyBorder="1" applyAlignment="1">
      <alignment vertical="top" wrapText="1"/>
    </xf>
    <xf numFmtId="1" fontId="7" fillId="2" borderId="1" xfId="3" applyNumberFormat="1" applyFont="1"/>
    <xf numFmtId="0" fontId="8" fillId="0" borderId="0" xfId="0" applyFont="1" applyAlignment="1">
      <alignment horizontal="center" vertical="top" wrapText="1"/>
    </xf>
    <xf numFmtId="0" fontId="8" fillId="0" borderId="7" xfId="0" applyFont="1" applyBorder="1" applyAlignment="1">
      <alignment horizontal="center" vertical="top" wrapText="1"/>
    </xf>
    <xf numFmtId="0" fontId="4" fillId="0" borderId="0" xfId="0" applyFont="1" applyAlignment="1">
      <alignment horizontal="center" vertical="top" wrapText="1"/>
    </xf>
    <xf numFmtId="0" fontId="16" fillId="0" borderId="0" xfId="0" applyFont="1" applyAlignment="1">
      <alignment horizontal="center"/>
    </xf>
    <xf numFmtId="0" fontId="12" fillId="0" borderId="0" xfId="0" applyFont="1"/>
    <xf numFmtId="0" fontId="18" fillId="0" borderId="0" xfId="0" applyFont="1" applyAlignment="1">
      <alignment horizontal="right"/>
    </xf>
    <xf numFmtId="0" fontId="23" fillId="0" borderId="0" xfId="0" applyFont="1"/>
    <xf numFmtId="0" fontId="4" fillId="9" borderId="0" xfId="0" applyFont="1" applyFill="1"/>
    <xf numFmtId="0" fontId="4" fillId="0" borderId="0" xfId="0" applyFont="1" applyAlignment="1">
      <alignment horizontal="right" wrapText="1"/>
    </xf>
    <xf numFmtId="0" fontId="15" fillId="0" borderId="0" xfId="0" applyFont="1" applyAlignment="1">
      <alignment horizontal="right"/>
    </xf>
    <xf numFmtId="0" fontId="27" fillId="0" borderId="0" xfId="0" applyFont="1" applyAlignment="1">
      <alignment horizontal="right"/>
    </xf>
    <xf numFmtId="0" fontId="30" fillId="0" borderId="0" xfId="0" applyFont="1"/>
    <xf numFmtId="0" fontId="29" fillId="0" borderId="0" xfId="0" applyFont="1" applyAlignment="1">
      <alignment horizontal="center"/>
    </xf>
    <xf numFmtId="0" fontId="32" fillId="0" borderId="12" xfId="0" applyFont="1" applyBorder="1" applyAlignment="1">
      <alignment horizontal="center" vertical="center"/>
    </xf>
    <xf numFmtId="171" fontId="29" fillId="0" borderId="9" xfId="0" applyNumberFormat="1" applyFont="1" applyBorder="1" applyAlignment="1">
      <alignment horizontal="left" vertical="center"/>
    </xf>
    <xf numFmtId="172" fontId="29" fillId="0" borderId="9" xfId="0" applyNumberFormat="1" applyFont="1" applyBorder="1" applyAlignment="1">
      <alignment horizontal="left" vertical="center"/>
    </xf>
    <xf numFmtId="173" fontId="29" fillId="0" borderId="9" xfId="0" applyNumberFormat="1" applyFont="1" applyBorder="1" applyAlignment="1">
      <alignment horizontal="left"/>
    </xf>
    <xf numFmtId="172" fontId="29" fillId="0" borderId="9" xfId="0" applyNumberFormat="1" applyFont="1" applyBorder="1"/>
    <xf numFmtId="0" fontId="29" fillId="0" borderId="16" xfId="0" applyFont="1" applyBorder="1"/>
    <xf numFmtId="172" fontId="29" fillId="0" borderId="9" xfId="0" applyNumberFormat="1" applyFont="1" applyBorder="1" applyAlignment="1">
      <alignment horizontal="left"/>
    </xf>
    <xf numFmtId="0" fontId="32" fillId="0" borderId="13" xfId="0" applyFont="1" applyBorder="1" applyAlignment="1">
      <alignment horizontal="center" vertical="center"/>
    </xf>
    <xf numFmtId="171" fontId="29" fillId="0" borderId="14" xfId="0" applyNumberFormat="1" applyFont="1" applyBorder="1" applyAlignment="1">
      <alignment horizontal="left" vertical="center"/>
    </xf>
    <xf numFmtId="172" fontId="29" fillId="0" borderId="14" xfId="0" applyNumberFormat="1" applyFont="1" applyBorder="1" applyAlignment="1">
      <alignment horizontal="left"/>
    </xf>
    <xf numFmtId="173" fontId="29" fillId="0" borderId="14" xfId="0" applyNumberFormat="1" applyFont="1" applyBorder="1" applyAlignment="1">
      <alignment horizontal="left"/>
    </xf>
    <xf numFmtId="172" fontId="29" fillId="0" borderId="14" xfId="0" applyNumberFormat="1" applyFont="1" applyBorder="1"/>
    <xf numFmtId="0" fontId="29" fillId="0" borderId="17" xfId="0" applyFont="1" applyBorder="1"/>
    <xf numFmtId="0" fontId="31" fillId="0" borderId="11" xfId="0" applyFont="1" applyBorder="1" applyAlignment="1">
      <alignment horizontal="center" vertical="center" wrapText="1"/>
    </xf>
    <xf numFmtId="0" fontId="31" fillId="0" borderId="15" xfId="0" applyFont="1" applyBorder="1" applyAlignment="1">
      <alignment horizontal="center" vertical="center" wrapText="1"/>
    </xf>
    <xf numFmtId="172" fontId="29" fillId="0" borderId="16" xfId="0" applyNumberFormat="1" applyFont="1" applyBorder="1"/>
    <xf numFmtId="0" fontId="4" fillId="0" borderId="0" xfId="0" applyFont="1" applyAlignment="1">
      <alignment horizontal="center" vertical="center"/>
    </xf>
    <xf numFmtId="0" fontId="5" fillId="0" borderId="0" xfId="0" applyFont="1" applyAlignment="1">
      <alignment vertical="top" wrapText="1"/>
    </xf>
    <xf numFmtId="0" fontId="4" fillId="0" borderId="6" xfId="0" applyFont="1" applyBorder="1" applyAlignment="1">
      <alignment vertical="top" wrapText="1"/>
    </xf>
    <xf numFmtId="0" fontId="4" fillId="0" borderId="6" xfId="0" applyFont="1" applyBorder="1"/>
    <xf numFmtId="0" fontId="18" fillId="0" borderId="5" xfId="0" applyFont="1" applyBorder="1" applyAlignment="1">
      <alignment horizontal="right"/>
    </xf>
    <xf numFmtId="0" fontId="18" fillId="0" borderId="10" xfId="0" applyFont="1" applyBorder="1" applyAlignment="1">
      <alignment horizontal="right"/>
    </xf>
    <xf numFmtId="0" fontId="20" fillId="8" borderId="0" xfId="0" applyFont="1" applyFill="1" applyAlignment="1">
      <alignment horizontal="centerContinuous"/>
    </xf>
    <xf numFmtId="0" fontId="35" fillId="5" borderId="0" xfId="0" applyFont="1" applyFill="1" applyAlignment="1">
      <alignment horizontal="right"/>
    </xf>
    <xf numFmtId="0" fontId="35" fillId="5" borderId="0" xfId="0" applyFont="1" applyFill="1" applyAlignment="1">
      <alignment horizontal="centerContinuous"/>
    </xf>
    <xf numFmtId="0" fontId="4" fillId="5" borderId="0" xfId="0" applyFont="1" applyFill="1"/>
    <xf numFmtId="0" fontId="0" fillId="5" borderId="0" xfId="0" applyFill="1"/>
    <xf numFmtId="0" fontId="37" fillId="0" borderId="0" xfId="0" applyFont="1" applyAlignment="1">
      <alignment horizontal="right"/>
    </xf>
    <xf numFmtId="0" fontId="4" fillId="0" borderId="9" xfId="0" applyFont="1" applyBorder="1" applyAlignment="1">
      <alignment horizontal="center" vertical="top" wrapText="1"/>
    </xf>
    <xf numFmtId="0" fontId="39" fillId="9" borderId="0" xfId="0" applyFont="1" applyFill="1"/>
    <xf numFmtId="0" fontId="24" fillId="3" borderId="9" xfId="3" applyFont="1" applyFill="1" applyBorder="1" applyAlignment="1">
      <alignment horizontal="center"/>
    </xf>
    <xf numFmtId="0" fontId="6"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xf>
    <xf numFmtId="0" fontId="6" fillId="0" borderId="0" xfId="0" applyFont="1" applyAlignment="1">
      <alignment horizontal="center"/>
    </xf>
    <xf numFmtId="0" fontId="26" fillId="7" borderId="9" xfId="0" applyFont="1" applyFill="1" applyBorder="1" applyAlignment="1">
      <alignment horizontal="center" vertical="center"/>
    </xf>
    <xf numFmtId="0" fontId="40" fillId="0" borderId="0" xfId="0" applyFont="1" applyAlignment="1">
      <alignment horizontal="right" vertical="top"/>
    </xf>
    <xf numFmtId="0" fontId="16" fillId="0" borderId="0" xfId="0" applyFont="1" applyAlignment="1">
      <alignment horizontal="right"/>
    </xf>
    <xf numFmtId="0" fontId="16" fillId="0" borderId="0" xfId="0" applyFont="1" applyAlignment="1">
      <alignment horizontal="right" vertical="top"/>
    </xf>
    <xf numFmtId="3" fontId="16" fillId="0" borderId="0" xfId="0" applyNumberFormat="1" applyFont="1" applyAlignment="1">
      <alignment horizontal="center" vertical="top"/>
    </xf>
    <xf numFmtId="0" fontId="8" fillId="5" borderId="4" xfId="0" applyFont="1" applyFill="1" applyBorder="1" applyAlignment="1">
      <alignment horizontal="center" vertical="top" wrapText="1"/>
    </xf>
    <xf numFmtId="9" fontId="4" fillId="0" borderId="0" xfId="0" applyNumberFormat="1" applyFont="1" applyAlignment="1">
      <alignment horizontal="center" vertical="center"/>
    </xf>
    <xf numFmtId="0" fontId="41" fillId="0" borderId="0" xfId="0" applyFont="1" applyAlignment="1">
      <alignment horizontal="left" vertical="top"/>
    </xf>
    <xf numFmtId="0" fontId="41" fillId="11" borderId="0" xfId="0" applyFont="1" applyFill="1" applyAlignment="1">
      <alignment horizontal="center" vertical="top"/>
    </xf>
    <xf numFmtId="0" fontId="25" fillId="12" borderId="9" xfId="0" applyFont="1" applyFill="1" applyBorder="1" applyAlignment="1">
      <alignment horizontal="center" vertical="center"/>
    </xf>
    <xf numFmtId="0" fontId="17" fillId="6" borderId="0" xfId="0" applyFont="1" applyFill="1"/>
    <xf numFmtId="0" fontId="42" fillId="0" borderId="0" xfId="0" applyFont="1" applyAlignment="1">
      <alignment vertical="center"/>
    </xf>
    <xf numFmtId="3" fontId="2" fillId="2" borderId="1" xfId="3" applyNumberFormat="1" applyAlignment="1">
      <alignment horizontal="center" vertical="center"/>
    </xf>
    <xf numFmtId="0" fontId="2" fillId="2" borderId="1" xfId="3" applyAlignment="1">
      <alignment horizontal="center" vertical="center" wrapText="1"/>
    </xf>
    <xf numFmtId="3" fontId="5" fillId="3" borderId="0" xfId="0" applyNumberFormat="1" applyFont="1" applyFill="1" applyAlignment="1">
      <alignment horizontal="center"/>
    </xf>
    <xf numFmtId="0" fontId="4" fillId="0" borderId="16" xfId="0" applyFont="1" applyBorder="1" applyAlignment="1">
      <alignment horizontal="center" vertical="top" wrapText="1"/>
    </xf>
    <xf numFmtId="0" fontId="43" fillId="11" borderId="0" xfId="0" applyFont="1" applyFill="1" applyAlignment="1">
      <alignment horizontal="left" vertical="center"/>
    </xf>
    <xf numFmtId="0" fontId="24" fillId="4" borderId="9" xfId="3" applyFont="1" applyFill="1" applyBorder="1" applyAlignment="1">
      <alignment horizontal="center" vertical="center"/>
    </xf>
    <xf numFmtId="0" fontId="45" fillId="0" borderId="0" xfId="4" applyFont="1" applyFill="1" applyBorder="1" applyAlignment="1">
      <alignment horizontal="center"/>
    </xf>
    <xf numFmtId="0" fontId="13" fillId="4" borderId="20" xfId="0" applyFont="1" applyFill="1" applyBorder="1" applyAlignment="1" applyProtection="1">
      <alignment horizontal="center"/>
      <protection locked="0"/>
    </xf>
    <xf numFmtId="166" fontId="11" fillId="4" borderId="11" xfId="2" applyNumberFormat="1" applyFont="1" applyFill="1" applyBorder="1" applyAlignment="1" applyProtection="1">
      <alignment horizontal="center"/>
      <protection locked="0"/>
    </xf>
    <xf numFmtId="164" fontId="11" fillId="4" borderId="9" xfId="1" applyNumberFormat="1" applyFont="1" applyFill="1" applyBorder="1" applyAlignment="1" applyProtection="1">
      <alignment horizontal="center"/>
      <protection locked="0"/>
    </xf>
    <xf numFmtId="166" fontId="11" fillId="4" borderId="9" xfId="2" applyNumberFormat="1" applyFont="1" applyFill="1" applyBorder="1" applyAlignment="1" applyProtection="1">
      <alignment horizontal="center"/>
      <protection locked="0"/>
    </xf>
    <xf numFmtId="166" fontId="11" fillId="4" borderId="9" xfId="0" applyNumberFormat="1" applyFont="1" applyFill="1" applyBorder="1" applyAlignment="1" applyProtection="1">
      <alignment horizontal="center"/>
      <protection locked="0"/>
    </xf>
    <xf numFmtId="167" fontId="11" fillId="3" borderId="11" xfId="0" applyNumberFormat="1" applyFont="1" applyFill="1" applyBorder="1" applyAlignment="1" applyProtection="1">
      <alignment horizontal="center"/>
      <protection hidden="1"/>
    </xf>
    <xf numFmtId="167" fontId="11" fillId="3" borderId="9" xfId="0" applyNumberFormat="1" applyFont="1" applyFill="1" applyBorder="1" applyAlignment="1" applyProtection="1">
      <alignment horizontal="center"/>
      <protection hidden="1"/>
    </xf>
    <xf numFmtId="3" fontId="11" fillId="3" borderId="9" xfId="1" applyNumberFormat="1" applyFont="1" applyFill="1" applyBorder="1" applyAlignment="1" applyProtection="1">
      <alignment horizontal="center" vertical="center"/>
      <protection hidden="1"/>
    </xf>
    <xf numFmtId="3" fontId="11" fillId="3" borderId="9" xfId="0" applyNumberFormat="1" applyFont="1" applyFill="1" applyBorder="1" applyAlignment="1" applyProtection="1">
      <alignment horizontal="center" vertical="center"/>
      <protection hidden="1"/>
    </xf>
    <xf numFmtId="1" fontId="11" fillId="0" borderId="0" xfId="1" applyNumberFormat="1" applyFont="1" applyFill="1" applyBorder="1" applyAlignment="1" applyProtection="1">
      <alignment horizontal="center"/>
      <protection hidden="1"/>
    </xf>
    <xf numFmtId="0" fontId="11" fillId="0" borderId="0" xfId="0" applyFont="1" applyProtection="1">
      <protection hidden="1"/>
    </xf>
    <xf numFmtId="164" fontId="11" fillId="0" borderId="0" xfId="1" applyNumberFormat="1" applyFont="1" applyFill="1" applyBorder="1" applyProtection="1">
      <protection hidden="1"/>
    </xf>
    <xf numFmtId="166" fontId="11" fillId="0" borderId="6" xfId="1" applyNumberFormat="1" applyFont="1" applyFill="1" applyBorder="1" applyProtection="1">
      <protection hidden="1"/>
    </xf>
    <xf numFmtId="166" fontId="11" fillId="0" borderId="0" xfId="1" applyNumberFormat="1" applyFont="1" applyFill="1" applyBorder="1" applyProtection="1">
      <protection hidden="1"/>
    </xf>
    <xf numFmtId="164" fontId="11" fillId="5" borderId="0" xfId="1" applyNumberFormat="1" applyFont="1" applyFill="1" applyBorder="1" applyProtection="1">
      <protection hidden="1"/>
    </xf>
    <xf numFmtId="176" fontId="48" fillId="0" borderId="0" xfId="1" applyNumberFormat="1" applyFont="1" applyFill="1" applyBorder="1" applyProtection="1">
      <protection hidden="1"/>
    </xf>
    <xf numFmtId="169" fontId="11" fillId="0" borderId="0" xfId="1" applyNumberFormat="1" applyFont="1" applyFill="1" applyBorder="1" applyAlignment="1" applyProtection="1">
      <alignment horizontal="center"/>
      <protection hidden="1"/>
    </xf>
    <xf numFmtId="1" fontId="11" fillId="0" borderId="0" xfId="1" applyNumberFormat="1" applyFont="1" applyFill="1" applyBorder="1" applyProtection="1">
      <protection hidden="1"/>
    </xf>
    <xf numFmtId="1" fontId="11" fillId="0" borderId="0" xfId="0" applyNumberFormat="1" applyFont="1" applyProtection="1">
      <protection hidden="1"/>
    </xf>
    <xf numFmtId="0" fontId="11" fillId="3" borderId="0" xfId="0" applyFont="1" applyFill="1" applyProtection="1">
      <protection hidden="1"/>
    </xf>
    <xf numFmtId="164" fontId="11" fillId="0" borderId="2" xfId="1" applyNumberFormat="1" applyFont="1" applyFill="1" applyBorder="1" applyProtection="1">
      <protection hidden="1"/>
    </xf>
    <xf numFmtId="164" fontId="11" fillId="0" borderId="0" xfId="1" applyNumberFormat="1" applyFont="1" applyFill="1" applyProtection="1">
      <protection hidden="1"/>
    </xf>
    <xf numFmtId="1" fontId="13" fillId="0" borderId="0" xfId="1" applyNumberFormat="1" applyFont="1" applyFill="1" applyBorder="1" applyProtection="1">
      <protection hidden="1"/>
    </xf>
    <xf numFmtId="1" fontId="11" fillId="0" borderId="5" xfId="1" applyNumberFormat="1" applyFont="1" applyFill="1" applyBorder="1" applyAlignment="1" applyProtection="1">
      <alignment horizontal="center"/>
      <protection hidden="1"/>
    </xf>
    <xf numFmtId="0" fontId="11" fillId="3" borderId="5" xfId="0" applyFont="1" applyFill="1" applyBorder="1" applyProtection="1">
      <protection hidden="1"/>
    </xf>
    <xf numFmtId="164" fontId="11" fillId="0" borderId="21" xfId="1" applyNumberFormat="1" applyFont="1" applyFill="1" applyBorder="1" applyProtection="1">
      <protection hidden="1"/>
    </xf>
    <xf numFmtId="164" fontId="11" fillId="0" borderId="5" xfId="1" applyNumberFormat="1" applyFont="1" applyFill="1" applyBorder="1" applyProtection="1">
      <protection hidden="1"/>
    </xf>
    <xf numFmtId="166" fontId="11" fillId="0" borderId="15" xfId="1" applyNumberFormat="1" applyFont="1" applyFill="1" applyBorder="1" applyProtection="1">
      <protection hidden="1"/>
    </xf>
    <xf numFmtId="166" fontId="11" fillId="0" borderId="5" xfId="1" applyNumberFormat="1" applyFont="1" applyFill="1" applyBorder="1" applyProtection="1">
      <protection hidden="1"/>
    </xf>
    <xf numFmtId="164" fontId="11" fillId="5" borderId="5" xfId="1" applyNumberFormat="1" applyFont="1" applyFill="1" applyBorder="1" applyProtection="1">
      <protection hidden="1"/>
    </xf>
    <xf numFmtId="176" fontId="48" fillId="0" borderId="5" xfId="1" applyNumberFormat="1" applyFont="1" applyFill="1" applyBorder="1" applyProtection="1">
      <protection hidden="1"/>
    </xf>
    <xf numFmtId="169" fontId="11" fillId="0" borderId="5" xfId="1" applyNumberFormat="1" applyFont="1" applyFill="1" applyBorder="1" applyAlignment="1" applyProtection="1">
      <alignment horizontal="center"/>
      <protection hidden="1"/>
    </xf>
    <xf numFmtId="1" fontId="11" fillId="0" borderId="5" xfId="1" applyNumberFormat="1" applyFont="1" applyFill="1" applyBorder="1" applyProtection="1">
      <protection hidden="1"/>
    </xf>
    <xf numFmtId="1" fontId="11" fillId="3" borderId="0" xfId="1" applyNumberFormat="1" applyFont="1" applyFill="1" applyBorder="1" applyProtection="1">
      <protection hidden="1"/>
    </xf>
    <xf numFmtId="1" fontId="11" fillId="0" borderId="2" xfId="1" applyNumberFormat="1" applyFont="1" applyFill="1" applyBorder="1" applyProtection="1">
      <protection hidden="1"/>
    </xf>
    <xf numFmtId="164" fontId="11" fillId="0" borderId="0" xfId="0" applyNumberFormat="1" applyFont="1" applyProtection="1">
      <protection hidden="1"/>
    </xf>
    <xf numFmtId="166" fontId="11" fillId="0" borderId="6" xfId="0" applyNumberFormat="1" applyFont="1" applyBorder="1" applyProtection="1">
      <protection hidden="1"/>
    </xf>
    <xf numFmtId="166" fontId="11" fillId="0" borderId="0" xfId="0" applyNumberFormat="1" applyFont="1" applyProtection="1">
      <protection hidden="1"/>
    </xf>
    <xf numFmtId="164" fontId="11" fillId="5" borderId="0" xfId="0" applyNumberFormat="1" applyFont="1" applyFill="1" applyProtection="1">
      <protection hidden="1"/>
    </xf>
    <xf numFmtId="3" fontId="11" fillId="0" borderId="0" xfId="0" applyNumberFormat="1" applyFont="1" applyProtection="1">
      <protection hidden="1"/>
    </xf>
    <xf numFmtId="0" fontId="4" fillId="0" borderId="0" xfId="0" applyFont="1" applyProtection="1">
      <protection hidden="1"/>
    </xf>
    <xf numFmtId="0" fontId="35" fillId="5" borderId="0" xfId="0" applyFont="1" applyFill="1" applyAlignment="1" applyProtection="1">
      <alignment horizontal="centerContinuous"/>
      <protection hidden="1"/>
    </xf>
    <xf numFmtId="0" fontId="22" fillId="0" borderId="0" xfId="0" applyFont="1" applyAlignment="1" applyProtection="1">
      <alignment horizontal="left"/>
      <protection hidden="1"/>
    </xf>
    <xf numFmtId="174" fontId="36" fillId="0" borderId="0" xfId="0" applyNumberFormat="1" applyFont="1" applyAlignment="1" applyProtection="1">
      <alignment horizontal="left"/>
      <protection hidden="1"/>
    </xf>
    <xf numFmtId="165" fontId="36" fillId="0" borderId="0" xfId="0" applyNumberFormat="1" applyFont="1" applyAlignment="1" applyProtection="1">
      <alignment horizontal="left"/>
      <protection hidden="1"/>
    </xf>
    <xf numFmtId="174" fontId="9" fillId="0" borderId="0" xfId="0" applyNumberFormat="1" applyFont="1" applyAlignment="1" applyProtection="1">
      <alignment horizontal="left"/>
      <protection hidden="1"/>
    </xf>
    <xf numFmtId="175" fontId="9" fillId="0" borderId="0" xfId="0" applyNumberFormat="1" applyFont="1" applyAlignment="1" applyProtection="1">
      <alignment horizontal="left"/>
      <protection hidden="1"/>
    </xf>
    <xf numFmtId="0" fontId="44" fillId="5" borderId="0" xfId="0" applyFont="1" applyFill="1" applyProtection="1">
      <protection hidden="1"/>
    </xf>
    <xf numFmtId="0" fontId="14" fillId="5" borderId="0" xfId="0" applyFont="1" applyFill="1" applyProtection="1">
      <protection hidden="1"/>
    </xf>
    <xf numFmtId="0" fontId="18" fillId="0" borderId="0" xfId="0" applyFont="1" applyAlignment="1" applyProtection="1">
      <alignment horizontal="center"/>
      <protection hidden="1"/>
    </xf>
    <xf numFmtId="0" fontId="4" fillId="0" borderId="0" xfId="0" applyFont="1" applyAlignment="1" applyProtection="1">
      <alignment horizontal="center"/>
      <protection hidden="1"/>
    </xf>
    <xf numFmtId="166" fontId="4" fillId="0" borderId="0" xfId="2" applyNumberFormat="1" applyFont="1" applyAlignment="1" applyProtection="1">
      <alignment horizontal="center"/>
      <protection hidden="1"/>
    </xf>
    <xf numFmtId="0" fontId="10" fillId="3" borderId="0" xfId="0" applyFont="1" applyFill="1" applyAlignment="1" applyProtection="1">
      <alignment horizontal="center"/>
      <protection hidden="1"/>
    </xf>
    <xf numFmtId="0" fontId="20" fillId="5" borderId="0" xfId="0" applyFont="1" applyFill="1" applyAlignment="1" applyProtection="1">
      <alignment horizontal="centerContinuous"/>
      <protection hidden="1"/>
    </xf>
    <xf numFmtId="170" fontId="12" fillId="0" borderId="0" xfId="0" applyNumberFormat="1" applyFont="1" applyAlignment="1" applyProtection="1">
      <alignment horizontal="center"/>
      <protection hidden="1"/>
    </xf>
    <xf numFmtId="170" fontId="12" fillId="0" borderId="5" xfId="0" applyNumberFormat="1" applyFont="1" applyBorder="1" applyAlignment="1" applyProtection="1">
      <alignment horizontal="center"/>
      <protection hidden="1"/>
    </xf>
    <xf numFmtId="0" fontId="0" fillId="0" borderId="0" xfId="0" applyProtection="1">
      <protection hidden="1"/>
    </xf>
    <xf numFmtId="170" fontId="18" fillId="0" borderId="0" xfId="0" applyNumberFormat="1" applyFont="1" applyAlignment="1" applyProtection="1">
      <alignment horizontal="center"/>
      <protection hidden="1"/>
    </xf>
    <xf numFmtId="0" fontId="12" fillId="0" borderId="0" xfId="0" applyFont="1" applyProtection="1">
      <protection hidden="1"/>
    </xf>
    <xf numFmtId="0" fontId="14" fillId="5" borderId="0" xfId="0" applyFont="1" applyFill="1" applyAlignment="1" applyProtection="1">
      <alignment horizontal="centerContinuous"/>
      <protection hidden="1"/>
    </xf>
    <xf numFmtId="170" fontId="12" fillId="0" borderId="10" xfId="0" applyNumberFormat="1" applyFont="1" applyBorder="1" applyAlignment="1" applyProtection="1">
      <alignment horizontal="center"/>
      <protection hidden="1"/>
    </xf>
    <xf numFmtId="0" fontId="4" fillId="0" borderId="0" xfId="0" applyFont="1" applyAlignment="1">
      <alignment horizontal="left" vertical="center" indent="1"/>
    </xf>
    <xf numFmtId="0" fontId="4" fillId="0" borderId="0" xfId="0" applyFont="1" applyAlignment="1">
      <alignment horizontal="left" vertical="center" wrapText="1" indent="1"/>
    </xf>
    <xf numFmtId="0" fontId="4" fillId="0" borderId="0" xfId="0" applyFont="1" applyAlignment="1">
      <alignment horizontal="left" wrapText="1" indent="1"/>
    </xf>
    <xf numFmtId="0" fontId="4" fillId="0" borderId="0" xfId="0" applyFont="1" applyAlignment="1">
      <alignment horizontal="left" indent="1"/>
    </xf>
    <xf numFmtId="0" fontId="15" fillId="0" borderId="0" xfId="0" applyFont="1"/>
    <xf numFmtId="0" fontId="49" fillId="0" borderId="0" xfId="0" applyFont="1"/>
    <xf numFmtId="0" fontId="49" fillId="0" borderId="0" xfId="0" applyFont="1" applyAlignment="1">
      <alignment wrapText="1"/>
    </xf>
    <xf numFmtId="0" fontId="15" fillId="0" borderId="0" xfId="0" applyFont="1" applyAlignment="1">
      <alignment horizontal="left" indent="1"/>
    </xf>
    <xf numFmtId="0" fontId="50" fillId="6" borderId="0" xfId="0" applyFont="1" applyFill="1" applyAlignment="1">
      <alignment vertical="center"/>
    </xf>
    <xf numFmtId="0" fontId="49" fillId="11" borderId="0" xfId="0" applyFont="1" applyFill="1" applyAlignment="1">
      <alignment vertical="center"/>
    </xf>
    <xf numFmtId="0" fontId="51" fillId="11" borderId="0" xfId="0" applyFont="1" applyFill="1"/>
    <xf numFmtId="0" fontId="21" fillId="11" borderId="0" xfId="0" applyFont="1" applyFill="1" applyAlignment="1">
      <alignment horizontal="left" indent="1"/>
    </xf>
    <xf numFmtId="0" fontId="52" fillId="0" borderId="0" xfId="0" applyFont="1" applyProtection="1">
      <protection hidden="1"/>
    </xf>
    <xf numFmtId="0" fontId="11" fillId="0" borderId="0" xfId="0" applyFont="1" applyProtection="1">
      <protection locked="0"/>
    </xf>
    <xf numFmtId="0" fontId="13" fillId="4" borderId="17" xfId="0" applyFont="1" applyFill="1" applyBorder="1" applyAlignment="1" applyProtection="1">
      <alignment horizontal="center"/>
      <protection locked="0"/>
    </xf>
    <xf numFmtId="0" fontId="13" fillId="4" borderId="6" xfId="0" applyFont="1" applyFill="1" applyBorder="1" applyAlignment="1" applyProtection="1">
      <alignment horizontal="center"/>
      <protection locked="0"/>
    </xf>
    <xf numFmtId="172" fontId="0" fillId="0" borderId="0" xfId="0" applyNumberFormat="1"/>
    <xf numFmtId="0" fontId="13" fillId="12" borderId="9"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protection locked="0"/>
    </xf>
    <xf numFmtId="0" fontId="11" fillId="4" borderId="20" xfId="0" applyFont="1" applyFill="1" applyBorder="1" applyAlignment="1" applyProtection="1">
      <alignment horizontal="center"/>
      <protection locked="0"/>
    </xf>
    <xf numFmtId="0" fontId="14" fillId="6" borderId="0" xfId="0" applyFont="1" applyFill="1" applyAlignment="1">
      <alignment vertical="top" wrapText="1"/>
    </xf>
    <xf numFmtId="0" fontId="4" fillId="0" borderId="9" xfId="0" applyFont="1" applyBorder="1"/>
    <xf numFmtId="0" fontId="4" fillId="11" borderId="9" xfId="0" applyFont="1" applyFill="1" applyBorder="1"/>
    <xf numFmtId="0" fontId="8" fillId="5" borderId="22" xfId="0" applyFont="1" applyFill="1" applyBorder="1" applyAlignment="1">
      <alignment vertical="top"/>
    </xf>
    <xf numFmtId="166" fontId="11" fillId="3" borderId="9" xfId="1" applyNumberFormat="1" applyFont="1" applyFill="1" applyBorder="1" applyAlignment="1" applyProtection="1">
      <alignment horizontal="center" vertical="center"/>
      <protection hidden="1"/>
    </xf>
    <xf numFmtId="0" fontId="6" fillId="0" borderId="0" xfId="0" applyFont="1" applyAlignment="1">
      <alignment horizontal="left"/>
    </xf>
    <xf numFmtId="3" fontId="12" fillId="9" borderId="0" xfId="0" applyNumberFormat="1" applyFont="1" applyFill="1" applyAlignment="1" applyProtection="1">
      <alignment horizontal="center"/>
      <protection hidden="1"/>
    </xf>
    <xf numFmtId="0" fontId="4" fillId="14" borderId="0" xfId="0" applyFont="1" applyFill="1" applyAlignment="1">
      <alignment horizontal="left" wrapText="1" indent="1"/>
    </xf>
    <xf numFmtId="0" fontId="28" fillId="4" borderId="0" xfId="0" applyFont="1" applyFill="1" applyProtection="1">
      <protection locked="0" hidden="1"/>
      <extLst>
        <ext xmlns:xfpb="http://schemas.microsoft.com/office/spreadsheetml/2022/featurepropertybag" uri="{C7286773-470A-42A8-94C5-96B5CB345126}">
          <xfpb:xfComplement i="0"/>
        </ext>
      </extLst>
    </xf>
    <xf numFmtId="168" fontId="4" fillId="13" borderId="9" xfId="0" applyNumberFormat="1" applyFont="1" applyFill="1" applyBorder="1" applyProtection="1">
      <protection locked="0"/>
    </xf>
    <xf numFmtId="0" fontId="4" fillId="0" borderId="9" xfId="0" applyFont="1" applyBorder="1" applyAlignment="1">
      <alignment horizontal="center"/>
    </xf>
    <xf numFmtId="0" fontId="8" fillId="5" borderId="22" xfId="0" applyFont="1" applyFill="1" applyBorder="1" applyAlignment="1">
      <alignment horizontal="center" vertical="top"/>
    </xf>
    <xf numFmtId="165" fontId="4" fillId="13" borderId="9" xfId="0" applyNumberFormat="1" applyFont="1" applyFill="1" applyBorder="1" applyAlignment="1" applyProtection="1">
      <alignment horizontal="center"/>
      <protection locked="0"/>
    </xf>
    <xf numFmtId="0" fontId="11" fillId="13" borderId="0" xfId="0" applyFont="1" applyFill="1" applyAlignment="1" applyProtection="1">
      <alignment horizontal="center"/>
      <protection locked="0"/>
    </xf>
    <xf numFmtId="0" fontId="11" fillId="13" borderId="9" xfId="0" applyFont="1" applyFill="1" applyBorder="1" applyAlignment="1" applyProtection="1">
      <alignment horizontal="center"/>
      <protection locked="0"/>
    </xf>
    <xf numFmtId="3" fontId="12" fillId="9" borderId="0" xfId="0" applyNumberFormat="1" applyFont="1" applyFill="1" applyAlignment="1" applyProtection="1">
      <alignment horizontal="center"/>
      <protection locked="0" hidden="1"/>
    </xf>
    <xf numFmtId="166" fontId="11" fillId="3" borderId="9" xfId="2" applyNumberFormat="1" applyFont="1" applyFill="1" applyBorder="1" applyProtection="1">
      <protection hidden="1"/>
    </xf>
    <xf numFmtId="167" fontId="4" fillId="3" borderId="9" xfId="0" applyNumberFormat="1" applyFont="1" applyFill="1" applyBorder="1" applyProtection="1">
      <protection hidden="1"/>
    </xf>
    <xf numFmtId="166" fontId="4" fillId="3" borderId="9" xfId="0" applyNumberFormat="1" applyFont="1" applyFill="1" applyBorder="1" applyProtection="1">
      <protection hidden="1"/>
    </xf>
    <xf numFmtId="0" fontId="11" fillId="0" borderId="0" xfId="0" applyFont="1" applyAlignment="1" applyProtection="1">
      <alignment horizontal="right"/>
      <protection hidden="1"/>
    </xf>
    <xf numFmtId="0" fontId="12" fillId="0" borderId="0" xfId="0" applyFont="1" applyAlignment="1" applyProtection="1">
      <alignment horizontal="right"/>
      <protection hidden="1"/>
    </xf>
    <xf numFmtId="0" fontId="6" fillId="0" borderId="0" xfId="0" applyFont="1" applyProtection="1">
      <protection hidden="1"/>
    </xf>
    <xf numFmtId="0" fontId="4" fillId="5" borderId="0" xfId="0" applyFont="1" applyFill="1" applyProtection="1">
      <protection hidden="1"/>
    </xf>
    <xf numFmtId="0" fontId="37" fillId="0" borderId="0" xfId="0" applyFont="1" applyAlignment="1" applyProtection="1">
      <alignment horizontal="right"/>
      <protection hidden="1"/>
    </xf>
    <xf numFmtId="0" fontId="27" fillId="0" borderId="0" xfId="0" applyFont="1" applyAlignment="1" applyProtection="1">
      <alignment horizontal="right"/>
      <protection hidden="1"/>
    </xf>
    <xf numFmtId="0" fontId="35" fillId="5" borderId="0" xfId="0" applyFont="1" applyFill="1" applyAlignment="1" applyProtection="1">
      <alignment horizontal="right"/>
      <protection hidden="1"/>
    </xf>
    <xf numFmtId="0" fontId="20" fillId="8" borderId="0" xfId="0" applyFont="1" applyFill="1" applyAlignment="1" applyProtection="1">
      <alignment horizontal="centerContinuous"/>
      <protection hidden="1"/>
    </xf>
    <xf numFmtId="0" fontId="18" fillId="0" borderId="0" xfId="0" applyFont="1" applyAlignment="1" applyProtection="1">
      <alignment horizontal="right"/>
      <protection hidden="1"/>
    </xf>
    <xf numFmtId="0" fontId="18" fillId="0" borderId="5" xfId="0" applyFont="1" applyBorder="1" applyAlignment="1" applyProtection="1">
      <alignment horizontal="right"/>
      <protection hidden="1"/>
    </xf>
    <xf numFmtId="0" fontId="0" fillId="5" borderId="0" xfId="0" applyFill="1" applyProtection="1">
      <protection hidden="1"/>
    </xf>
    <xf numFmtId="0" fontId="18" fillId="0" borderId="10" xfId="0" applyFont="1" applyBorder="1" applyAlignment="1" applyProtection="1">
      <alignment horizontal="right"/>
      <protection hidden="1"/>
    </xf>
    <xf numFmtId="0" fontId="8" fillId="5" borderId="23" xfId="0" applyFont="1" applyFill="1" applyBorder="1" applyAlignment="1">
      <alignment vertical="top"/>
    </xf>
    <xf numFmtId="0" fontId="4" fillId="0" borderId="0" xfId="0" applyFont="1" applyProtection="1">
      <protection locked="0"/>
    </xf>
    <xf numFmtId="0" fontId="4" fillId="0" borderId="12" xfId="0" applyFont="1" applyBorder="1"/>
    <xf numFmtId="168" fontId="4" fillId="0" borderId="0" xfId="0" applyNumberFormat="1" applyFont="1"/>
    <xf numFmtId="0" fontId="8" fillId="5" borderId="22" xfId="0" applyFont="1" applyFill="1" applyBorder="1" applyAlignment="1">
      <alignment vertical="top" wrapText="1"/>
    </xf>
    <xf numFmtId="0" fontId="25" fillId="15" borderId="9" xfId="0" applyFont="1" applyFill="1" applyBorder="1" applyAlignment="1">
      <alignment horizontal="center" vertical="center" wrapText="1"/>
    </xf>
    <xf numFmtId="0" fontId="8" fillId="5" borderId="23" xfId="0" applyFont="1" applyFill="1" applyBorder="1" applyAlignment="1">
      <alignment vertical="top" wrapText="1"/>
    </xf>
    <xf numFmtId="0" fontId="5" fillId="0" borderId="24" xfId="0" applyFont="1" applyBorder="1" applyAlignment="1">
      <alignment horizontal="center" vertical="top" wrapText="1"/>
    </xf>
    <xf numFmtId="0" fontId="17" fillId="9" borderId="0" xfId="0" applyFont="1" applyFill="1"/>
    <xf numFmtId="0" fontId="5" fillId="0" borderId="25" xfId="0" applyFont="1" applyBorder="1" applyAlignment="1">
      <alignment horizontal="center" vertical="top" wrapText="1"/>
    </xf>
    <xf numFmtId="0" fontId="4" fillId="8" borderId="0" xfId="0" applyFont="1" applyFill="1" applyProtection="1">
      <protection hidden="1"/>
    </xf>
    <xf numFmtId="0" fontId="11" fillId="11" borderId="17" xfId="0" applyFont="1" applyFill="1" applyBorder="1" applyProtection="1">
      <protection locked="0"/>
    </xf>
    <xf numFmtId="0" fontId="11" fillId="11" borderId="6" xfId="0" applyFont="1" applyFill="1" applyBorder="1" applyProtection="1">
      <protection locked="0"/>
    </xf>
    <xf numFmtId="166" fontId="11" fillId="11" borderId="6" xfId="0" applyNumberFormat="1" applyFont="1" applyFill="1" applyBorder="1" applyProtection="1">
      <protection locked="0"/>
    </xf>
    <xf numFmtId="166" fontId="11" fillId="13" borderId="9" xfId="0" applyNumberFormat="1" applyFont="1" applyFill="1" applyBorder="1" applyAlignment="1" applyProtection="1">
      <alignment horizontal="center"/>
      <protection locked="0"/>
    </xf>
    <xf numFmtId="3" fontId="11" fillId="3" borderId="9" xfId="2" applyNumberFormat="1" applyFont="1" applyFill="1" applyBorder="1" applyProtection="1">
      <protection hidden="1"/>
    </xf>
    <xf numFmtId="0" fontId="11" fillId="0" borderId="15" xfId="0" applyFont="1" applyBorder="1" applyAlignment="1" applyProtection="1">
      <alignment horizontal="right"/>
      <protection hidden="1"/>
    </xf>
    <xf numFmtId="170" fontId="18" fillId="0" borderId="6" xfId="0" applyNumberFormat="1" applyFont="1" applyBorder="1" applyAlignment="1" applyProtection="1">
      <alignment horizontal="center"/>
      <protection hidden="1"/>
    </xf>
    <xf numFmtId="0" fontId="11" fillId="0" borderId="6" xfId="0" applyFont="1" applyBorder="1" applyAlignment="1" applyProtection="1">
      <alignment horizontal="right"/>
      <protection hidden="1"/>
    </xf>
    <xf numFmtId="170" fontId="12" fillId="0" borderId="17" xfId="0" applyNumberFormat="1" applyFont="1" applyBorder="1" applyAlignment="1" applyProtection="1">
      <alignment horizontal="center"/>
      <protection hidden="1"/>
    </xf>
    <xf numFmtId="170" fontId="12" fillId="0" borderId="6" xfId="0" applyNumberFormat="1" applyFont="1" applyBorder="1" applyAlignment="1" applyProtection="1">
      <alignment horizontal="center"/>
      <protection hidden="1"/>
    </xf>
    <xf numFmtId="170" fontId="12" fillId="0" borderId="15" xfId="0" applyNumberFormat="1" applyFont="1" applyBorder="1" applyAlignment="1" applyProtection="1">
      <alignment horizontal="center"/>
      <protection hidden="1"/>
    </xf>
    <xf numFmtId="0" fontId="8" fillId="5" borderId="22" xfId="0" applyFont="1" applyFill="1" applyBorder="1" applyAlignment="1">
      <alignment horizontal="center" vertical="top" wrapText="1"/>
    </xf>
    <xf numFmtId="165" fontId="4" fillId="16" borderId="9" xfId="0" applyNumberFormat="1" applyFont="1" applyFill="1" applyBorder="1" applyAlignment="1" applyProtection="1">
      <alignment horizontal="center"/>
      <protection locked="0"/>
    </xf>
    <xf numFmtId="0" fontId="4" fillId="0" borderId="0" xfId="0" applyFont="1" applyAlignment="1">
      <alignment wrapText="1"/>
    </xf>
    <xf numFmtId="0" fontId="5" fillId="0" borderId="1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4" fillId="9" borderId="9" xfId="0" applyFont="1" applyFill="1" applyBorder="1" applyAlignment="1" applyProtection="1">
      <alignment vertical="center"/>
      <protection locked="0"/>
    </xf>
    <xf numFmtId="170" fontId="12" fillId="0" borderId="14" xfId="0" applyNumberFormat="1" applyFont="1" applyBorder="1" applyAlignment="1" applyProtection="1">
      <alignment horizontal="center"/>
      <protection hidden="1"/>
    </xf>
    <xf numFmtId="0" fontId="34" fillId="0" borderId="15" xfId="0" applyFont="1" applyBorder="1" applyAlignment="1" applyProtection="1">
      <alignment horizontal="center"/>
      <protection hidden="1"/>
    </xf>
    <xf numFmtId="170" fontId="18" fillId="0" borderId="17" xfId="0" applyNumberFormat="1" applyFont="1" applyBorder="1" applyAlignment="1" applyProtection="1">
      <alignment horizontal="center"/>
      <protection hidden="1"/>
    </xf>
    <xf numFmtId="165" fontId="4" fillId="15" borderId="9" xfId="0" applyNumberFormat="1" applyFont="1" applyFill="1" applyBorder="1" applyAlignment="1" applyProtection="1">
      <alignment horizontal="center" vertical="center"/>
      <protection locked="0" hidden="1"/>
    </xf>
    <xf numFmtId="0" fontId="41" fillId="0" borderId="0" xfId="0" applyFont="1" applyAlignment="1" applyProtection="1">
      <alignment horizontal="left" vertical="top"/>
      <protection hidden="1"/>
    </xf>
    <xf numFmtId="0" fontId="45" fillId="0" borderId="0" xfId="4" applyFont="1" applyFill="1" applyBorder="1" applyAlignment="1" applyProtection="1">
      <alignment horizontal="center"/>
      <protection locked="0" hidden="1"/>
    </xf>
    <xf numFmtId="3" fontId="4" fillId="4" borderId="18" xfId="4" applyNumberFormat="1" applyFont="1" applyFill="1" applyAlignment="1" applyProtection="1">
      <alignment horizontal="center" vertical="center"/>
      <protection locked="0" hidden="1"/>
    </xf>
    <xf numFmtId="0" fontId="12" fillId="4" borderId="18" xfId="4" applyNumberFormat="1" applyFont="1" applyFill="1" applyAlignment="1" applyProtection="1">
      <alignment horizontal="center" vertical="center"/>
      <protection locked="0" hidden="1"/>
    </xf>
    <xf numFmtId="3" fontId="12" fillId="4" borderId="18" xfId="4" applyNumberFormat="1" applyFont="1" applyFill="1" applyAlignment="1" applyProtection="1">
      <alignment horizontal="center" vertical="center"/>
      <protection locked="0" hidden="1"/>
    </xf>
    <xf numFmtId="3" fontId="4" fillId="4" borderId="18" xfId="4" applyNumberFormat="1" applyFont="1" applyFill="1" applyAlignment="1" applyProtection="1">
      <alignment horizontal="center" vertical="center"/>
      <protection hidden="1"/>
    </xf>
    <xf numFmtId="0" fontId="11" fillId="13" borderId="0" xfId="0" applyFont="1" applyFill="1" applyAlignment="1" applyProtection="1">
      <alignment horizontal="center"/>
      <protection hidden="1"/>
    </xf>
    <xf numFmtId="0" fontId="11" fillId="4" borderId="14" xfId="0" applyFont="1" applyFill="1" applyBorder="1" applyAlignment="1" applyProtection="1">
      <alignment horizontal="center"/>
      <protection hidden="1"/>
    </xf>
    <xf numFmtId="0" fontId="13" fillId="4" borderId="20" xfId="0" applyFont="1" applyFill="1" applyBorder="1" applyAlignment="1" applyProtection="1">
      <alignment horizontal="center"/>
      <protection hidden="1"/>
    </xf>
    <xf numFmtId="166" fontId="11" fillId="4" borderId="11" xfId="2" applyNumberFormat="1" applyFont="1" applyFill="1" applyBorder="1" applyAlignment="1" applyProtection="1">
      <alignment horizontal="center"/>
      <protection hidden="1"/>
    </xf>
    <xf numFmtId="164" fontId="11" fillId="4" borderId="9" xfId="1" applyNumberFormat="1" applyFont="1" applyFill="1" applyBorder="1" applyAlignment="1" applyProtection="1">
      <alignment horizontal="center"/>
      <protection hidden="1"/>
    </xf>
    <xf numFmtId="166" fontId="11" fillId="13" borderId="9" xfId="0" applyNumberFormat="1" applyFont="1" applyFill="1" applyBorder="1" applyAlignment="1" applyProtection="1">
      <alignment horizontal="center"/>
      <protection hidden="1"/>
    </xf>
    <xf numFmtId="0" fontId="28" fillId="4" borderId="0" xfId="0" applyFont="1" applyFill="1" applyProtection="1">
      <protection hidden="1"/>
      <extLst>
        <ext xmlns:xfpb="http://schemas.microsoft.com/office/spreadsheetml/2022/featurepropertybag" uri="{C7286773-470A-42A8-94C5-96B5CB345126}">
          <xfpb:xfComplement i="0"/>
        </ext>
      </extLst>
    </xf>
    <xf numFmtId="0" fontId="13" fillId="4" borderId="17" xfId="0" applyFont="1" applyFill="1" applyBorder="1" applyAlignment="1" applyProtection="1">
      <alignment horizontal="center"/>
      <protection hidden="1"/>
    </xf>
    <xf numFmtId="0" fontId="11" fillId="11" borderId="17" xfId="0" applyFont="1" applyFill="1" applyBorder="1" applyProtection="1">
      <protection hidden="1"/>
    </xf>
    <xf numFmtId="0" fontId="11" fillId="4" borderId="20" xfId="0" applyFont="1" applyFill="1" applyBorder="1" applyAlignment="1" applyProtection="1">
      <alignment horizontal="center"/>
      <protection hidden="1"/>
    </xf>
    <xf numFmtId="166" fontId="11" fillId="4" borderId="9" xfId="2" applyNumberFormat="1" applyFont="1" applyFill="1" applyBorder="1" applyAlignment="1" applyProtection="1">
      <alignment horizontal="center"/>
      <protection hidden="1"/>
    </xf>
    <xf numFmtId="0" fontId="13" fillId="4" borderId="6" xfId="0" applyFont="1" applyFill="1" applyBorder="1" applyAlignment="1" applyProtection="1">
      <alignment horizontal="center"/>
      <protection hidden="1"/>
    </xf>
    <xf numFmtId="0" fontId="11" fillId="11" borderId="6" xfId="0" applyFont="1" applyFill="1" applyBorder="1" applyProtection="1">
      <protection hidden="1"/>
    </xf>
    <xf numFmtId="166" fontId="11" fillId="11" borderId="6" xfId="0" applyNumberFormat="1" applyFont="1" applyFill="1" applyBorder="1" applyProtection="1">
      <protection hidden="1"/>
    </xf>
    <xf numFmtId="166" fontId="11" fillId="4" borderId="9" xfId="0" applyNumberFormat="1" applyFont="1" applyFill="1" applyBorder="1" applyAlignment="1" applyProtection="1">
      <alignment horizontal="center"/>
      <protection hidden="1"/>
    </xf>
    <xf numFmtId="0" fontId="11" fillId="13" borderId="9" xfId="0" applyFont="1" applyFill="1" applyBorder="1" applyAlignment="1" applyProtection="1">
      <alignment horizontal="center"/>
      <protection hidden="1"/>
    </xf>
    <xf numFmtId="0" fontId="13" fillId="12" borderId="9" xfId="0" applyFont="1" applyFill="1" applyBorder="1" applyAlignment="1" applyProtection="1">
      <alignment horizontal="center" vertical="center"/>
      <protection hidden="1"/>
    </xf>
    <xf numFmtId="0" fontId="41" fillId="11" borderId="0" xfId="0" applyFont="1" applyFill="1" applyAlignment="1" applyProtection="1">
      <alignment horizontal="center" vertical="top"/>
      <protection hidden="1"/>
    </xf>
    <xf numFmtId="0" fontId="43" fillId="11" borderId="0" xfId="0" applyFont="1" applyFill="1" applyAlignment="1" applyProtection="1">
      <alignment horizontal="left" vertical="center"/>
      <protection hidden="1"/>
    </xf>
    <xf numFmtId="1" fontId="53" fillId="4" borderId="18" xfId="4" applyNumberFormat="1" applyFont="1" applyFill="1" applyAlignment="1" applyProtection="1">
      <alignment horizontal="center" vertical="center"/>
      <protection hidden="1"/>
    </xf>
    <xf numFmtId="3" fontId="53" fillId="4" borderId="19" xfId="4" applyNumberFormat="1" applyFont="1" applyFill="1" applyBorder="1" applyAlignment="1" applyProtection="1">
      <alignment horizontal="center" vertical="center"/>
      <protection hidden="1"/>
    </xf>
    <xf numFmtId="0" fontId="53" fillId="4" borderId="19" xfId="4" applyFont="1" applyFill="1" applyBorder="1" applyAlignment="1" applyProtection="1">
      <alignment horizontal="center" vertical="center"/>
      <protection hidden="1"/>
    </xf>
    <xf numFmtId="165" fontId="4" fillId="15" borderId="9" xfId="0" applyNumberFormat="1" applyFont="1" applyFill="1" applyBorder="1" applyAlignment="1" applyProtection="1">
      <alignment horizontal="center" vertical="center"/>
      <protection hidden="1"/>
    </xf>
    <xf numFmtId="0" fontId="54" fillId="9" borderId="9" xfId="0" applyFont="1" applyFill="1" applyBorder="1" applyAlignment="1" applyProtection="1">
      <alignment vertical="center"/>
      <protection hidden="1"/>
    </xf>
    <xf numFmtId="0" fontId="5" fillId="0" borderId="16"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4" fillId="9" borderId="0" xfId="0" applyFont="1" applyFill="1" applyProtection="1">
      <protection hidden="1"/>
    </xf>
    <xf numFmtId="0" fontId="39" fillId="9" borderId="0" xfId="0" applyFont="1" applyFill="1" applyProtection="1">
      <protection hidden="1"/>
    </xf>
    <xf numFmtId="0" fontId="4" fillId="15" borderId="9" xfId="0" applyFont="1" applyFill="1" applyBorder="1" applyAlignment="1" applyProtection="1">
      <alignment horizontal="center" vertical="center"/>
      <protection locked="0"/>
    </xf>
    <xf numFmtId="0" fontId="19" fillId="6" borderId="15" xfId="0" applyFont="1" applyFill="1" applyBorder="1" applyAlignment="1">
      <alignment horizontal="center"/>
    </xf>
    <xf numFmtId="0" fontId="19" fillId="6" borderId="5" xfId="0" applyFont="1" applyFill="1" applyBorder="1" applyAlignment="1">
      <alignment horizontal="center"/>
    </xf>
    <xf numFmtId="0" fontId="5" fillId="0" borderId="26" xfId="0" applyFont="1" applyBorder="1" applyAlignment="1">
      <alignment horizontal="center" vertical="top" wrapText="1"/>
    </xf>
    <xf numFmtId="0" fontId="5" fillId="0" borderId="29" xfId="0" applyFont="1" applyBorder="1" applyAlignment="1">
      <alignment horizontal="center" vertical="top" wrapText="1"/>
    </xf>
    <xf numFmtId="165" fontId="4" fillId="4" borderId="14" xfId="0" applyNumberFormat="1" applyFont="1" applyFill="1" applyBorder="1" applyAlignment="1" applyProtection="1">
      <alignment horizontal="center" vertical="top" wrapText="1"/>
      <protection locked="0"/>
    </xf>
    <xf numFmtId="165" fontId="4" fillId="4" borderId="20" xfId="0" applyNumberFormat="1" applyFont="1" applyFill="1" applyBorder="1" applyAlignment="1" applyProtection="1">
      <alignment horizontal="center" vertical="top" wrapText="1"/>
      <protection locked="0"/>
    </xf>
    <xf numFmtId="165" fontId="4" fillId="4" borderId="11" xfId="0" applyNumberFormat="1" applyFont="1" applyFill="1" applyBorder="1" applyAlignment="1" applyProtection="1">
      <alignment horizontal="center" vertical="top" wrapText="1"/>
      <protection locked="0"/>
    </xf>
    <xf numFmtId="165" fontId="4" fillId="13" borderId="9" xfId="0" applyNumberFormat="1" applyFont="1" applyFill="1" applyBorder="1" applyAlignment="1" applyProtection="1">
      <alignment horizontal="center" vertical="top" wrapText="1"/>
      <protection locked="0"/>
    </xf>
    <xf numFmtId="165" fontId="4" fillId="4" borderId="17" xfId="0" applyNumberFormat="1" applyFont="1" applyFill="1" applyBorder="1" applyAlignment="1" applyProtection="1">
      <alignment horizontal="center" vertical="top" wrapText="1"/>
      <protection locked="0"/>
    </xf>
    <xf numFmtId="165" fontId="4" fillId="4" borderId="13" xfId="0" applyNumberFormat="1" applyFont="1" applyFill="1" applyBorder="1" applyAlignment="1" applyProtection="1">
      <alignment horizontal="center" vertical="top" wrapText="1"/>
      <protection locked="0"/>
    </xf>
    <xf numFmtId="165" fontId="4" fillId="4" borderId="6" xfId="0" applyNumberFormat="1" applyFont="1" applyFill="1" applyBorder="1" applyAlignment="1" applyProtection="1">
      <alignment horizontal="center" vertical="top" wrapText="1"/>
      <protection locked="0"/>
    </xf>
    <xf numFmtId="165" fontId="4" fillId="4" borderId="27" xfId="0" applyNumberFormat="1" applyFont="1" applyFill="1" applyBorder="1" applyAlignment="1" applyProtection="1">
      <alignment horizontal="center" vertical="top" wrapText="1"/>
      <protection locked="0"/>
    </xf>
    <xf numFmtId="165" fontId="4" fillId="4" borderId="15" xfId="0" applyNumberFormat="1" applyFont="1" applyFill="1" applyBorder="1" applyAlignment="1" applyProtection="1">
      <alignment horizontal="center" vertical="top" wrapText="1"/>
      <protection locked="0"/>
    </xf>
    <xf numFmtId="165" fontId="4" fillId="4" borderId="28" xfId="0" applyNumberFormat="1" applyFont="1" applyFill="1" applyBorder="1" applyAlignment="1" applyProtection="1">
      <alignment horizontal="center" vertical="top" wrapText="1"/>
      <protection locked="0"/>
    </xf>
    <xf numFmtId="8" fontId="54" fillId="9" borderId="11" xfId="0" applyNumberFormat="1" applyFont="1" applyFill="1" applyBorder="1" applyAlignment="1" applyProtection="1">
      <alignment horizontal="center" vertical="center"/>
      <protection locked="0"/>
    </xf>
    <xf numFmtId="8" fontId="54" fillId="9" borderId="9" xfId="0" applyNumberFormat="1" applyFont="1" applyFill="1" applyBorder="1" applyAlignment="1" applyProtection="1">
      <alignment horizontal="center" vertical="center"/>
      <protection locked="0"/>
    </xf>
    <xf numFmtId="165" fontId="4" fillId="13" borderId="9" xfId="0" applyNumberFormat="1" applyFont="1" applyFill="1" applyBorder="1" applyAlignment="1" applyProtection="1">
      <alignment horizontal="center" vertical="top" wrapText="1"/>
      <protection hidden="1"/>
    </xf>
    <xf numFmtId="8" fontId="54" fillId="9" borderId="9" xfId="0" applyNumberFormat="1" applyFont="1" applyFill="1" applyBorder="1" applyAlignment="1" applyProtection="1">
      <alignment horizontal="center" vertical="center"/>
      <protection hidden="1"/>
    </xf>
    <xf numFmtId="0" fontId="4" fillId="15" borderId="9" xfId="0" applyFont="1" applyFill="1" applyBorder="1" applyAlignment="1" applyProtection="1">
      <alignment horizontal="center" vertical="center"/>
      <protection hidden="1"/>
    </xf>
    <xf numFmtId="165" fontId="4" fillId="4" borderId="14" xfId="0" applyNumberFormat="1" applyFont="1" applyFill="1" applyBorder="1" applyAlignment="1" applyProtection="1">
      <alignment horizontal="center" vertical="top" wrapText="1"/>
      <protection hidden="1"/>
    </xf>
    <xf numFmtId="165" fontId="4" fillId="4" borderId="20" xfId="0" applyNumberFormat="1" applyFont="1" applyFill="1" applyBorder="1" applyAlignment="1" applyProtection="1">
      <alignment horizontal="center" vertical="top" wrapText="1"/>
      <protection hidden="1"/>
    </xf>
    <xf numFmtId="165" fontId="4" fillId="4" borderId="11" xfId="0" applyNumberFormat="1" applyFont="1" applyFill="1" applyBorder="1" applyAlignment="1" applyProtection="1">
      <alignment horizontal="center" vertical="top" wrapText="1"/>
      <protection hidden="1"/>
    </xf>
    <xf numFmtId="165" fontId="4" fillId="4" borderId="17" xfId="0" applyNumberFormat="1" applyFont="1" applyFill="1" applyBorder="1" applyAlignment="1" applyProtection="1">
      <alignment horizontal="center" vertical="top" wrapText="1"/>
      <protection hidden="1"/>
    </xf>
    <xf numFmtId="165" fontId="4" fillId="4" borderId="13" xfId="0" applyNumberFormat="1" applyFont="1" applyFill="1" applyBorder="1" applyAlignment="1" applyProtection="1">
      <alignment horizontal="center" vertical="top" wrapText="1"/>
      <protection hidden="1"/>
    </xf>
    <xf numFmtId="165" fontId="4" fillId="4" borderId="6" xfId="0" applyNumberFormat="1" applyFont="1" applyFill="1" applyBorder="1" applyAlignment="1" applyProtection="1">
      <alignment horizontal="center" vertical="top" wrapText="1"/>
      <protection hidden="1"/>
    </xf>
    <xf numFmtId="165" fontId="4" fillId="4" borderId="27" xfId="0" applyNumberFormat="1" applyFont="1" applyFill="1" applyBorder="1" applyAlignment="1" applyProtection="1">
      <alignment horizontal="center" vertical="top" wrapText="1"/>
      <protection hidden="1"/>
    </xf>
    <xf numFmtId="165" fontId="4" fillId="4" borderId="15" xfId="0" applyNumberFormat="1" applyFont="1" applyFill="1" applyBorder="1" applyAlignment="1" applyProtection="1">
      <alignment horizontal="center" vertical="top" wrapText="1"/>
      <protection hidden="1"/>
    </xf>
    <xf numFmtId="165" fontId="4" fillId="4" borderId="28" xfId="0" applyNumberFormat="1" applyFont="1" applyFill="1" applyBorder="1" applyAlignment="1" applyProtection="1">
      <alignment horizontal="center" vertical="top" wrapText="1"/>
      <protection hidden="1"/>
    </xf>
    <xf numFmtId="8" fontId="54" fillId="9" borderId="11" xfId="0" applyNumberFormat="1" applyFont="1" applyFill="1" applyBorder="1" applyAlignment="1" applyProtection="1">
      <alignment horizontal="center" vertical="center"/>
      <protection hidden="1"/>
    </xf>
  </cellXfs>
  <cellStyles count="5">
    <cellStyle name="Comma" xfId="1" builtinId="3"/>
    <cellStyle name="Currency" xfId="2" builtinId="4"/>
    <cellStyle name="Input" xfId="4" builtinId="20"/>
    <cellStyle name="Normal" xfId="0" builtinId="0"/>
    <cellStyle name="Output" xfId="3" builtinId="21"/>
  </cellStyles>
  <dxfs count="447">
    <dxf>
      <font>
        <b val="0"/>
        <i val="0"/>
        <strike val="0"/>
        <condense val="0"/>
        <extend val="0"/>
        <outline val="0"/>
        <shadow val="0"/>
        <u val="none"/>
        <vertAlign val="baseline"/>
        <sz val="12"/>
        <color theme="1"/>
        <name val="Aptos"/>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border>
        <left style="thin">
          <color rgb="FF7F7F7F"/>
        </left>
      </border>
      <protection locked="1" hidden="1"/>
    </dxf>
    <dxf>
      <font>
        <b val="0"/>
        <i val="0"/>
        <strike val="0"/>
        <condense val="0"/>
        <extend val="0"/>
        <outline val="0"/>
        <shadow val="0"/>
        <u val="none"/>
        <vertAlign val="baseline"/>
        <sz val="11"/>
        <color theme="1"/>
        <name val="Aptos"/>
        <family val="2"/>
        <scheme val="none"/>
      </font>
      <numFmt numFmtId="167" formatCode="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family val="2"/>
        <scheme val="none"/>
      </font>
      <numFmt numFmtId="166" formatCode="&quot;$&quot;#,##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3" formatCode="#,##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none"/>
      </font>
      <protection locked="0" hidden="0"/>
    </dxf>
    <dxf>
      <font>
        <b val="0"/>
        <i val="0"/>
        <strike val="0"/>
        <condense val="0"/>
        <extend val="0"/>
        <outline val="0"/>
        <shadow val="0"/>
        <u val="none"/>
        <vertAlign val="baseline"/>
        <sz val="11"/>
        <color theme="0"/>
        <name val="Aptos"/>
        <family val="2"/>
        <scheme val="none"/>
      </font>
      <fill>
        <patternFill patternType="solid">
          <fgColor indexed="64"/>
          <bgColor theme="3"/>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ptos"/>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border outline="0">
        <left style="thin">
          <color rgb="FF7F7F7F"/>
        </lef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right style="thin">
          <color rgb="FF7F7F7F"/>
        </righ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right style="thin">
          <color rgb="FF7F7F7F"/>
        </righ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right style="thin">
          <color rgb="FF7F7F7F"/>
        </righ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right style="thin">
          <color rgb="FF7F7F7F"/>
        </righ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right style="thin">
          <color rgb="FF7F7F7F"/>
        </right>
      </border>
      <protection locked="0" hidden="1"/>
    </dxf>
    <dxf>
      <font>
        <strike val="0"/>
        <outline val="0"/>
        <shadow val="0"/>
        <u val="none"/>
        <vertAlign val="baseline"/>
        <sz val="12"/>
        <color theme="1"/>
        <name val="Aptos"/>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outline="0">
        <right style="thin">
          <color rgb="FF7F7F7F"/>
        </right>
      </border>
      <protection locked="0" hidden="1"/>
    </dxf>
    <dxf>
      <font>
        <b val="0"/>
        <i val="0"/>
        <strike val="0"/>
        <condense val="0"/>
        <extend val="0"/>
        <outline val="0"/>
        <shadow val="0"/>
        <u val="none"/>
        <vertAlign val="baseline"/>
        <sz val="12"/>
        <color rgb="FF000000"/>
        <name val="Aptos"/>
        <family val="2"/>
        <scheme val="none"/>
      </font>
      <fill>
        <patternFill patternType="solid">
          <fgColor rgb="FF000000"/>
          <bgColor rgb="FFBBE6FF"/>
        </patternFill>
      </fill>
      <alignment horizontal="center" vertical="bottom" textRotation="0" wrapText="0" indent="0" justifyLastLine="0" shrinkToFit="0" readingOrder="0"/>
      <protection locked="0"/>
    </dxf>
    <dxf>
      <font>
        <b val="0"/>
        <i val="0"/>
        <strike val="0"/>
        <condense val="0"/>
        <extend val="0"/>
        <outline val="0"/>
        <shadow val="0"/>
        <u val="none"/>
        <vertAlign val="baseline"/>
        <sz val="11"/>
        <color theme="1"/>
        <name val="Aptos"/>
        <family val="2"/>
        <scheme val="none"/>
      </font>
      <alignment horizontal="center" vertical="top" textRotation="0" wrapText="1" indent="0" justifyLastLine="0" shrinkToFit="0" readingOrder="0"/>
    </dxf>
    <dxf>
      <font>
        <strike val="0"/>
        <outline val="0"/>
        <shadow val="0"/>
        <u val="none"/>
        <vertAlign val="baseline"/>
        <sz val="11"/>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indexed="64"/>
        </left>
      </border>
      <protection locked="0" hidden="1"/>
    </dxf>
    <dxf>
      <font>
        <b/>
        <strike val="0"/>
        <outline val="0"/>
        <shadow val="0"/>
        <u val="none"/>
        <vertAlign val="baseline"/>
        <sz val="11"/>
        <color theme="1"/>
        <name val="Aptos Narrow"/>
        <family val="2"/>
        <scheme val="none"/>
      </font>
      <fill>
        <patternFill patternType="solid">
          <fgColor theme="0"/>
          <bgColor theme="9" tint="0.79995117038483843"/>
        </patternFill>
      </fill>
      <alignment horizontal="center" vertical="center" textRotation="0" wrapText="0" indent="0" justifyLastLine="0" shrinkToFit="0" readingOrder="0"/>
      <border diagonalUp="0" diagonalDown="0" outline="0">
        <left style="thin">
          <color indexed="64"/>
        </left>
        <right style="thin">
          <color rgb="FF7F7F7F"/>
        </right>
        <top style="thin">
          <color indexed="64"/>
        </top>
        <bottom style="thin">
          <color indexed="64"/>
        </bottom>
      </border>
      <protection locked="0"/>
    </dxf>
    <dxf>
      <font>
        <strike val="0"/>
        <outline val="0"/>
        <shadow val="0"/>
        <u val="none"/>
        <vertAlign val="baseline"/>
        <sz val="11"/>
        <color rgb="FF000000"/>
        <name val="Aptos"/>
        <family val="2"/>
        <scheme val="none"/>
      </font>
      <fill>
        <patternFill patternType="solid">
          <fgColor rgb="FF000000"/>
          <bgColor rgb="FFBBE6FF"/>
        </patternFill>
      </fill>
      <protection locked="0"/>
    </dxf>
    <dxf>
      <font>
        <b val="0"/>
        <i val="0"/>
        <strike val="0"/>
        <condense val="0"/>
        <extend val="0"/>
        <outline val="0"/>
        <shadow val="0"/>
        <u val="none"/>
        <vertAlign val="baseline"/>
        <sz val="11"/>
        <color theme="1"/>
        <name val="Aptos"/>
        <family val="2"/>
        <scheme val="none"/>
      </font>
      <alignment vertical="center" textRotation="0" wrapText="0" indent="0" justifyLastLine="0" shrinkToFit="0" readingOrder="0"/>
    </dxf>
    <dxf>
      <font>
        <strike val="0"/>
        <outline val="0"/>
        <shadow val="0"/>
        <u val="none"/>
        <vertAlign val="baseline"/>
        <sz val="11"/>
        <name val="Aptos Narrow"/>
        <family val="2"/>
        <scheme val="none"/>
      </font>
      <numFmt numFmtId="166" formatCode="&quot;$&quot;#,##0"/>
      <fill>
        <patternFill patternType="solid">
          <fgColor indexed="64"/>
          <bgColor theme="0"/>
        </patternFill>
      </fill>
      <border diagonalUp="0" diagonalDown="0">
        <left style="thin">
          <color indexed="64"/>
        </left>
        <right/>
        <top/>
        <bottom/>
        <vertical/>
        <horizontal/>
      </border>
      <protection locked="0" hidden="0"/>
    </dxf>
    <dxf>
      <font>
        <b/>
        <strike val="0"/>
        <outline val="0"/>
        <shadow val="0"/>
        <u val="none"/>
        <vertAlign val="baseline"/>
        <sz val="11"/>
        <color theme="3"/>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border>
      <protection locked="0"/>
      <extLst>
        <ext xmlns:xfpb="http://schemas.microsoft.com/office/spreadsheetml/2022/featurepropertybag" uri="{0417FA29-78FA-4A13-93AC-8FF0FAFDF519}">
          <xfpb:DXFComplement i="0"/>
        </ext>
      </extLst>
    </dxf>
    <dxf>
      <font>
        <strike val="0"/>
        <outline val="0"/>
        <shadow val="0"/>
        <u val="none"/>
        <vertAlign val="baseline"/>
        <sz val="11"/>
        <color theme="3"/>
        <name val="Aptos Narrow"/>
        <family val="2"/>
        <scheme val="none"/>
      </font>
      <numFmt numFmtId="167" formatCode="0.0"/>
      <fill>
        <patternFill patternType="solid">
          <fgColor indexed="64"/>
          <bgColor theme="4" tint="0.79998168889431442"/>
        </patternFill>
      </fill>
      <alignment horizontal="center" vertical="bottom" textRotation="0" wrapText="0" indent="0" justifyLastLine="0" shrinkToFit="0" readingOrder="0"/>
      <protection locked="0" hidden="1"/>
      <extLst>
        <ext xmlns:xfpb="http://schemas.microsoft.com/office/spreadsheetml/2022/featurepropertybag" uri="{0417FA29-78FA-4A13-93AC-8FF0FAFDF519}">
          <xfpb:DXFComplement i="0"/>
        </ext>
      </extLst>
    </dxf>
    <dxf>
      <font>
        <strike val="0"/>
        <outline val="0"/>
        <shadow val="0"/>
        <u val="none"/>
        <vertAlign val="baseline"/>
        <sz val="11"/>
        <name val="Aptos Narrow"/>
        <family val="2"/>
        <scheme val="none"/>
      </font>
      <numFmt numFmtId="167" formatCode="0.0"/>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ptos Narrow"/>
        <family val="2"/>
        <scheme val="none"/>
      </font>
      <numFmt numFmtId="166" formatCode="&quot;$&quot;#,##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strike val="0"/>
        <outline val="0"/>
        <shadow val="0"/>
        <u val="none"/>
        <vertAlign val="baseline"/>
        <sz val="11"/>
        <name val="Aptos Narrow"/>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dxf>
    <dxf>
      <font>
        <strike val="0"/>
        <outline val="0"/>
        <shadow val="0"/>
        <u val="none"/>
        <vertAlign val="baseline"/>
        <sz val="11"/>
        <name val="Aptos Narrow"/>
        <family val="2"/>
        <scheme val="none"/>
      </font>
      <numFmt numFmtId="166" formatCode="&quot;$&quot;#,##0"/>
      <fill>
        <patternFill patternType="solid">
          <fgColor indexed="64"/>
          <bgColor theme="4" tint="0.79998168889431442"/>
        </patternFill>
      </fill>
      <alignment horizontal="center" textRotation="0" indent="0" justifyLastLine="0" shrinkToFit="0" readingOrder="0"/>
      <border diagonalUp="0" diagonalDown="0">
        <left/>
        <right style="thin">
          <color indexed="64"/>
        </right>
        <top style="thin">
          <color indexed="64"/>
        </top>
        <bottom style="thin">
          <color indexed="64"/>
        </bottom>
      </border>
      <protection locked="0"/>
    </dxf>
    <dxf>
      <font>
        <b/>
        <strike val="0"/>
        <outline val="0"/>
        <shadow val="0"/>
        <u val="none"/>
        <vertAlign val="baseline"/>
        <sz val="11"/>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dxf>
    <dxf>
      <font>
        <strike val="0"/>
        <outline val="0"/>
        <shadow val="0"/>
        <u val="none"/>
        <vertAlign val="baseline"/>
        <sz val="11"/>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bottom/>
      </border>
      <protection locked="0"/>
    </dxf>
    <dxf>
      <font>
        <strike val="0"/>
        <outline val="0"/>
        <shadow val="0"/>
        <u val="none"/>
        <vertAlign val="baseline"/>
        <sz val="11"/>
        <name val="Aptos Narrow"/>
        <family val="2"/>
        <scheme val="none"/>
      </font>
      <fill>
        <patternFill patternType="solid">
          <fgColor indexed="64"/>
          <bgColor theme="9" tint="0.79998168889431442"/>
        </patternFill>
      </fill>
      <alignment horizontal="center" vertical="bottom" textRotation="0" wrapText="0" indent="0" justifyLastLine="0" shrinkToFit="0" readingOrder="0"/>
      <protection locked="0" hidden="0"/>
    </dxf>
    <dxf>
      <font>
        <strike val="0"/>
        <outline val="0"/>
        <shadow val="0"/>
        <u val="none"/>
        <vertAlign val="baseline"/>
        <sz val="11"/>
        <name val="Aptos Narrow"/>
        <family val="2"/>
        <scheme val="none"/>
      </font>
    </dxf>
    <dxf>
      <font>
        <strike val="0"/>
        <outline val="0"/>
        <shadow val="0"/>
        <u val="none"/>
        <vertAlign val="baseline"/>
        <sz val="1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9" formatCode=";[Red]\✘;[Color50]\✔;&quot;&quo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rgb="FFFF0000"/>
        <name val="Aptos Narrow"/>
        <family val="2"/>
        <scheme val="none"/>
      </font>
      <numFmt numFmtId="176" formatCode="[&lt;-999999]&quot;$&quot;0.0,,\M;[&lt;0]&quot;$&quot;#,##0.0,\K;"/>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3" formatCode="#,##0"/>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1" tint="0.499984740745262"/>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1" tint="0.499984740745262"/>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border diagonalUp="0" diagonalDown="0">
        <left style="thin">
          <color indexed="64"/>
        </left>
        <right/>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border diagonalUp="0" diagonalDown="0" outline="0">
        <left style="thin">
          <color indexed="64"/>
        </left>
        <right/>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 formatCode="0"/>
      <protection locked="1" hidden="1"/>
    </dxf>
    <dxf>
      <border outline="0">
        <left style="thin">
          <color rgb="FF006DAC"/>
        </left>
        <right style="thin">
          <color rgb="FF006DAC"/>
        </right>
        <top style="thin">
          <color rgb="FF006DAC"/>
        </top>
      </border>
    </dxf>
    <dxf>
      <font>
        <strike val="0"/>
        <outline val="0"/>
        <shadow val="0"/>
        <u val="none"/>
        <vertAlign val="baseline"/>
        <sz val="11"/>
        <color rgb="FF000000"/>
        <name val="Aptos Narrow"/>
        <family val="2"/>
        <scheme val="none"/>
      </font>
      <protection locked="1" hidden="1"/>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protection locked="1" hidden="1"/>
    </dxf>
    <dxf>
      <font>
        <b/>
        <i val="0"/>
        <strike val="0"/>
        <condense val="0"/>
        <extend val="0"/>
        <outline val="0"/>
        <shadow val="0"/>
        <u val="none"/>
        <vertAlign val="baseline"/>
        <sz val="11"/>
        <color theme="0"/>
        <name val="Aptos"/>
        <family val="2"/>
        <scheme val="none"/>
      </font>
      <fill>
        <patternFill patternType="none">
          <fgColor indexed="64"/>
          <bgColor auto="1"/>
        </patternFill>
      </fill>
      <alignment horizontal="general" vertical="top" textRotation="0" wrapText="1" indent="0" justifyLastLine="0" shrinkToFit="0" readingOrder="0"/>
    </dxf>
    <dxf>
      <fill>
        <patternFill>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ont>
        <b/>
        <i val="0"/>
        <color theme="0"/>
      </font>
      <fill>
        <patternFill>
          <bgColor rgb="FFFF9999"/>
        </patternFill>
      </fill>
    </dxf>
    <dxf>
      <font>
        <b/>
        <i val="0"/>
        <color theme="0"/>
      </font>
      <fill>
        <patternFill>
          <bgColor theme="9"/>
        </patternFill>
      </fill>
    </dxf>
    <dxf>
      <font>
        <color theme="0"/>
      </font>
    </dxf>
    <dxf>
      <font>
        <b/>
        <i val="0"/>
        <color theme="9"/>
      </font>
      <fill>
        <patternFill patternType="none">
          <bgColor auto="1"/>
        </patternFill>
      </fill>
    </dxf>
    <dxf>
      <fill>
        <patternFill>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ont>
        <b/>
        <i val="0"/>
        <color theme="0"/>
      </font>
      <fill>
        <patternFill>
          <bgColor rgb="FFFF9999"/>
        </patternFill>
      </fill>
    </dxf>
    <dxf>
      <font>
        <b/>
        <i val="0"/>
        <color theme="0"/>
      </font>
      <fill>
        <patternFill>
          <bgColor theme="9"/>
        </patternFill>
      </fill>
    </dxf>
    <dxf>
      <font>
        <color theme="0"/>
      </font>
    </dxf>
    <dxf>
      <font>
        <b/>
        <i val="0"/>
        <color theme="9"/>
      </font>
      <fill>
        <patternFill patternType="none">
          <bgColor auto="1"/>
        </patternFill>
      </fill>
    </dxf>
    <dxf>
      <fill>
        <patternFill>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ont>
        <b/>
        <i val="0"/>
        <color theme="0"/>
      </font>
      <fill>
        <patternFill>
          <bgColor rgb="FFFF9999"/>
        </patternFill>
      </fill>
    </dxf>
    <dxf>
      <font>
        <b/>
        <i val="0"/>
        <color theme="0"/>
      </font>
      <fill>
        <patternFill>
          <bgColor theme="9"/>
        </patternFill>
      </fill>
    </dxf>
    <dxf>
      <font>
        <color theme="0"/>
      </font>
    </dxf>
    <dxf>
      <font>
        <b/>
        <i val="0"/>
        <color theme="9"/>
      </font>
      <fill>
        <patternFill patternType="none">
          <bgColor auto="1"/>
        </patternFill>
      </fill>
    </dxf>
    <dxf>
      <font>
        <strike val="0"/>
        <outline val="0"/>
        <shadow val="0"/>
        <u val="none"/>
        <vertAlign val="baseline"/>
        <name val="Aptos"/>
        <family val="2"/>
        <scheme val="none"/>
      </font>
      <border outline="0">
        <left style="thin">
          <color indexed="64"/>
        </left>
      </border>
    </dxf>
    <dxf>
      <font>
        <strike val="0"/>
        <outline val="0"/>
        <shadow val="0"/>
        <u val="none"/>
        <vertAlign val="baseline"/>
        <name val="Aptos"/>
        <family val="2"/>
        <scheme val="none"/>
      </font>
      <numFmt numFmtId="165" formatCode="&quot;$&quot;#,##0.00"/>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Aptos"/>
        <family val="2"/>
        <scheme val="none"/>
      </font>
      <numFmt numFmtId="165" formatCode="&quot;$&quot;#,##0.00"/>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ptos"/>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ptos"/>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ptos"/>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ptos"/>
        <family val="2"/>
        <scheme val="none"/>
      </font>
    </dxf>
    <dxf>
      <border outline="0">
        <bottom style="thin">
          <color theme="8" tint="0.39997558519241921"/>
        </bottom>
      </border>
    </dxf>
    <dxf>
      <font>
        <b/>
        <i val="0"/>
        <strike val="0"/>
        <condense val="0"/>
        <extend val="0"/>
        <outline val="0"/>
        <shadow val="0"/>
        <u val="none"/>
        <vertAlign val="baseline"/>
        <sz val="11"/>
        <color theme="0"/>
        <name val="Aptos"/>
        <family val="2"/>
        <scheme val="none"/>
      </font>
      <fill>
        <patternFill patternType="solid">
          <fgColor indexed="64"/>
          <bgColor theme="1" tint="0.499984740745262"/>
        </patternFill>
      </fill>
      <alignment horizontal="general" vertical="top" textRotation="0" wrapText="0" indent="0" justifyLastLine="0" shrinkToFit="0" readingOrder="0"/>
      <border diagonalUp="0" diagonalDown="0" outline="0">
        <left style="thin">
          <color theme="8" tint="0.39997558519241921"/>
        </left>
        <right style="thin">
          <color theme="8" tint="0.39997558519241921"/>
        </right>
        <top/>
        <bottom/>
      </border>
    </dxf>
    <dxf>
      <font>
        <strike val="0"/>
        <outline val="0"/>
        <shadow val="0"/>
        <u val="none"/>
        <vertAlign val="baseline"/>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ptos"/>
        <family val="2"/>
        <scheme val="none"/>
      </font>
      <numFmt numFmtId="168" formatCode="0.0000000"/>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theme="8"/>
        </top>
      </border>
    </dxf>
    <dxf>
      <font>
        <strike val="0"/>
        <outline val="0"/>
        <shadow val="0"/>
        <u val="none"/>
        <vertAlign val="baseline"/>
        <name val="Aptos"/>
        <family val="2"/>
        <scheme val="none"/>
      </font>
    </dxf>
    <dxf>
      <font>
        <b/>
        <i val="0"/>
        <strike val="0"/>
        <condense val="0"/>
        <extend val="0"/>
        <outline val="0"/>
        <shadow val="0"/>
        <u val="none"/>
        <vertAlign val="baseline"/>
        <sz val="11"/>
        <color theme="0"/>
        <name val="Aptos"/>
        <family val="2"/>
        <scheme val="none"/>
      </font>
      <fill>
        <patternFill patternType="solid">
          <fgColor indexed="64"/>
          <bgColor theme="1" tint="0.499984740745262"/>
        </patternFill>
      </fill>
      <alignment horizontal="general" vertical="top" textRotation="0" wrapText="0" indent="0" justifyLastLine="0" shrinkToFit="0" readingOrder="0"/>
    </dxf>
    <dxf>
      <font>
        <b/>
        <i val="0"/>
        <strike val="0"/>
        <condense val="0"/>
        <extend val="0"/>
        <outline val="0"/>
        <shadow val="0"/>
        <u val="none"/>
        <vertAlign val="baseline"/>
        <sz val="11"/>
        <color theme="1"/>
        <name val="Aptos"/>
        <family val="2"/>
        <scheme val="none"/>
      </font>
      <numFmt numFmtId="3" formatCode="#,##0"/>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border diagonalUp="0" diagonalDown="0">
        <left style="thin">
          <color indexed="64"/>
        </left>
        <right/>
        <top/>
        <bottom/>
        <vertical/>
        <horizontal/>
      </border>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Aptos"/>
        <family val="2"/>
        <scheme val="none"/>
      </font>
      <numFmt numFmtId="3" formatCode="#,##0"/>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border diagonalUp="0" diagonalDown="0">
        <left style="thin">
          <color indexed="64"/>
        </left>
        <right/>
        <top/>
        <bottom/>
        <vertical/>
        <horizontal/>
      </border>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3" formatCode="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3" formatCode="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3" formatCode="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3" formatCode="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3" formatCode="0.00000000"/>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2" formatCode="0.000000000"/>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71" formatCode="0.00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1" formatCode="0.00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1" formatCode="0.00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1" formatCode="0.00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1" formatCode="0.00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71" formatCode="0.0000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right style="thin">
          <color indexed="64"/>
        </right>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family val="2"/>
        <scheme val="none"/>
      </font>
      <numFmt numFmtId="167" formatCode="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family val="2"/>
        <scheme val="none"/>
      </font>
      <numFmt numFmtId="166" formatCode="&quot;$&quot;#,##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3" formatCode="#,##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0"/>
        <name val="Aptos"/>
        <family val="2"/>
        <scheme val="none"/>
      </font>
      <fill>
        <patternFill patternType="solid">
          <fgColor indexed="64"/>
          <bgColor theme="3"/>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ptos"/>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border>
        <left style="thin">
          <color rgb="FF7F7F7F"/>
        </left>
      </border>
      <protection locked="1" hidden="1"/>
    </dxf>
    <dxf>
      <font>
        <strike val="0"/>
        <outline val="0"/>
        <shadow val="0"/>
        <u val="none"/>
        <vertAlign val="baseline"/>
        <sz val="12"/>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left style="thin">
          <color rgb="FF7F7F7F"/>
        </left>
      </border>
      <protection locked="1" hidden="1"/>
    </dxf>
    <dxf>
      <font>
        <strike val="0"/>
        <outline val="0"/>
        <shadow val="0"/>
        <u val="none"/>
        <vertAlign val="baseline"/>
        <sz val="12"/>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left style="thin">
          <color rgb="FF7F7F7F"/>
        </left>
        <right style="thin">
          <color rgb="FF7F7F7F"/>
        </right>
      </border>
      <protection locked="1" hidden="1"/>
    </dxf>
    <dxf>
      <font>
        <strike val="0"/>
        <outline val="0"/>
        <shadow val="0"/>
        <u val="none"/>
        <vertAlign val="baseline"/>
        <sz val="12"/>
        <name val="Aptos"/>
        <family val="2"/>
        <scheme val="none"/>
      </font>
      <fill>
        <patternFill patternType="solid">
          <fgColor indexed="64"/>
          <bgColor theme="4" tint="0.79998168889431442"/>
        </patternFill>
      </fill>
      <alignment horizontal="center" vertical="center" textRotation="0" wrapText="0" indent="0" justifyLastLine="0" shrinkToFit="0" readingOrder="0"/>
      <border>
        <left style="thin">
          <color rgb="FF7F7F7F"/>
        </left>
        <right style="thin">
          <color rgb="FF7F7F7F"/>
        </right>
      </border>
      <protection locked="1" hidden="1"/>
    </dxf>
    <dxf>
      <font>
        <strike val="0"/>
        <outline val="0"/>
        <shadow val="0"/>
        <u val="none"/>
        <vertAlign val="baseline"/>
        <sz val="12"/>
        <name val="Aptos"/>
        <family val="2"/>
        <scheme val="none"/>
      </font>
      <fill>
        <patternFill patternType="solid">
          <fgColor indexed="64"/>
          <bgColor theme="4" tint="0.79998168889431442"/>
        </patternFill>
      </fill>
      <alignment horizontal="center" vertical="center" textRotation="0" wrapText="0" indent="0" justifyLastLine="0" shrinkToFit="0" readingOrder="0"/>
      <border>
        <left style="thin">
          <color rgb="FF7F7F7F"/>
        </left>
        <right style="thin">
          <color rgb="FF7F7F7F"/>
        </right>
      </border>
      <protection locked="1" hidden="1"/>
    </dxf>
    <dxf>
      <font>
        <strike val="0"/>
        <outline val="0"/>
        <shadow val="0"/>
        <u val="none"/>
        <vertAlign val="baseline"/>
        <sz val="12"/>
        <name val="Aptos"/>
        <family val="2"/>
        <scheme val="none"/>
      </font>
      <fill>
        <patternFill patternType="solid">
          <fgColor indexed="64"/>
          <bgColor theme="4" tint="0.79998168889431442"/>
        </patternFill>
      </fill>
      <alignment horizontal="center" vertical="center" textRotation="0" wrapText="0" indent="0" justifyLastLine="0" shrinkToFit="0" readingOrder="0"/>
      <border>
        <left style="thin">
          <color rgb="FF7F7F7F"/>
        </left>
        <right style="thin">
          <color rgb="FF7F7F7F"/>
        </right>
      </border>
      <protection locked="1" hidden="1"/>
    </dxf>
    <dxf>
      <font>
        <strike val="0"/>
        <outline val="0"/>
        <shadow val="0"/>
        <u val="none"/>
        <vertAlign val="baseline"/>
        <sz val="12"/>
        <name val="Aptos"/>
        <family val="2"/>
        <scheme val="none"/>
      </font>
      <fill>
        <patternFill patternType="solid">
          <fgColor indexed="64"/>
          <bgColor theme="4" tint="0.79998168889431442"/>
        </patternFill>
      </fill>
      <alignment horizontal="center" vertical="center" textRotation="0" wrapText="0" indent="0" justifyLastLine="0" shrinkToFit="0" readingOrder="0"/>
      <border>
        <left style="thin">
          <color rgb="FF7F7F7F"/>
        </left>
        <right style="thin">
          <color rgb="FF7F7F7F"/>
        </right>
      </border>
      <protection locked="1" hidden="1"/>
    </dxf>
    <dxf>
      <font>
        <strike val="0"/>
        <outline val="0"/>
        <shadow val="0"/>
        <u val="none"/>
        <vertAlign val="baseline"/>
        <sz val="12"/>
        <name val="Aptos"/>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right style="thin">
          <color rgb="FF7F7F7F"/>
        </right>
      </border>
      <protection locked="1" hidden="1"/>
    </dxf>
    <dxf>
      <font>
        <b val="0"/>
        <i val="0"/>
        <strike val="0"/>
        <condense val="0"/>
        <extend val="0"/>
        <outline val="0"/>
        <shadow val="0"/>
        <u val="none"/>
        <vertAlign val="baseline"/>
        <sz val="12"/>
        <color theme="1"/>
        <name val="Aptos"/>
        <family val="2"/>
        <scheme val="none"/>
      </font>
      <fill>
        <patternFill patternType="solid">
          <fgColor indexed="64"/>
          <bgColor theme="4" tint="0.79998168889431442"/>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Aptos"/>
        <family val="2"/>
        <scheme val="none"/>
      </font>
      <alignment horizontal="center" vertical="top" textRotation="0" wrapText="1" indent="0" justifyLastLine="0" shrinkToFit="0" readingOrder="0"/>
    </dxf>
    <dxf>
      <font>
        <strike val="0"/>
        <outline val="0"/>
        <shadow val="0"/>
        <u val="none"/>
        <vertAlign val="baseline"/>
        <sz val="11"/>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left style="thin">
          <color indexed="64"/>
        </left>
      </border>
      <protection locked="1" hidden="1"/>
    </dxf>
    <dxf>
      <font>
        <b/>
        <strike val="0"/>
        <outline val="0"/>
        <shadow val="0"/>
        <u val="none"/>
        <vertAlign val="baseline"/>
        <sz val="11"/>
        <color theme="1"/>
        <name val="Aptos Narrow"/>
        <family val="2"/>
        <scheme val="none"/>
      </font>
      <fill>
        <patternFill patternType="solid">
          <fgColor theme="0"/>
          <bgColor theme="9" tint="0.79995117038483843"/>
        </patternFill>
      </fill>
      <alignment horizontal="center" vertical="center" textRotation="0" wrapText="0" indent="0" justifyLastLine="0" shrinkToFit="0" readingOrder="0"/>
      <border diagonalUp="0" diagonalDown="0">
        <left style="thin">
          <color indexed="64"/>
        </left>
        <right style="thin">
          <color rgb="FF7F7F7F"/>
        </right>
        <top style="thin">
          <color indexed="64"/>
        </top>
        <bottom style="thin">
          <color indexed="64"/>
        </bottom>
      </border>
      <protection locked="1" hidden="1"/>
    </dxf>
    <dxf>
      <font>
        <strike val="0"/>
        <outline val="0"/>
        <shadow val="0"/>
        <u val="none"/>
        <vertAlign val="baseline"/>
        <sz val="11"/>
        <color theme="1"/>
        <name val="Aptos"/>
        <family val="2"/>
        <scheme val="none"/>
      </font>
      <fill>
        <patternFill patternType="solid">
          <fgColor indexed="64"/>
          <bgColor theme="4" tint="0.79998168889431442"/>
        </patternFill>
      </fill>
      <protection locked="1" hidden="1"/>
    </dxf>
    <dxf>
      <font>
        <b val="0"/>
        <i val="0"/>
        <strike val="0"/>
        <condense val="0"/>
        <extend val="0"/>
        <outline val="0"/>
        <shadow val="0"/>
        <u val="none"/>
        <vertAlign val="baseline"/>
        <sz val="11"/>
        <color theme="1"/>
        <name val="Aptos"/>
        <family val="2"/>
        <scheme val="none"/>
      </font>
      <alignment vertical="center" textRotation="0" wrapText="0" indent="0" justifyLastLine="0" shrinkToFit="0" readingOrder="0"/>
    </dxf>
    <dxf>
      <font>
        <strike val="0"/>
        <outline val="0"/>
        <shadow val="0"/>
        <u val="none"/>
        <vertAlign val="baseline"/>
        <sz val="11"/>
        <name val="Aptos Narrow"/>
        <family val="2"/>
        <scheme val="none"/>
      </font>
      <numFmt numFmtId="166" formatCode="&quot;$&quot;#,##0"/>
      <fill>
        <patternFill patternType="solid">
          <fgColor indexed="64"/>
          <bgColor theme="0"/>
        </patternFill>
      </fill>
      <border diagonalUp="0" diagonalDown="0">
        <left style="thin">
          <color indexed="64"/>
        </left>
        <right/>
        <top/>
        <bottom/>
        <vertical/>
        <horizontal/>
      </border>
      <protection locked="1" hidden="1"/>
    </dxf>
    <dxf>
      <font>
        <b/>
        <strike val="0"/>
        <outline val="0"/>
        <shadow val="0"/>
        <u val="none"/>
        <vertAlign val="baseline"/>
        <sz val="11"/>
        <color theme="3"/>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border>
      <protection locked="1" hidden="1"/>
      <extLst>
        <ext xmlns:xfpb="http://schemas.microsoft.com/office/spreadsheetml/2022/featurepropertybag" uri="{0417FA29-78FA-4A13-93AC-8FF0FAFDF519}">
          <xfpb:DXFComplement i="0"/>
        </ext>
      </extLst>
    </dxf>
    <dxf>
      <font>
        <strike val="0"/>
        <outline val="0"/>
        <shadow val="0"/>
        <u val="none"/>
        <vertAlign val="baseline"/>
        <sz val="11"/>
        <color theme="3"/>
        <name val="Aptos Narrow"/>
        <family val="2"/>
        <scheme val="none"/>
      </font>
      <numFmt numFmtId="167" formatCode="0.0"/>
      <fill>
        <patternFill patternType="solid">
          <fgColor indexed="64"/>
          <bgColor theme="4" tint="0.79998168889431442"/>
        </patternFill>
      </fill>
      <alignment horizontal="center" vertical="bottom" textRotation="0" wrapText="0" indent="0" justifyLastLine="0" shrinkToFit="0" readingOrder="0"/>
      <protection locked="1" hidden="1"/>
      <extLst>
        <ext xmlns:xfpb="http://schemas.microsoft.com/office/spreadsheetml/2022/featurepropertybag" uri="{0417FA29-78FA-4A13-93AC-8FF0FAFDF519}">
          <xfpb:DXFComplement i="0"/>
        </ext>
      </extLst>
    </dxf>
    <dxf>
      <font>
        <strike val="0"/>
        <outline val="0"/>
        <shadow val="0"/>
        <u val="none"/>
        <vertAlign val="baseline"/>
        <sz val="11"/>
        <name val="Aptos Narrow"/>
        <family val="2"/>
        <scheme val="none"/>
      </font>
      <numFmt numFmtId="167" formatCode="0.0"/>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ptos Narrow"/>
        <family val="2"/>
        <scheme val="none"/>
      </font>
      <numFmt numFmtId="166" formatCode="&quot;$&quot;#,##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ptos Narrow"/>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strike val="0"/>
        <outline val="0"/>
        <shadow val="0"/>
        <u val="none"/>
        <vertAlign val="baseline"/>
        <sz val="11"/>
        <name val="Aptos Narrow"/>
        <family val="2"/>
        <scheme val="none"/>
      </font>
      <numFmt numFmtId="166" formatCode="&quot;$&quot;#,##0"/>
      <fill>
        <patternFill patternType="solid">
          <fgColor indexed="64"/>
          <bgColor theme="4" tint="0.79998168889431442"/>
        </patternFill>
      </fill>
      <alignment horizontal="center" textRotation="0" indent="0" justifyLastLine="0" shrinkToFit="0" readingOrder="0"/>
      <border diagonalUp="0" diagonalDown="0">
        <left/>
        <right style="thin">
          <color indexed="64"/>
        </right>
        <top style="thin">
          <color indexed="64"/>
        </top>
        <bottom style="thin">
          <color indexed="64"/>
        </bottom>
      </border>
      <protection locked="1" hidden="1"/>
    </dxf>
    <dxf>
      <font>
        <b/>
        <strike val="0"/>
        <outline val="0"/>
        <shadow val="0"/>
        <u val="none"/>
        <vertAlign val="baseline"/>
        <sz val="11"/>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1" hidden="1"/>
    </dxf>
    <dxf>
      <font>
        <strike val="0"/>
        <outline val="0"/>
        <shadow val="0"/>
        <u val="none"/>
        <vertAlign val="baseline"/>
        <sz val="11"/>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bottom/>
      </border>
      <protection locked="1" hidden="1"/>
    </dxf>
    <dxf>
      <font>
        <strike val="0"/>
        <outline val="0"/>
        <shadow val="0"/>
        <u val="none"/>
        <vertAlign val="baseline"/>
        <sz val="11"/>
        <name val="Aptos Narrow"/>
        <family val="2"/>
        <scheme val="none"/>
      </font>
      <fill>
        <patternFill patternType="solid">
          <fgColor indexed="64"/>
          <bgColor theme="9" tint="0.79998168889431442"/>
        </patternFill>
      </fill>
      <alignment horizontal="center" vertical="bottom" textRotation="0" wrapText="0" indent="0" justifyLastLine="0" shrinkToFit="0" readingOrder="0"/>
      <protection locked="1" hidden="1"/>
    </dxf>
    <dxf>
      <font>
        <strike val="0"/>
        <outline val="0"/>
        <shadow val="0"/>
        <u val="none"/>
        <vertAlign val="baseline"/>
        <sz val="11"/>
        <name val="Aptos Narrow"/>
        <family val="2"/>
        <scheme val="none"/>
      </font>
      <protection locked="1" hidden="1"/>
    </dxf>
    <dxf>
      <font>
        <strike val="0"/>
        <outline val="0"/>
        <shadow val="0"/>
        <u val="none"/>
        <vertAlign val="baseline"/>
        <sz val="1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9" formatCode=";[Red]\✘;[Color50]\✔;&quot;&quo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rgb="FFFF0000"/>
        <name val="Aptos Narrow"/>
        <family val="2"/>
        <scheme val="none"/>
      </font>
      <numFmt numFmtId="176" formatCode="[&lt;-999999]&quot;$&quot;0.0,,\M;[&lt;0]&quot;$&quot;#,##0.0,\K;"/>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3" formatCode="#,##0"/>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1" tint="0.499984740745262"/>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1" tint="0.499984740745262"/>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border diagonalUp="0" diagonalDown="0" outline="0">
        <left style="thin">
          <color indexed="64"/>
        </left>
        <right/>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border diagonalUp="0" diagonalDown="0">
        <left style="thin">
          <color indexed="64"/>
        </left>
        <right/>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 formatCode="0"/>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op>
        <bottom/>
      </border>
      <protection locked="1" hidden="1"/>
    </dxf>
    <dxf>
      <font>
        <strike val="0"/>
        <outline val="0"/>
        <shadow val="0"/>
        <u val="none"/>
        <vertAlign val="baseline"/>
        <sz val="11"/>
        <color theme="1"/>
        <name val="Aptos Narrow"/>
        <family val="2"/>
        <scheme val="none"/>
      </font>
      <protection locked="1" hidden="1"/>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protection locked="1" hidden="1"/>
    </dxf>
    <dxf>
      <font>
        <b/>
        <i val="0"/>
        <strike val="0"/>
        <condense val="0"/>
        <extend val="0"/>
        <outline val="0"/>
        <shadow val="0"/>
        <u val="none"/>
        <vertAlign val="baseline"/>
        <sz val="11"/>
        <color theme="0"/>
        <name val="Aptos"/>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167" formatCode="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family val="2"/>
        <scheme val="none"/>
      </font>
      <numFmt numFmtId="166" formatCode="&quot;$&quot;#,##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3" formatCode="#,##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none"/>
      </font>
      <protection locked="0" hidden="0"/>
    </dxf>
    <dxf>
      <font>
        <b val="0"/>
        <i val="0"/>
        <strike val="0"/>
        <condense val="0"/>
        <extend val="0"/>
        <outline val="0"/>
        <shadow val="0"/>
        <u val="none"/>
        <vertAlign val="baseline"/>
        <sz val="11"/>
        <color theme="0"/>
        <name val="Aptos"/>
        <family val="2"/>
        <scheme val="none"/>
      </font>
      <fill>
        <patternFill patternType="solid">
          <fgColor indexed="64"/>
          <bgColor theme="3"/>
        </patternFill>
      </fill>
      <alignment horizontal="general" vertical="top" textRotation="0" wrapText="1" indent="0" justifyLastLine="0" shrinkToFit="0" readingOrder="0"/>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right style="thin">
          <color rgb="FF7F7F7F"/>
        </righ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right style="thin">
          <color rgb="FF7F7F7F"/>
        </righ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right style="thin">
          <color rgb="FF7F7F7F"/>
        </righ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right style="thin">
          <color rgb="FF7F7F7F"/>
        </right>
      </border>
      <protection locked="0" hidden="1"/>
    </dxf>
    <dxf>
      <font>
        <strike val="0"/>
        <outline val="0"/>
        <shadow val="0"/>
        <u val="none"/>
        <vertAlign val="baseline"/>
        <sz val="12"/>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rgb="FF7F7F7F"/>
        </left>
        <right style="thin">
          <color rgb="FF7F7F7F"/>
        </right>
      </border>
      <protection locked="0" hidden="1"/>
    </dxf>
    <dxf>
      <font>
        <strike val="0"/>
        <outline val="0"/>
        <shadow val="0"/>
        <u val="none"/>
        <vertAlign val="baseline"/>
        <sz val="12"/>
        <color theme="1"/>
        <name val="Aptos"/>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outline="0">
        <right style="thin">
          <color rgb="FF7F7F7F"/>
        </right>
      </border>
      <protection locked="0" hidden="1"/>
    </dxf>
    <dxf>
      <font>
        <b val="0"/>
        <i val="0"/>
        <strike val="0"/>
        <condense val="0"/>
        <extend val="0"/>
        <outline val="0"/>
        <shadow val="0"/>
        <u val="none"/>
        <vertAlign val="baseline"/>
        <sz val="12"/>
        <color rgb="FF000000"/>
        <name val="Aptos"/>
        <family val="2"/>
        <scheme val="none"/>
      </font>
      <fill>
        <patternFill patternType="solid">
          <fgColor rgb="FF000000"/>
          <bgColor rgb="FFBBE6FF"/>
        </patternFill>
      </fill>
      <alignment horizontal="center" vertical="bottom" textRotation="0" wrapText="0" indent="0" justifyLastLine="0" shrinkToFit="0" readingOrder="0"/>
      <protection locked="0"/>
    </dxf>
    <dxf>
      <font>
        <b val="0"/>
        <i val="0"/>
        <strike val="0"/>
        <condense val="0"/>
        <extend val="0"/>
        <outline val="0"/>
        <shadow val="0"/>
        <u val="none"/>
        <vertAlign val="baseline"/>
        <sz val="11"/>
        <color theme="1"/>
        <name val="Aptos"/>
        <family val="2"/>
        <scheme val="none"/>
      </font>
      <alignment horizontal="center" vertical="top" textRotation="0" wrapText="1" indent="0" justifyLastLine="0" shrinkToFit="0" readingOrder="0"/>
    </dxf>
    <dxf>
      <font>
        <strike val="0"/>
        <outline val="0"/>
        <shadow val="0"/>
        <u val="none"/>
        <vertAlign val="baseline"/>
        <sz val="11"/>
        <color theme="1"/>
        <name val="Aptos"/>
        <family val="2"/>
        <scheme val="none"/>
      </font>
      <numFmt numFmtId="3" formatCode="#,##0"/>
      <fill>
        <patternFill patternType="solid">
          <fgColor indexed="64"/>
          <bgColor theme="4" tint="0.79998168889431442"/>
        </patternFill>
      </fill>
      <alignment horizontal="center" vertical="center" textRotation="0" wrapText="0" indent="0" justifyLastLine="0" shrinkToFit="0" readingOrder="0"/>
      <border outline="0">
        <left style="thin">
          <color indexed="64"/>
        </left>
      </border>
      <protection locked="0" hidden="1"/>
    </dxf>
    <dxf>
      <font>
        <b/>
        <strike val="0"/>
        <outline val="0"/>
        <shadow val="0"/>
        <u val="none"/>
        <vertAlign val="baseline"/>
        <sz val="11"/>
        <color theme="1"/>
        <name val="Aptos Narrow"/>
        <family val="2"/>
        <scheme val="none"/>
      </font>
      <fill>
        <patternFill patternType="solid">
          <fgColor theme="0"/>
          <bgColor theme="9" tint="0.79995117038483843"/>
        </patternFill>
      </fill>
      <alignment horizontal="center" vertical="center" textRotation="0" wrapText="0" indent="0" justifyLastLine="0" shrinkToFit="0" readingOrder="0"/>
      <border diagonalUp="0" diagonalDown="0" outline="0">
        <left style="thin">
          <color indexed="64"/>
        </left>
        <right style="thin">
          <color rgb="FF7F7F7F"/>
        </right>
        <top style="thin">
          <color indexed="64"/>
        </top>
        <bottom style="thin">
          <color indexed="64"/>
        </bottom>
      </border>
      <protection locked="0"/>
    </dxf>
    <dxf>
      <font>
        <strike val="0"/>
        <outline val="0"/>
        <shadow val="0"/>
        <u val="none"/>
        <vertAlign val="baseline"/>
        <sz val="11"/>
        <color rgb="FF000000"/>
        <name val="Aptos"/>
        <family val="2"/>
        <scheme val="none"/>
      </font>
      <fill>
        <patternFill patternType="solid">
          <fgColor rgb="FF000000"/>
          <bgColor rgb="FFBBE6FF"/>
        </patternFill>
      </fill>
      <protection locked="0"/>
    </dxf>
    <dxf>
      <font>
        <b val="0"/>
        <i val="0"/>
        <strike val="0"/>
        <condense val="0"/>
        <extend val="0"/>
        <outline val="0"/>
        <shadow val="0"/>
        <u val="none"/>
        <vertAlign val="baseline"/>
        <sz val="11"/>
        <color theme="1"/>
        <name val="Aptos"/>
        <family val="2"/>
        <scheme val="none"/>
      </font>
      <alignment vertical="center" textRotation="0" wrapText="0" indent="0" justifyLastLine="0" shrinkToFit="0" readingOrder="0"/>
    </dxf>
    <dxf>
      <font>
        <strike val="0"/>
        <outline val="0"/>
        <shadow val="0"/>
        <u val="none"/>
        <vertAlign val="baseline"/>
        <sz val="11"/>
        <name val="Aptos Narrow"/>
        <family val="2"/>
        <scheme val="none"/>
      </font>
      <numFmt numFmtId="166" formatCode="&quot;$&quot;#,##0"/>
      <fill>
        <patternFill patternType="solid">
          <fgColor indexed="64"/>
          <bgColor theme="0"/>
        </patternFill>
      </fill>
      <border diagonalUp="0" diagonalDown="0">
        <left style="thin">
          <color indexed="64"/>
        </left>
        <right/>
        <top/>
        <bottom/>
        <vertical/>
        <horizontal/>
      </border>
      <protection locked="0" hidden="0"/>
    </dxf>
    <dxf>
      <font>
        <b/>
        <strike val="0"/>
        <outline val="0"/>
        <shadow val="0"/>
        <u val="none"/>
        <vertAlign val="baseline"/>
        <sz val="11"/>
        <color theme="3"/>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border>
      <protection locked="0"/>
      <extLst>
        <ext xmlns:xfpb="http://schemas.microsoft.com/office/spreadsheetml/2022/featurepropertybag" uri="{0417FA29-78FA-4A13-93AC-8FF0FAFDF519}">
          <xfpb:DXFComplement i="0"/>
        </ext>
      </extLst>
    </dxf>
    <dxf>
      <font>
        <strike val="0"/>
        <outline val="0"/>
        <shadow val="0"/>
        <u val="none"/>
        <vertAlign val="baseline"/>
        <sz val="11"/>
        <color theme="3"/>
        <name val="Aptos Narrow"/>
        <family val="2"/>
        <scheme val="none"/>
      </font>
      <numFmt numFmtId="167" formatCode="0.0"/>
      <fill>
        <patternFill patternType="solid">
          <fgColor indexed="64"/>
          <bgColor theme="4" tint="0.79998168889431442"/>
        </patternFill>
      </fill>
      <alignment horizontal="center" vertical="bottom" textRotation="0" wrapText="0" indent="0" justifyLastLine="0" shrinkToFit="0" readingOrder="0"/>
      <protection locked="0" hidden="1"/>
      <extLst>
        <ext xmlns:xfpb="http://schemas.microsoft.com/office/spreadsheetml/2022/featurepropertybag" uri="{0417FA29-78FA-4A13-93AC-8FF0FAFDF519}">
          <xfpb:DXFComplement i="0"/>
        </ext>
      </extLst>
    </dxf>
    <dxf>
      <font>
        <strike val="0"/>
        <outline val="0"/>
        <shadow val="0"/>
        <u val="none"/>
        <vertAlign val="baseline"/>
        <sz val="11"/>
        <name val="Aptos Narrow"/>
        <family val="2"/>
        <scheme val="none"/>
      </font>
      <numFmt numFmtId="167" formatCode="0.0"/>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ptos Narrow"/>
        <family val="2"/>
        <scheme val="none"/>
      </font>
      <numFmt numFmtId="166" formatCode="&quot;$&quot;#,##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strike val="0"/>
        <outline val="0"/>
        <shadow val="0"/>
        <u val="none"/>
        <vertAlign val="baseline"/>
        <sz val="11"/>
        <name val="Aptos Narrow"/>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strike val="0"/>
        <outline val="0"/>
        <shadow val="0"/>
        <u val="none"/>
        <vertAlign val="baseline"/>
        <sz val="11"/>
        <name val="Aptos Narrow"/>
        <family val="2"/>
        <scheme val="none"/>
      </font>
      <numFmt numFmtId="164" formatCode="_(* #,##0_);_(* \(#,##0\);_(* &quot;-&quot;??_);_(@_)"/>
      <fill>
        <patternFill patternType="solid">
          <fgColor indexed="64"/>
          <bgColor theme="4" tint="0.79998168889431442"/>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dxf>
    <dxf>
      <font>
        <b val="0"/>
        <i val="0"/>
        <strike val="0"/>
        <condense val="0"/>
        <extend val="0"/>
        <outline val="0"/>
        <shadow val="0"/>
        <u val="none"/>
        <vertAlign val="baseline"/>
        <sz val="11"/>
        <color theme="1"/>
        <name val="Aptos Narrow"/>
        <family val="2"/>
        <scheme val="none"/>
      </font>
      <numFmt numFmtId="166" formatCode="&quot;$&quot;#,##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dxf>
    <dxf>
      <font>
        <strike val="0"/>
        <outline val="0"/>
        <shadow val="0"/>
        <u val="none"/>
        <vertAlign val="baseline"/>
        <sz val="11"/>
        <name val="Aptos Narrow"/>
        <family val="2"/>
        <scheme val="none"/>
      </font>
      <numFmt numFmtId="166" formatCode="&quot;$&quot;#,##0"/>
      <fill>
        <patternFill patternType="solid">
          <fgColor indexed="64"/>
          <bgColor theme="4" tint="0.79998168889431442"/>
        </patternFill>
      </fill>
      <alignment horizontal="center" textRotation="0" indent="0" justifyLastLine="0" shrinkToFit="0" readingOrder="0"/>
      <border diagonalUp="0" diagonalDown="0">
        <left/>
        <right style="thin">
          <color indexed="64"/>
        </right>
        <top style="thin">
          <color indexed="64"/>
        </top>
        <bottom style="thin">
          <color indexed="64"/>
        </bottom>
      </border>
      <protection locked="0"/>
    </dxf>
    <dxf>
      <font>
        <b/>
        <strike val="0"/>
        <outline val="0"/>
        <shadow val="0"/>
        <u val="none"/>
        <vertAlign val="baseline"/>
        <sz val="11"/>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dxf>
    <dxf>
      <font>
        <strike val="0"/>
        <outline val="0"/>
        <shadow val="0"/>
        <u val="none"/>
        <vertAlign val="baseline"/>
        <sz val="11"/>
        <name val="Aptos Narrow"/>
        <family val="2"/>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bottom/>
      </border>
      <protection locked="0"/>
    </dxf>
    <dxf>
      <font>
        <strike val="0"/>
        <outline val="0"/>
        <shadow val="0"/>
        <u val="none"/>
        <vertAlign val="baseline"/>
        <sz val="11"/>
        <name val="Aptos Narrow"/>
        <family val="2"/>
        <scheme val="none"/>
      </font>
      <fill>
        <patternFill patternType="solid">
          <fgColor indexed="64"/>
          <bgColor theme="9" tint="0.79998168889431442"/>
        </patternFill>
      </fill>
      <alignment horizontal="center" vertical="bottom" textRotation="0" wrapText="0" indent="0" justifyLastLine="0" shrinkToFit="0" readingOrder="0"/>
      <protection locked="0" hidden="0"/>
    </dxf>
    <dxf>
      <font>
        <strike val="0"/>
        <outline val="0"/>
        <shadow val="0"/>
        <u val="none"/>
        <vertAlign val="baseline"/>
        <sz val="11"/>
        <name val="Aptos Narrow"/>
        <family val="2"/>
        <scheme val="none"/>
      </font>
    </dxf>
    <dxf>
      <font>
        <strike val="0"/>
        <outline val="0"/>
        <shadow val="0"/>
        <u val="none"/>
        <vertAlign val="baseline"/>
        <sz val="1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9" formatCode=";[Red]\✘;[Color50]\✔;&quot;&quo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rgb="FFFF0000"/>
        <name val="Aptos Narrow"/>
        <family val="2"/>
        <scheme val="none"/>
      </font>
      <numFmt numFmtId="176" formatCode="[&lt;-999999]&quot;$&quot;0.0,,\M;[&lt;0]&quot;$&quot;#,##0.0,\K;"/>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3" formatCode="#,##0"/>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1" tint="0.499984740745262"/>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solid">
          <fgColor indexed="64"/>
          <bgColor theme="1" tint="0.499984740745262"/>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6" formatCode="&quot;$&quot;#,##0"/>
      <border diagonalUp="0" diagonalDown="0" outline="0">
        <left style="thin">
          <color indexed="64"/>
        </left>
        <right/>
        <top/>
        <bottom/>
      </border>
      <protection locked="1" hidden="1"/>
    </dxf>
    <dxf>
      <font>
        <b val="0"/>
        <i val="0"/>
        <strike val="0"/>
        <condense val="0"/>
        <extend val="0"/>
        <outline val="0"/>
        <shadow val="0"/>
        <u val="none"/>
        <vertAlign val="baseline"/>
        <sz val="11"/>
        <color theme="1"/>
        <name val="Aptos Narrow"/>
        <family val="2"/>
        <scheme val="none"/>
      </font>
      <numFmt numFmtId="166" formatCode="&quot;$&quot;#,##0"/>
      <fill>
        <patternFill patternType="none">
          <fgColor indexed="64"/>
          <bgColor indexed="65"/>
        </patternFill>
      </fill>
      <border diagonalUp="0" diagonalDown="0">
        <left style="thin">
          <color indexed="64"/>
        </left>
        <right/>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indexed="65"/>
        </patternFill>
      </fill>
      <border diagonalUp="0" diagonalDown="0">
        <left/>
        <right/>
        <top style="thin">
          <color theme="4"/>
        </top>
        <bottom/>
        <vertical/>
        <horizontal/>
      </border>
      <protection locked="1" hidden="1"/>
    </dxf>
    <dxf>
      <font>
        <b val="0"/>
        <i val="0"/>
        <strike val="0"/>
        <condense val="0"/>
        <extend val="0"/>
        <outline val="0"/>
        <shadow val="0"/>
        <u val="none"/>
        <vertAlign val="baseline"/>
        <sz val="11"/>
        <color theme="1"/>
        <name val="Aptos Narrow"/>
        <family val="2"/>
        <scheme val="none"/>
      </font>
      <numFmt numFmtId="164" formatCode="_(* #,##0_);_(* \(#,##0\);_(* &quot;-&quot;??_);_(@_)"/>
      <protection locked="1" hidden="1"/>
    </dxf>
    <dxf>
      <font>
        <b val="0"/>
        <i val="0"/>
        <strike val="0"/>
        <condense val="0"/>
        <extend val="0"/>
        <outline val="0"/>
        <shadow val="0"/>
        <u val="none"/>
        <vertAlign val="baseline"/>
        <sz val="11"/>
        <color theme="1"/>
        <name val="Aptos Narrow"/>
        <family val="2"/>
        <scheme val="none"/>
      </font>
      <numFmt numFmtId="164" formatCode="_(* #,##0_);_(* \(#,##0\);_(* &quot;-&quot;??_);_(@_)"/>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protection locked="1" hidden="1"/>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auto="1"/>
        </patternFill>
      </fill>
      <border diagonalUp="0" diagonalDown="0">
        <left/>
        <right/>
        <top style="thin">
          <color theme="4"/>
        </top>
        <bottom/>
      </border>
      <protection locked="1" hidden="1"/>
    </dxf>
    <dxf>
      <font>
        <b val="0"/>
        <i val="0"/>
        <strike val="0"/>
        <condense val="0"/>
        <extend val="0"/>
        <outline val="0"/>
        <shadow val="0"/>
        <u val="none"/>
        <vertAlign val="baseline"/>
        <sz val="11"/>
        <color theme="1"/>
        <name val="Aptos Narrow"/>
        <family val="2"/>
        <scheme val="none"/>
      </font>
      <numFmt numFmtId="1" formatCode="0"/>
      <protection locked="1" hidden="1"/>
    </dxf>
    <dxf>
      <font>
        <b val="0"/>
        <i val="0"/>
        <strike val="0"/>
        <condense val="0"/>
        <extend val="0"/>
        <outline val="0"/>
        <shadow val="0"/>
        <u val="none"/>
        <vertAlign val="baseline"/>
        <sz val="11"/>
        <color theme="1"/>
        <name val="Aptos Narrow"/>
        <family val="2"/>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op>
        <bottom/>
      </border>
      <protection locked="1" hidden="1"/>
    </dxf>
    <dxf>
      <font>
        <strike val="0"/>
        <outline val="0"/>
        <shadow val="0"/>
        <u val="none"/>
        <vertAlign val="baseline"/>
        <sz val="11"/>
        <color rgb="FF000000"/>
        <name val="Aptos Narrow"/>
        <family val="2"/>
        <scheme val="none"/>
      </font>
      <protection locked="1" hidden="1"/>
    </dxf>
    <dxf>
      <border outline="0">
        <left style="thin">
          <color rgb="FF006DAC"/>
        </left>
        <right style="thin">
          <color rgb="FF006DAC"/>
        </right>
        <top style="thin">
          <color rgb="FF006DAC"/>
        </top>
      </border>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protection locked="1" hidden="1"/>
    </dxf>
    <dxf>
      <font>
        <b/>
        <i val="0"/>
        <strike val="0"/>
        <condense val="0"/>
        <extend val="0"/>
        <outline val="0"/>
        <shadow val="0"/>
        <u val="none"/>
        <vertAlign val="baseline"/>
        <sz val="11"/>
        <color theme="0"/>
        <name val="Aptos"/>
        <family val="2"/>
        <scheme val="none"/>
      </font>
      <fill>
        <patternFill patternType="none">
          <fgColor indexed="64"/>
          <bgColor auto="1"/>
        </patternFill>
      </fill>
      <alignment horizontal="general" vertical="top" textRotation="0" wrapText="1" indent="0" justifyLastLine="0" shrinkToFit="0" readingOrder="0"/>
    </dxf>
  </dxfs>
  <tableStyles count="1" defaultTableStyle="TableStyleMedium2" defaultPivotStyle="PivotStyleLight16">
    <tableStyle name="Invisible" pivot="0" table="0" count="0" xr9:uid="{80BB76A3-C98F-462B-B3BF-EBC42D932383}"/>
  </tableStyles>
  <colors>
    <mruColors>
      <color rgb="FFFF6600"/>
      <color rgb="FFFF9999"/>
      <color rgb="FFC9C9FF"/>
      <color rgb="FF9999FF"/>
      <color rgb="FFFF7C8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microsoft.com/office/2022/11/relationships/FeaturePropertyBag" Target="featurePropertyBag/featurePropertyBag.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0.xml"/><Relationship Id="rId1" Type="http://schemas.microsoft.com/office/2011/relationships/chartStyle" Target="style10.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1.xml"/><Relationship Id="rId1" Type="http://schemas.microsoft.com/office/2011/relationships/chartStyle" Target="style11.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0" normalizeH="0" baseline="0">
                <a:solidFill>
                  <a:schemeClr val="tx1">
                    <a:lumMod val="65000"/>
                    <a:lumOff val="35000"/>
                  </a:schemeClr>
                </a:solidFill>
                <a:latin typeface="Aptos" panose="020B0004020202020204" pitchFamily="34" charset="0"/>
                <a:ea typeface="+mj-ea"/>
                <a:cs typeface="+mj-cs"/>
              </a:defRPr>
            </a:pPr>
            <a:r>
              <a:rPr lang="en-US" sz="1800" b="1"/>
              <a:t>LL97 Cash Flow</a:t>
            </a:r>
          </a:p>
        </c:rich>
      </c:tx>
      <c:layout>
        <c:manualLayout>
          <c:xMode val="edge"/>
          <c:yMode val="edge"/>
          <c:x val="2.0616172775803715E-2"/>
          <c:y val="1.9205223487213142E-2"/>
        </c:manualLayout>
      </c:layout>
      <c:overlay val="0"/>
      <c:spPr>
        <a:noFill/>
        <a:ln>
          <a:noFill/>
        </a:ln>
        <a:effectLst/>
      </c:spPr>
      <c:txPr>
        <a:bodyPr rot="0" spcFirstLastPara="1" vertOverflow="ellipsis" vert="horz" wrap="square" anchor="ctr" anchorCtr="1"/>
        <a:lstStyle/>
        <a:p>
          <a:pPr>
            <a:defRPr sz="1800" b="1" i="0" u="none" strike="noStrike" kern="1200" cap="none" spc="0" normalizeH="0" baseline="0">
              <a:solidFill>
                <a:schemeClr val="tx1">
                  <a:lumMod val="65000"/>
                  <a:lumOff val="35000"/>
                </a:schemeClr>
              </a:solidFill>
              <a:latin typeface="Aptos" panose="020B0004020202020204" pitchFamily="34" charset="0"/>
              <a:ea typeface="+mj-ea"/>
              <a:cs typeface="+mj-cs"/>
            </a:defRPr>
          </a:pPr>
          <a:endParaRPr lang="en-US"/>
        </a:p>
      </c:txPr>
    </c:title>
    <c:autoTitleDeleted val="0"/>
    <c:plotArea>
      <c:layout>
        <c:manualLayout>
          <c:layoutTarget val="inner"/>
          <c:xMode val="edge"/>
          <c:yMode val="edge"/>
          <c:x val="0.33619552078115672"/>
          <c:y val="0.11412252743751128"/>
          <c:w val="0.66277745216229"/>
          <c:h val="0.80004099355987734"/>
        </c:manualLayout>
      </c:layout>
      <c:barChart>
        <c:barDir val="col"/>
        <c:grouping val="stacked"/>
        <c:varyColors val="0"/>
        <c:ser>
          <c:idx val="0"/>
          <c:order val="0"/>
          <c:tx>
            <c:strRef>
              <c:f>'LL97 Pathway'!$K$47</c:f>
              <c:strCache>
                <c:ptCount val="1"/>
                <c:pt idx="0">
                  <c:v>Measure Cost ($)</c:v>
                </c:pt>
              </c:strCache>
            </c:strRef>
          </c:tx>
          <c:spPr>
            <a:solidFill>
              <a:schemeClr val="tx2"/>
            </a:solidFill>
            <a:ln>
              <a:noFill/>
            </a:ln>
            <a:effectLst/>
          </c:spPr>
          <c:invertIfNegative val="0"/>
          <c:cat>
            <c:numRef>
              <c:f>'LL97 Pathway'!$D$48:$D$78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formatCode="0">
                  <c:v>29</c:v>
                </c:pt>
              </c:numCache>
            </c:numRef>
          </c:cat>
          <c:val>
            <c:numRef>
              <c:f>'LL97 Pathway'!$K$48:$K$77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D0FC-41FE-AD48-6D86D101DA39}"/>
            </c:ext>
          </c:extLst>
        </c:ser>
        <c:ser>
          <c:idx val="1"/>
          <c:order val="1"/>
          <c:tx>
            <c:strRef>
              <c:f>'LL97 Pathway'!$L$47</c:f>
              <c:strCache>
                <c:ptCount val="1"/>
                <c:pt idx="0">
                  <c:v>Utility Savings ($)</c:v>
                </c:pt>
              </c:strCache>
            </c:strRef>
          </c:tx>
          <c:spPr>
            <a:solidFill>
              <a:schemeClr val="accent6"/>
            </a:solidFill>
            <a:ln>
              <a:noFill/>
            </a:ln>
            <a:effectLst/>
          </c:spPr>
          <c:invertIfNegative val="0"/>
          <c:cat>
            <c:numRef>
              <c:f>'LL97 Pathway'!$D$48:$D$78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formatCode="0">
                  <c:v>29</c:v>
                </c:pt>
              </c:numCache>
            </c:numRef>
          </c:cat>
          <c:val>
            <c:numRef>
              <c:f>'LL97 Pathway'!$L$48:$L$77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D0FC-41FE-AD48-6D86D101DA39}"/>
            </c:ext>
          </c:extLst>
        </c:ser>
        <c:ser>
          <c:idx val="6"/>
          <c:order val="2"/>
          <c:tx>
            <c:strRef>
              <c:f>'LL97 Pathway'!$AB$47</c:f>
              <c:strCache>
                <c:ptCount val="1"/>
                <c:pt idx="0">
                  <c:v>LL97 Penalty Avoided by Measures ($)</c:v>
                </c:pt>
              </c:strCache>
            </c:strRef>
          </c:tx>
          <c:spPr>
            <a:solidFill>
              <a:schemeClr val="accent2">
                <a:lumMod val="80000"/>
                <a:lumOff val="20000"/>
              </a:schemeClr>
            </a:solidFill>
            <a:ln>
              <a:noFill/>
            </a:ln>
            <a:effectLst/>
          </c:spPr>
          <c:invertIfNegative val="0"/>
          <c:cat>
            <c:numRef>
              <c:f>'LL97 Pathway'!$D$48:$D$78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formatCode="0">
                  <c:v>29</c:v>
                </c:pt>
              </c:numCache>
            </c:numRef>
          </c:cat>
          <c:val>
            <c:numRef>
              <c:f>'LL97 Pathway'!$AB$48:$AB$77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D0FC-41FE-AD48-6D86D101DA39}"/>
            </c:ext>
          </c:extLst>
        </c:ser>
        <c:dLbls>
          <c:showLegendKey val="0"/>
          <c:showVal val="0"/>
          <c:showCatName val="0"/>
          <c:showSerName val="0"/>
          <c:showPercent val="0"/>
          <c:showBubbleSize val="0"/>
        </c:dLbls>
        <c:gapWidth val="20"/>
        <c:overlap val="100"/>
        <c:axId val="472722160"/>
        <c:axId val="472709200"/>
      </c:barChart>
      <c:lineChart>
        <c:grouping val="standard"/>
        <c:varyColors val="0"/>
        <c:ser>
          <c:idx val="4"/>
          <c:order val="4"/>
          <c:tx>
            <c:strRef>
              <c:f>'LL97 Pathway'!$AE$47</c:f>
              <c:strCache>
                <c:ptCount val="1"/>
                <c:pt idx="0">
                  <c:v>Cumulative Total Cash Flow ($)</c:v>
                </c:pt>
              </c:strCache>
            </c:strRef>
          </c:tx>
          <c:spPr>
            <a:ln w="38100" cap="rnd" cmpd="sng">
              <a:solidFill>
                <a:schemeClr val="tx2"/>
              </a:solidFill>
              <a:round/>
            </a:ln>
            <a:effectLst>
              <a:outerShdw blurRad="50800" dist="50800" dir="5400000" algn="ctr" rotWithShape="0">
                <a:schemeClr val="tx2">
                  <a:lumMod val="60000"/>
                  <a:lumOff val="40000"/>
                </a:schemeClr>
              </a:outerShdw>
            </a:effectLst>
          </c:spPr>
          <c:marker>
            <c:symbol val="none"/>
          </c:marker>
          <c:cat>
            <c:numRef>
              <c:f>'LL97 Pathway'!$D$48:$D$78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formatCode="0">
                  <c:v>29</c:v>
                </c:pt>
              </c:numCache>
            </c:numRef>
          </c:cat>
          <c:val>
            <c:numRef>
              <c:f>'LL97 Pathway'!$AE$48:$AE$77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D0FC-41FE-AD48-6D86D101DA39}"/>
            </c:ext>
          </c:extLst>
        </c:ser>
        <c:dLbls>
          <c:showLegendKey val="0"/>
          <c:showVal val="0"/>
          <c:showCatName val="0"/>
          <c:showSerName val="0"/>
          <c:showPercent val="0"/>
          <c:showBubbleSize val="0"/>
        </c:dLbls>
        <c:marker val="1"/>
        <c:smooth val="0"/>
        <c:axId val="472722160"/>
        <c:axId val="472709200"/>
      </c:lineChart>
      <c:scatterChart>
        <c:scatterStyle val="lineMarker"/>
        <c:varyColors val="0"/>
        <c:ser>
          <c:idx val="5"/>
          <c:order val="3"/>
          <c:tx>
            <c:v>Break-Even Year</c:v>
          </c:tx>
          <c:spPr>
            <a:ln w="25400" cap="rnd">
              <a:noFill/>
              <a:round/>
            </a:ln>
            <a:effectLst/>
          </c:spPr>
          <c:marker>
            <c:symbol val="circle"/>
            <c:size val="12"/>
            <c:spPr>
              <a:solidFill>
                <a:schemeClr val="bg1">
                  <a:alpha val="75000"/>
                </a:schemeClr>
              </a:solidFill>
              <a:ln w="34925">
                <a:solidFill>
                  <a:schemeClr val="accent1">
                    <a:alpha val="98000"/>
                  </a:schemeClr>
                </a:solidFill>
              </a:ln>
              <a:effectLst/>
            </c:spPr>
          </c:marker>
          <c:xVal>
            <c:numRef>
              <c:f>'LL97 Pathway'!$E$93</c:f>
              <c:numCache>
                <c:formatCode>General</c:formatCode>
                <c:ptCount val="1"/>
                <c:pt idx="0">
                  <c:v>#N/A</c:v>
                </c:pt>
              </c:numCache>
            </c:numRef>
          </c:xVal>
          <c:yVal>
            <c:numLit>
              <c:formatCode>General</c:formatCode>
              <c:ptCount val="1"/>
              <c:pt idx="0">
                <c:v>0</c:v>
              </c:pt>
            </c:numLit>
          </c:yVal>
          <c:smooth val="0"/>
          <c:extLst>
            <c:ext xmlns:c16="http://schemas.microsoft.com/office/drawing/2014/chart" uri="{C3380CC4-5D6E-409C-BE32-E72D297353CC}">
              <c16:uniqueId val="{00000004-D0FC-41FE-AD48-6D86D101DA39}"/>
            </c:ext>
          </c:extLst>
        </c:ser>
        <c:dLbls>
          <c:showLegendKey val="0"/>
          <c:showVal val="0"/>
          <c:showCatName val="0"/>
          <c:showSerName val="0"/>
          <c:showPercent val="0"/>
          <c:showBubbleSize val="0"/>
        </c:dLbls>
        <c:axId val="472722160"/>
        <c:axId val="472709200"/>
      </c:scatterChart>
      <c:dateAx>
        <c:axId val="47272216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cap="none" spc="0" normalizeH="0" baseline="0">
                <a:solidFill>
                  <a:schemeClr val="tx1">
                    <a:lumMod val="65000"/>
                    <a:lumOff val="35000"/>
                  </a:schemeClr>
                </a:solidFill>
                <a:latin typeface="Aptos" panose="020B0004020202020204" pitchFamily="34" charset="0"/>
                <a:ea typeface="+mn-ea"/>
                <a:cs typeface="+mn-cs"/>
              </a:defRPr>
            </a:pPr>
            <a:endParaRPr lang="en-US"/>
          </a:p>
        </c:txPr>
        <c:crossAx val="472709200"/>
        <c:crosses val="autoZero"/>
        <c:auto val="0"/>
        <c:lblOffset val="100"/>
        <c:baseTimeUnit val="days"/>
      </c:dateAx>
      <c:valAx>
        <c:axId val="4727092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Color10]&quot;$&quot;#,##0.0,,&quot;M&quot;;[Color54]\-&quot;$&quot;#,##0.0,,&quot;M&quot;;&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472722160"/>
        <c:crosses val="autoZero"/>
        <c:crossBetween val="between"/>
      </c:valAx>
      <c:spPr>
        <a:noFill/>
        <a:ln>
          <a:noFill/>
        </a:ln>
        <a:effectLst/>
      </c:spPr>
    </c:plotArea>
    <c:legend>
      <c:legendPos val="t"/>
      <c:layout>
        <c:manualLayout>
          <c:xMode val="edge"/>
          <c:yMode val="edge"/>
          <c:x val="1.3393863023758461E-2"/>
          <c:y val="0.14107704672979168"/>
          <c:w val="0.2603961932378438"/>
          <c:h val="0.74406397890154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800" b="1" i="0" u="none" strike="noStrike" kern="1200" spc="0" baseline="0">
                <a:solidFill>
                  <a:schemeClr val="tx1">
                    <a:lumMod val="65000"/>
                    <a:lumOff val="35000"/>
                  </a:schemeClr>
                </a:solidFill>
                <a:latin typeface="Aptos" panose="020B0004020202020204" pitchFamily="34" charset="0"/>
                <a:ea typeface="+mn-ea"/>
                <a:cs typeface="+mn-cs"/>
              </a:defRPr>
            </a:pPr>
            <a:r>
              <a:rPr lang="en-US" sz="1800" b="1"/>
              <a:t>LL97 Compliance and Penalty</a:t>
            </a:r>
            <a:r>
              <a:rPr lang="en-US" sz="1800" b="1" baseline="0"/>
              <a:t> Exposure</a:t>
            </a:r>
            <a:endParaRPr lang="en-US" sz="1800" b="1"/>
          </a:p>
        </c:rich>
      </c:tx>
      <c:layout>
        <c:manualLayout>
          <c:xMode val="edge"/>
          <c:yMode val="edge"/>
          <c:x val="2.6243099220722724E-2"/>
          <c:y val="2.9187581098828668E-2"/>
        </c:manualLayout>
      </c:layout>
      <c:overlay val="0"/>
      <c:spPr>
        <a:noFill/>
        <a:ln>
          <a:noFill/>
        </a:ln>
        <a:effectLst/>
      </c:spPr>
      <c:txPr>
        <a:bodyPr rot="0" spcFirstLastPara="1" vertOverflow="ellipsis" vert="horz" wrap="square" anchor="ctr" anchorCtr="1"/>
        <a:lstStyle/>
        <a:p>
          <a:pPr algn="ctr" rtl="0">
            <a:defRPr sz="1800" b="1" i="0" u="none" strike="noStrike" kern="1200" spc="0" baseline="0">
              <a:solidFill>
                <a:schemeClr val="tx1">
                  <a:lumMod val="65000"/>
                  <a:lumOff val="35000"/>
                </a:schemeClr>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0.33896786010354796"/>
          <c:y val="0.14947347820899218"/>
          <c:w val="0.63933208266431818"/>
          <c:h val="0.72734414120552382"/>
        </c:manualLayout>
      </c:layout>
      <c:barChart>
        <c:barDir val="col"/>
        <c:grouping val="stacked"/>
        <c:varyColors val="0"/>
        <c:ser>
          <c:idx val="1"/>
          <c:order val="2"/>
          <c:tx>
            <c:strRef>
              <c:f>'LL97 Pathway'!$T$47</c:f>
              <c:strCache>
                <c:ptCount val="1"/>
                <c:pt idx="0">
                  <c:v>LL97 Emissions After Measures</c:v>
                </c:pt>
              </c:strCache>
            </c:strRef>
          </c:tx>
          <c:spPr>
            <a:solidFill>
              <a:schemeClr val="bg1">
                <a:lumMod val="65000"/>
              </a:schemeClr>
            </a:solidFill>
            <a:ln>
              <a:noFill/>
            </a:ln>
            <a:effectLst>
              <a:outerShdw blurRad="50800" dist="12700" dir="18900000" algn="bl" rotWithShape="0">
                <a:prstClr val="black">
                  <a:alpha val="20000"/>
                </a:prstClr>
              </a:outerShdw>
            </a:effectLst>
          </c:spPr>
          <c:invertIfNegative val="0"/>
          <c:dLbls>
            <c:dLbl>
              <c:idx val="0"/>
              <c:tx>
                <c:rich>
                  <a:bodyPr/>
                  <a:lstStyle/>
                  <a:p>
                    <a:fld id="{19A278D3-4353-4668-A505-B1786B3B5F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76F-4243-9129-F090A852C013}"/>
                </c:ext>
              </c:extLst>
            </c:dLbl>
            <c:dLbl>
              <c:idx val="1"/>
              <c:tx>
                <c:rich>
                  <a:bodyPr/>
                  <a:lstStyle/>
                  <a:p>
                    <a:fld id="{0FAC8207-BAAC-4E18-86FF-B4745DF28F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76F-4243-9129-F090A852C013}"/>
                </c:ext>
              </c:extLst>
            </c:dLbl>
            <c:dLbl>
              <c:idx val="2"/>
              <c:tx>
                <c:rich>
                  <a:bodyPr/>
                  <a:lstStyle/>
                  <a:p>
                    <a:fld id="{0A52F9A7-4901-48A7-8410-4571F5B399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76F-4243-9129-F090A852C013}"/>
                </c:ext>
              </c:extLst>
            </c:dLbl>
            <c:dLbl>
              <c:idx val="3"/>
              <c:tx>
                <c:rich>
                  <a:bodyPr/>
                  <a:lstStyle/>
                  <a:p>
                    <a:fld id="{CBF6CB8D-BDD6-42F9-8CA3-926554FDEF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76F-4243-9129-F090A852C013}"/>
                </c:ext>
              </c:extLst>
            </c:dLbl>
            <c:dLbl>
              <c:idx val="4"/>
              <c:tx>
                <c:rich>
                  <a:bodyPr/>
                  <a:lstStyle/>
                  <a:p>
                    <a:fld id="{D91A8C69-3DE9-4904-B449-AB08297376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76F-4243-9129-F090A852C013}"/>
                </c:ext>
              </c:extLst>
            </c:dLbl>
            <c:dLbl>
              <c:idx val="5"/>
              <c:tx>
                <c:rich>
                  <a:bodyPr/>
                  <a:lstStyle/>
                  <a:p>
                    <a:fld id="{6A4A0E99-22B5-48DF-8EDB-2B759E1713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76F-4243-9129-F090A852C013}"/>
                </c:ext>
              </c:extLst>
            </c:dLbl>
            <c:dLbl>
              <c:idx val="6"/>
              <c:tx>
                <c:rich>
                  <a:bodyPr/>
                  <a:lstStyle/>
                  <a:p>
                    <a:fld id="{B9EDD477-32F3-40A7-A770-0E6260C358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76F-4243-9129-F090A852C013}"/>
                </c:ext>
              </c:extLst>
            </c:dLbl>
            <c:dLbl>
              <c:idx val="7"/>
              <c:tx>
                <c:rich>
                  <a:bodyPr/>
                  <a:lstStyle/>
                  <a:p>
                    <a:fld id="{D0925FFA-3EC5-4FEF-B9AF-C1E2D6DC7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76F-4243-9129-F090A852C013}"/>
                </c:ext>
              </c:extLst>
            </c:dLbl>
            <c:dLbl>
              <c:idx val="8"/>
              <c:tx>
                <c:rich>
                  <a:bodyPr/>
                  <a:lstStyle/>
                  <a:p>
                    <a:fld id="{0F67E1AC-5695-40BB-8D9D-DADCA09153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76F-4243-9129-F090A852C013}"/>
                </c:ext>
              </c:extLst>
            </c:dLbl>
            <c:dLbl>
              <c:idx val="9"/>
              <c:tx>
                <c:rich>
                  <a:bodyPr/>
                  <a:lstStyle/>
                  <a:p>
                    <a:fld id="{4F8799C9-C486-47D1-92B8-92004206DB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76F-4243-9129-F090A852C013}"/>
                </c:ext>
              </c:extLst>
            </c:dLbl>
            <c:dLbl>
              <c:idx val="10"/>
              <c:tx>
                <c:rich>
                  <a:bodyPr/>
                  <a:lstStyle/>
                  <a:p>
                    <a:fld id="{65ED327D-E8AC-4F3B-98FB-7FA6ED4779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76F-4243-9129-F090A852C013}"/>
                </c:ext>
              </c:extLst>
            </c:dLbl>
            <c:dLbl>
              <c:idx val="11"/>
              <c:tx>
                <c:rich>
                  <a:bodyPr/>
                  <a:lstStyle/>
                  <a:p>
                    <a:fld id="{80EE03FB-8727-4807-AAE9-5079873EB2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76F-4243-9129-F090A852C013}"/>
                </c:ext>
              </c:extLst>
            </c:dLbl>
            <c:dLbl>
              <c:idx val="12"/>
              <c:tx>
                <c:rich>
                  <a:bodyPr/>
                  <a:lstStyle/>
                  <a:p>
                    <a:fld id="{736C4054-CDB5-411D-8996-CADD29571B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76F-4243-9129-F090A852C013}"/>
                </c:ext>
              </c:extLst>
            </c:dLbl>
            <c:dLbl>
              <c:idx val="13"/>
              <c:tx>
                <c:rich>
                  <a:bodyPr/>
                  <a:lstStyle/>
                  <a:p>
                    <a:fld id="{02792A21-B8EE-4EA1-948D-C5EC25300A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76F-4243-9129-F090A852C013}"/>
                </c:ext>
              </c:extLst>
            </c:dLbl>
            <c:dLbl>
              <c:idx val="14"/>
              <c:tx>
                <c:rich>
                  <a:bodyPr/>
                  <a:lstStyle/>
                  <a:p>
                    <a:fld id="{123013F9-3ADF-46DF-8077-A23F57FF65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76F-4243-9129-F090A852C013}"/>
                </c:ext>
              </c:extLst>
            </c:dLbl>
            <c:dLbl>
              <c:idx val="15"/>
              <c:tx>
                <c:rich>
                  <a:bodyPr/>
                  <a:lstStyle/>
                  <a:p>
                    <a:fld id="{BD765DB3-17E3-499C-9CF3-87641EEAC9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76F-4243-9129-F090A852C013}"/>
                </c:ext>
              </c:extLst>
            </c:dLbl>
            <c:dLbl>
              <c:idx val="16"/>
              <c:tx>
                <c:rich>
                  <a:bodyPr/>
                  <a:lstStyle/>
                  <a:p>
                    <a:fld id="{CA6FA2EB-8E95-4E87-B1A8-66AFC86978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76F-4243-9129-F090A852C013}"/>
                </c:ext>
              </c:extLst>
            </c:dLbl>
            <c:dLbl>
              <c:idx val="17"/>
              <c:tx>
                <c:rich>
                  <a:bodyPr/>
                  <a:lstStyle/>
                  <a:p>
                    <a:fld id="{3BE9B541-459D-4F34-977C-9B34CB9419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76F-4243-9129-F090A852C013}"/>
                </c:ext>
              </c:extLst>
            </c:dLbl>
            <c:dLbl>
              <c:idx val="18"/>
              <c:tx>
                <c:rich>
                  <a:bodyPr/>
                  <a:lstStyle/>
                  <a:p>
                    <a:fld id="{95DAB172-5E5C-4007-BE66-F5F78A6AD5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76F-4243-9129-F090A852C013}"/>
                </c:ext>
              </c:extLst>
            </c:dLbl>
            <c:dLbl>
              <c:idx val="19"/>
              <c:tx>
                <c:rich>
                  <a:bodyPr/>
                  <a:lstStyle/>
                  <a:p>
                    <a:fld id="{1995C7B6-088E-4A65-BB4E-2F49EFB869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76F-4243-9129-F090A852C013}"/>
                </c:ext>
              </c:extLst>
            </c:dLbl>
            <c:dLbl>
              <c:idx val="20"/>
              <c:tx>
                <c:rich>
                  <a:bodyPr/>
                  <a:lstStyle/>
                  <a:p>
                    <a:fld id="{FDE7814D-1F98-4656-A69A-218EDC447C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76F-4243-9129-F090A852C013}"/>
                </c:ext>
              </c:extLst>
            </c:dLbl>
            <c:dLbl>
              <c:idx val="21"/>
              <c:tx>
                <c:rich>
                  <a:bodyPr/>
                  <a:lstStyle/>
                  <a:p>
                    <a:fld id="{5F6BC1EA-5784-4428-8504-A9FAAC037C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76F-4243-9129-F090A852C013}"/>
                </c:ext>
              </c:extLst>
            </c:dLbl>
            <c:dLbl>
              <c:idx val="22"/>
              <c:tx>
                <c:rich>
                  <a:bodyPr/>
                  <a:lstStyle/>
                  <a:p>
                    <a:fld id="{81F785A8-7F48-41CD-8DCC-7C4D907CB1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76F-4243-9129-F090A852C013}"/>
                </c:ext>
              </c:extLst>
            </c:dLbl>
            <c:dLbl>
              <c:idx val="23"/>
              <c:tx>
                <c:rich>
                  <a:bodyPr/>
                  <a:lstStyle/>
                  <a:p>
                    <a:fld id="{D2C50C90-756A-466A-AE81-5285B9DF9B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76F-4243-9129-F090A852C013}"/>
                </c:ext>
              </c:extLst>
            </c:dLbl>
            <c:dLbl>
              <c:idx val="24"/>
              <c:tx>
                <c:rich>
                  <a:bodyPr/>
                  <a:lstStyle/>
                  <a:p>
                    <a:fld id="{655863AB-D005-4891-AED9-CC1EA07D8D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76F-4243-9129-F090A852C013}"/>
                </c:ext>
              </c:extLst>
            </c:dLbl>
            <c:dLbl>
              <c:idx val="25"/>
              <c:tx>
                <c:rich>
                  <a:bodyPr/>
                  <a:lstStyle/>
                  <a:p>
                    <a:fld id="{F5BC2F0E-FBC9-4CE5-854F-E525A19804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76F-4243-9129-F090A852C013}"/>
                </c:ext>
              </c:extLst>
            </c:dLbl>
            <c:dLbl>
              <c:idx val="26"/>
              <c:tx>
                <c:rich>
                  <a:bodyPr/>
                  <a:lstStyle/>
                  <a:p>
                    <a:fld id="{BF1B9D32-7038-4FBB-B943-469D50F6F4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76F-4243-9129-F090A852C013}"/>
                </c:ext>
              </c:extLst>
            </c:dLbl>
            <c:dLbl>
              <c:idx val="27"/>
              <c:tx>
                <c:rich>
                  <a:bodyPr/>
                  <a:lstStyle/>
                  <a:p>
                    <a:fld id="{A4C03FDF-0BF8-4A26-8D89-BDF9C8707B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76F-4243-9129-F090A852C013}"/>
                </c:ext>
              </c:extLst>
            </c:dLbl>
            <c:dLbl>
              <c:idx val="28"/>
              <c:tx>
                <c:rich>
                  <a:bodyPr/>
                  <a:lstStyle/>
                  <a:p>
                    <a:fld id="{12DB3443-7CFD-4BBD-B7E2-7D87193ABD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76F-4243-9129-F090A852C013}"/>
                </c:ext>
              </c:extLst>
            </c:dLbl>
            <c:dLbl>
              <c:idx val="29"/>
              <c:tx>
                <c:rich>
                  <a:bodyPr/>
                  <a:lstStyle/>
                  <a:p>
                    <a:fld id="{65FF11D9-4BF2-4422-AAD7-29D92A8C32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76F-4243-9129-F090A852C01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'LL97 Pathway'!$AG$48:$AG$77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Pathway'!$T$48:$T$77</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5="http://schemas.microsoft.com/office/drawing/2012/chart" uri="{02D57815-91ED-43cb-92C2-25804820EDAC}">
              <c15:datalabelsRange>
                <c15:f>'LL97 Pathway'!$AC$48:$AC$77</c15:f>
                <c15:dlblRangeCache>
                  <c:ptCount val="30"/>
                </c15:dlblRangeCache>
              </c15:datalabelsRange>
            </c:ext>
            <c:ext xmlns:c16="http://schemas.microsoft.com/office/drawing/2014/chart" uri="{C3380CC4-5D6E-409C-BE32-E72D297353CC}">
              <c16:uniqueId val="{0000001E-976F-4243-9129-F090A852C013}"/>
            </c:ext>
          </c:extLst>
        </c:ser>
        <c:ser>
          <c:idx val="3"/>
          <c:order val="3"/>
          <c:tx>
            <c:strRef>
              <c:f>'LL97 Pathway'!$Y$47</c:f>
              <c:strCache>
                <c:ptCount val="1"/>
                <c:pt idx="0">
                  <c:v>LL97 Emissions Reduced by Measures</c:v>
                </c:pt>
              </c:strCache>
            </c:strRef>
          </c:tx>
          <c:spPr>
            <a:pattFill prst="dkDnDiag">
              <a:fgClr>
                <a:schemeClr val="tx2">
                  <a:lumMod val="20000"/>
                  <a:lumOff val="80000"/>
                </a:schemeClr>
              </a:fgClr>
              <a:bgClr>
                <a:schemeClr val="accent1"/>
              </a:bgClr>
            </a:pattFill>
            <a:ln>
              <a:noFill/>
            </a:ln>
            <a:effectLst>
              <a:outerShdw blurRad="50800" dist="50800" dir="5400000" algn="ctr" rotWithShape="0">
                <a:schemeClr val="bg1">
                  <a:lumMod val="85000"/>
                </a:schemeClr>
              </a:outerShdw>
            </a:effectLst>
          </c:spPr>
          <c:invertIfNegative val="0"/>
          <c:cat>
            <c:numRef>
              <c:f>'LL97 Pathway'!$AG$48:$AG$77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Pathway'!$Y$48:$Y$77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extLst>
            <c:ext xmlns:c16="http://schemas.microsoft.com/office/drawing/2014/chart" uri="{C3380CC4-5D6E-409C-BE32-E72D297353CC}">
              <c16:uniqueId val="{0000001F-976F-4243-9129-F090A852C013}"/>
            </c:ext>
          </c:extLst>
        </c:ser>
        <c:dLbls>
          <c:showLegendKey val="0"/>
          <c:showVal val="0"/>
          <c:showCatName val="0"/>
          <c:showSerName val="0"/>
          <c:showPercent val="0"/>
          <c:showBubbleSize val="0"/>
        </c:dLbls>
        <c:gapWidth val="20"/>
        <c:overlap val="100"/>
        <c:axId val="369417984"/>
        <c:axId val="369439200"/>
      </c:barChart>
      <c:scatterChart>
        <c:scatterStyle val="lineMarker"/>
        <c:varyColors val="0"/>
        <c:ser>
          <c:idx val="2"/>
          <c:order val="0"/>
          <c:tx>
            <c:strRef>
              <c:f>'LL97 Pathway'!$U$47</c:f>
              <c:strCache>
                <c:ptCount val="1"/>
                <c:pt idx="0">
                  <c:v>LL97 Emissions Limit (tCO2e)</c:v>
                </c:pt>
              </c:strCache>
            </c:strRef>
          </c:tx>
          <c:spPr>
            <a:ln w="28575" cap="rnd">
              <a:noFill/>
              <a:round/>
            </a:ln>
            <a:effectLst/>
          </c:spPr>
          <c:marker>
            <c:symbol val="dash"/>
            <c:size val="17"/>
            <c:spPr>
              <a:solidFill>
                <a:srgbClr val="C00000">
                  <a:alpha val="60000"/>
                </a:srgbClr>
              </a:solidFill>
              <a:ln w="9525">
                <a:noFill/>
              </a:ln>
              <a:effectLst/>
            </c:spPr>
          </c:marker>
          <c:xVal>
            <c:numRef>
              <c:f>'LL97 Pathway'!$AG$48:$AG$77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xVal>
          <c:yVal>
            <c:numRef>
              <c:f>'LL97 Pathway'!$U$48:$U$77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yVal>
          <c:smooth val="0"/>
          <c:extLst>
            <c:ext xmlns:c16="http://schemas.microsoft.com/office/drawing/2014/chart" uri="{C3380CC4-5D6E-409C-BE32-E72D297353CC}">
              <c16:uniqueId val="{00000020-976F-4243-9129-F090A852C013}"/>
            </c:ext>
          </c:extLst>
        </c:ser>
        <c:ser>
          <c:idx val="0"/>
          <c:order val="1"/>
          <c:tx>
            <c:v>Penalty Mark</c:v>
          </c:tx>
          <c:spPr>
            <a:ln w="28575" cap="rnd">
              <a:no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976F-4243-9129-F090A852C01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976F-4243-9129-F090A852C013}"/>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976F-4243-9129-F090A852C013}"/>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976F-4243-9129-F090A852C013}"/>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976F-4243-9129-F090A852C013}"/>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976F-4243-9129-F090A852C013}"/>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976F-4243-9129-F090A852C013}"/>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976F-4243-9129-F090A852C013}"/>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976F-4243-9129-F090A852C013}"/>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976F-4243-9129-F090A852C013}"/>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976F-4243-9129-F090A852C013}"/>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976F-4243-9129-F090A852C013}"/>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976F-4243-9129-F090A852C013}"/>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976F-4243-9129-F090A852C013}"/>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976F-4243-9129-F090A852C013}"/>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976F-4243-9129-F090A852C013}"/>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976F-4243-9129-F090A852C013}"/>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976F-4243-9129-F090A852C013}"/>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976F-4243-9129-F090A852C013}"/>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976F-4243-9129-F090A852C013}"/>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976F-4243-9129-F090A852C013}"/>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976F-4243-9129-F090A852C013}"/>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976F-4243-9129-F090A852C013}"/>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976F-4243-9129-F090A852C013}"/>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976F-4243-9129-F090A852C013}"/>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976F-4243-9129-F090A852C013}"/>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976F-4243-9129-F090A852C013}"/>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976F-4243-9129-F090A852C013}"/>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976F-4243-9129-F090A852C013}"/>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976F-4243-9129-F090A852C013}"/>
                </c:ext>
              </c:extLst>
            </c:dLbl>
            <c:numFmt formatCode=";[Red]&quot;$&quot;#,##0,&quot;K&quot;;[Green]&quot;Compliant&quot;;" sourceLinked="0"/>
            <c:spPr>
              <a:solidFill>
                <a:sysClr val="window" lastClr="FFFFFF"/>
              </a:solid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rgbClr val="C00000"/>
                    </a:solidFill>
                    <a:latin typeface="Aptos" panose="020B0004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'LL97 Pathway'!$AG$48:$AG$77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xVal>
          <c:yVal>
            <c:numRef>
              <c:f>'LL97 Pathway'!$V$48:$V$77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yVal>
          <c:smooth val="0"/>
          <c:extLst>
            <c:ext xmlns:c15="http://schemas.microsoft.com/office/drawing/2012/chart" uri="{02D57815-91ED-43cb-92C2-25804820EDAC}">
              <c15:datalabelsRange>
                <c15:f>'LL97 Pathway'!$AA$48:$AA$78</c15:f>
                <c15:dlblRangeCache>
                  <c:ptCount val="31"/>
                  <c:pt idx="30">
                    <c:v>$0</c:v>
                  </c:pt>
                </c15:dlblRangeCache>
              </c15:datalabelsRange>
            </c:ext>
            <c:ext xmlns:c16="http://schemas.microsoft.com/office/drawing/2014/chart" uri="{C3380CC4-5D6E-409C-BE32-E72D297353CC}">
              <c16:uniqueId val="{0000003F-976F-4243-9129-F090A852C013}"/>
            </c:ext>
          </c:extLst>
        </c:ser>
        <c:dLbls>
          <c:showLegendKey val="0"/>
          <c:showVal val="0"/>
          <c:showCatName val="0"/>
          <c:showSerName val="0"/>
          <c:showPercent val="0"/>
          <c:showBubbleSize val="0"/>
        </c:dLbls>
        <c:axId val="369417984"/>
        <c:axId val="369439200"/>
      </c:scatterChart>
      <c:dateAx>
        <c:axId val="369417984"/>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369439200"/>
        <c:crosses val="autoZero"/>
        <c:auto val="0"/>
        <c:lblOffset val="100"/>
        <c:baseTimeUnit val="days"/>
      </c:dateAx>
      <c:valAx>
        <c:axId val="36943920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ptos" panose="020B0004020202020204" pitchFamily="34" charset="0"/>
                    <a:ea typeface="+mn-ea"/>
                    <a:cs typeface="+mn-cs"/>
                  </a:defRPr>
                </a:pPr>
                <a:r>
                  <a:rPr lang="en-US"/>
                  <a:t>GHG Carbon Emissions (tCO2e)</a:t>
                </a:r>
              </a:p>
            </c:rich>
          </c:tx>
          <c:layout>
            <c:manualLayout>
              <c:xMode val="edge"/>
              <c:yMode val="edge"/>
              <c:x val="0.27257162686592551"/>
              <c:y val="0.29532173669067835"/>
            </c:manualLayout>
          </c:layout>
          <c:overlay val="0"/>
          <c:spPr>
            <a:noFill/>
            <a:ln>
              <a:noFill/>
            </a:ln>
            <a:effectLst/>
          </c:spPr>
          <c:txPr>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369417984"/>
        <c:crosses val="autoZero"/>
        <c:crossBetween val="between"/>
      </c:valAx>
      <c:spPr>
        <a:noFill/>
        <a:ln>
          <a:noFill/>
        </a:ln>
        <a:effectLst/>
      </c:spPr>
    </c:plotArea>
    <c:legend>
      <c:legendPos val="b"/>
      <c:legendEntry>
        <c:idx val="3"/>
        <c:delete val="1"/>
      </c:legendEntry>
      <c:layout>
        <c:manualLayout>
          <c:xMode val="edge"/>
          <c:yMode val="edge"/>
          <c:x val="2.0741957927154782E-2"/>
          <c:y val="0.156041809522418"/>
          <c:w val="0.23474992741191297"/>
          <c:h val="0.4431134752880752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Aptos" panose="020B00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46010026381664E-2"/>
          <c:y val="0.12539184952978055"/>
          <c:w val="0.90100223333265861"/>
          <c:h val="0.78273772204806691"/>
        </c:manualLayout>
      </c:layout>
      <c:barChart>
        <c:barDir val="col"/>
        <c:grouping val="stacked"/>
        <c:varyColors val="0"/>
        <c:ser>
          <c:idx val="6"/>
          <c:order val="1"/>
          <c:tx>
            <c:strRef>
              <c:f>'LL97 Pathway'!$T$47</c:f>
              <c:strCache>
                <c:ptCount val="1"/>
                <c:pt idx="0">
                  <c:v>LL97 Emissions After Measures</c:v>
                </c:pt>
              </c:strCache>
            </c:strRef>
          </c:tx>
          <c:spPr>
            <a:solidFill>
              <a:schemeClr val="bg1">
                <a:lumMod val="65000"/>
              </a:schemeClr>
            </a:solidFill>
            <a:ln w="25400">
              <a:noFill/>
            </a:ln>
            <a:effectLst>
              <a:outerShdw blurRad="38100" dist="12700" dir="2700000" algn="tl" rotWithShape="0">
                <a:prstClr val="black">
                  <a:alpha val="40000"/>
                </a:prstClr>
              </a:outerShdw>
            </a:effectLst>
          </c:spPr>
          <c:invertIfNegative val="0"/>
          <c:cat>
            <c:numRef>
              <c:f>'LL97 Pathway'!$AG$48:$AG$77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Pathway'!$T$48:$T$77</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9CE5-4A29-B284-1E516C7DFFBE}"/>
            </c:ext>
          </c:extLst>
        </c:ser>
        <c:ser>
          <c:idx val="1"/>
          <c:order val="3"/>
          <c:tx>
            <c:v>Measure Emissions Savings</c:v>
          </c:tx>
          <c:spPr>
            <a:pattFill prst="dkDnDiag">
              <a:fgClr>
                <a:schemeClr val="tx2">
                  <a:lumMod val="20000"/>
                  <a:lumOff val="80000"/>
                </a:schemeClr>
              </a:fgClr>
              <a:bgClr>
                <a:schemeClr val="accent1"/>
              </a:bgClr>
            </a:pattFill>
            <a:ln>
              <a:noFill/>
            </a:ln>
            <a:effectLst>
              <a:outerShdw blurRad="38100" dist="12700" algn="ctr" rotWithShape="0">
                <a:prstClr val="black">
                  <a:alpha val="40000"/>
                </a:prstClr>
              </a:outerShdw>
            </a:effectLst>
          </c:spPr>
          <c:invertIfNegative val="0"/>
          <c:cat>
            <c:numRef>
              <c:f>'LL97 Pathway'!$AG$48:$AG$77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Pathway'!$Y$48:$Y$77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extLst>
            <c:ext xmlns:c16="http://schemas.microsoft.com/office/drawing/2014/chart" uri="{C3380CC4-5D6E-409C-BE32-E72D297353CC}">
              <c16:uniqueId val="{00000001-9CE5-4A29-B284-1E516C7DFFBE}"/>
            </c:ext>
          </c:extLst>
        </c:ser>
        <c:dLbls>
          <c:showLegendKey val="0"/>
          <c:showVal val="0"/>
          <c:showCatName val="0"/>
          <c:showSerName val="0"/>
          <c:showPercent val="0"/>
          <c:showBubbleSize val="0"/>
        </c:dLbls>
        <c:gapWidth val="20"/>
        <c:overlap val="100"/>
        <c:axId val="1531504208"/>
        <c:axId val="1730183008"/>
      </c:barChart>
      <c:lineChart>
        <c:grouping val="standard"/>
        <c:varyColors val="0"/>
        <c:ser>
          <c:idx val="0"/>
          <c:order val="0"/>
          <c:tx>
            <c:v>Decarbonization Pathway</c:v>
          </c:tx>
          <c:spPr>
            <a:ln w="28575" cap="rnd">
              <a:solidFill>
                <a:schemeClr val="accent1"/>
              </a:solidFill>
              <a:round/>
            </a:ln>
            <a:effectLst/>
          </c:spPr>
          <c:marker>
            <c:symbol val="none"/>
          </c:marker>
          <c:cat>
            <c:numRef>
              <c:f>'LL97 Pathway'!$AG$48:$AG$77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Pathway'!$T$48:$T$77</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9CE5-4A29-B284-1E516C7DFFBE}"/>
            </c:ext>
          </c:extLst>
        </c:ser>
        <c:ser>
          <c:idx val="2"/>
          <c:order val="2"/>
          <c:tx>
            <c:strRef>
              <c:f>'LL97 Pathway'!$V$47</c:f>
              <c:strCache>
                <c:ptCount val="1"/>
                <c:pt idx="0">
                  <c:v>LL97 Business-As-Usual Emissions</c:v>
                </c:pt>
              </c:strCache>
            </c:strRef>
          </c:tx>
          <c:spPr>
            <a:ln w="28575" cap="rnd">
              <a:solidFill>
                <a:schemeClr val="tx1"/>
              </a:solidFill>
              <a:round/>
            </a:ln>
            <a:effectLst>
              <a:outerShdw blurRad="317500" dir="6000000" algn="ctr" rotWithShape="0">
                <a:schemeClr val="tx1">
                  <a:alpha val="25000"/>
                </a:schemeClr>
              </a:outerShdw>
            </a:effectLst>
          </c:spPr>
          <c:marker>
            <c:symbol val="none"/>
          </c:marker>
          <c:cat>
            <c:numRef>
              <c:f>'LL97 Pathway'!$AG$48:$AG$77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'LL97 Pathway'!$V$48:$V$77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3-9CE5-4A29-B284-1E516C7DFFBE}"/>
            </c:ext>
          </c:extLst>
        </c:ser>
        <c:dLbls>
          <c:showLegendKey val="0"/>
          <c:showVal val="0"/>
          <c:showCatName val="0"/>
          <c:showSerName val="0"/>
          <c:showPercent val="0"/>
          <c:showBubbleSize val="0"/>
        </c:dLbls>
        <c:marker val="1"/>
        <c:smooth val="0"/>
        <c:axId val="1531504208"/>
        <c:axId val="1730183008"/>
        <c:extLst>
          <c:ext xmlns:c15="http://schemas.microsoft.com/office/drawing/2012/chart" uri="{02D57815-91ED-43cb-92C2-25804820EDAC}">
            <c15:filteredLineSeries>
              <c15:ser>
                <c:idx val="4"/>
                <c:order val="4"/>
                <c:tx>
                  <c:v>Base Year Emissions</c:v>
                </c:tx>
                <c:spPr>
                  <a:ln w="28575" cap="rnd">
                    <a:solidFill>
                      <a:schemeClr val="accent5"/>
                    </a:solidFill>
                    <a:round/>
                  </a:ln>
                  <a:effectLst/>
                </c:spPr>
                <c:marker>
                  <c:symbol val="circle"/>
                  <c:size val="5"/>
                  <c:spPr>
                    <a:solidFill>
                      <a:schemeClr val="tx1">
                        <a:lumMod val="75000"/>
                        <a:lumOff val="25000"/>
                      </a:schemeClr>
                    </a:solidFill>
                    <a:ln w="9525">
                      <a:noFill/>
                    </a:ln>
                    <a:effectLst/>
                  </c:spPr>
                </c:marker>
                <c:dLbls>
                  <c:dLbl>
                    <c:idx val="0"/>
                    <c:layout>
                      <c:manualLayout>
                        <c:x val="-5.5731294508364018E-2"/>
                        <c:y val="-4.2137062879115658E-2"/>
                      </c:manualLayout>
                    </c:layout>
                    <c:spPr>
                      <a:noFill/>
                      <a:ln>
                        <a:noFill/>
                      </a:ln>
                      <a:effectLst/>
                    </c:spPr>
                    <c:txPr>
                      <a:bodyPr rot="0" spcFirstLastPara="1" vertOverflow="ellipsis" vert="horz" wrap="square" lIns="38100" tIns="19050" rIns="38100" bIns="19050" anchor="ctr" anchorCtr="1">
                        <a:noAutofit/>
                      </a:bodyPr>
                      <a:lstStyle/>
                      <a:p>
                        <a:pPr>
                          <a:defRPr lang="en-US" sz="900" b="1" i="0" u="none" strike="noStrike" kern="1200" baseline="0">
                            <a:solidFill>
                              <a:schemeClr val="bg1">
                                <a:lumMod val="50000"/>
                              </a:schemeClr>
                            </a:solidFill>
                            <a:latin typeface="Aptos Narrow" panose="020B0004020202020204" pitchFamily="34" charset="0"/>
                            <a:ea typeface="+mn-ea"/>
                            <a:cs typeface="+mn-cs"/>
                          </a:defRPr>
                        </a:pPr>
                        <a:endParaRPr lang="en-US"/>
                      </a:p>
                    </c:txPr>
                    <c:dLblPos val="r"/>
                    <c:showLegendKey val="0"/>
                    <c:showVal val="0"/>
                    <c:showCatName val="0"/>
                    <c:showSerName val="1"/>
                    <c:showPercent val="0"/>
                    <c:showBubbleSize val="0"/>
                    <c:extLst>
                      <c:ext uri="{CE6537A1-D6FC-4f65-9D91-7224C49458BB}">
                        <c15:layout>
                          <c:manualLayout>
                            <c:w val="9.0246191972544326E-2"/>
                            <c:h val="0.10788603032473638"/>
                          </c:manualLayout>
                        </c15:layout>
                      </c:ext>
                      <c:ext xmlns:c16="http://schemas.microsoft.com/office/drawing/2014/chart" uri="{C3380CC4-5D6E-409C-BE32-E72D297353CC}">
                        <c16:uniqueId val="{00000023-9CE5-4A29-B284-1E516C7DFFBE}"/>
                      </c:ext>
                    </c:extLst>
                  </c:dLbl>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dk1"/>
                          </a:solidFill>
                          <a:latin typeface=""/>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'LL97 Pathway'!$N$7</c15:sqref>
                        </c15:formulaRef>
                      </c:ext>
                    </c:extLst>
                    <c:numCache>
                      <c:formatCode>#,##0</c:formatCode>
                      <c:ptCount val="1"/>
                      <c:pt idx="0">
                        <c:v>#N/A</c:v>
                      </c:pt>
                    </c:numCache>
                  </c:numRef>
                </c:val>
                <c:smooth val="0"/>
                <c:extLst>
                  <c:ext xmlns:c16="http://schemas.microsoft.com/office/drawing/2014/chart" uri="{C3380CC4-5D6E-409C-BE32-E72D297353CC}">
                    <c16:uniqueId val="{00000024-9CE5-4A29-B284-1E516C7DFFBE}"/>
                  </c:ext>
                </c:extLst>
              </c15:ser>
            </c15:filteredLineSeries>
          </c:ext>
        </c:extLst>
      </c:lineChart>
      <c:scatterChart>
        <c:scatterStyle val="lineMarker"/>
        <c:varyColors val="0"/>
        <c:ser>
          <c:idx val="3"/>
          <c:order val="5"/>
          <c:tx>
            <c:v>Number of Measures Done</c:v>
          </c:tx>
          <c:spPr>
            <a:ln w="25400" cap="rnd">
              <a:noFill/>
              <a:round/>
            </a:ln>
            <a:effectLst/>
          </c:spPr>
          <c:marker>
            <c:symbol val="triangle"/>
            <c:size val="10"/>
            <c:spPr>
              <a:solidFill>
                <a:schemeClr val="accent1"/>
              </a:solidFill>
              <a:ln w="9525">
                <a:noFill/>
              </a:ln>
              <a:effectLst/>
            </c:spPr>
          </c:marker>
          <c:dLbls>
            <c:dLbl>
              <c:idx val="0"/>
              <c:tx>
                <c:rich>
                  <a:bodyPr/>
                  <a:lstStyle/>
                  <a:p>
                    <a:fld id="{4BAA2FFF-C765-48C5-B122-9460B6DB24B2}"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CE5-4A29-B284-1E516C7DFFBE}"/>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9CE5-4A29-B284-1E516C7DFFBE}"/>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9CE5-4A29-B284-1E516C7DFFBE}"/>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9CE5-4A29-B284-1E516C7DFFBE}"/>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9CE5-4A29-B284-1E516C7DFFBE}"/>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9CE5-4A29-B284-1E516C7DFFBE}"/>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9CE5-4A29-B284-1E516C7DFFBE}"/>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CE5-4A29-B284-1E516C7DFFBE}"/>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CE5-4A29-B284-1E516C7DFFBE}"/>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9CE5-4A29-B284-1E516C7DFFBE}"/>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CE5-4A29-B284-1E516C7DFFBE}"/>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CE5-4A29-B284-1E516C7DFFBE}"/>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9CE5-4A29-B284-1E516C7DFFBE}"/>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9CE5-4A29-B284-1E516C7DFFBE}"/>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CE5-4A29-B284-1E516C7DFFBE}"/>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CE5-4A29-B284-1E516C7DFFBE}"/>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CE5-4A29-B284-1E516C7DFFBE}"/>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9CE5-4A29-B284-1E516C7DFFBE}"/>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CE5-4A29-B284-1E516C7DFFBE}"/>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9CE5-4A29-B284-1E516C7DFFBE}"/>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CE5-4A29-B284-1E516C7DFFBE}"/>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CE5-4A29-B284-1E516C7DFFBE}"/>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9CE5-4A29-B284-1E516C7DFFBE}"/>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9CE5-4A29-B284-1E516C7DFFBE}"/>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CE5-4A29-B284-1E516C7DFFBE}"/>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9CE5-4A29-B284-1E516C7DFFBE}"/>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9CE5-4A29-B284-1E516C7DFFBE}"/>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9CE5-4A29-B284-1E516C7DFFBE}"/>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9CE5-4A29-B284-1E516C7DFFBE}"/>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9CE5-4A29-B284-1E516C7DFFBE}"/>
                </c:ext>
              </c:extLst>
            </c:dLbl>
            <c:spPr>
              <a:noFill/>
              <a:ln>
                <a:noFill/>
              </a:ln>
              <a:effectLst/>
            </c:spPr>
            <c:txPr>
              <a:bodyPr rot="-5400000" spcFirstLastPara="1" vertOverflow="ellipsis" wrap="square" lIns="38100" tIns="19050" rIns="38100" bIns="19050" anchor="ctr" anchorCtr="0">
                <a:spAutoFit/>
              </a:bodyPr>
              <a:lstStyle/>
              <a:p>
                <a:pPr algn="ctr">
                  <a:defRPr lang="en-US" sz="1050" b="1" i="0" u="none" strike="noStrike" kern="1200" baseline="0">
                    <a:solidFill>
                      <a:schemeClr val="tx2"/>
                    </a:solidFill>
                    <a:latin typeface="Aptos Narrow" panose="020B0004020202020204" pitchFamily="34" charset="0"/>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'LL97 Pathway'!$AG$48:$AG$77</c:f>
              <c:numCache>
                <c:formatCode>0</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xVal>
          <c:yVal>
            <c:numRef>
              <c:f>'LL97 Pathway'!$AJ$48:$AJ$77</c:f>
              <c:numCache>
                <c:formatCode>0</c:formatCode>
                <c:ptCount val="30"/>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yVal>
          <c:smooth val="0"/>
          <c:extLst>
            <c:ext xmlns:c15="http://schemas.microsoft.com/office/drawing/2012/chart" uri="{02D57815-91ED-43cb-92C2-25804820EDAC}">
              <c15:datalabelsRange>
                <c15:f>'LL97 Pathway'!$AI$48:$AI$77</c15:f>
                <c15:dlblRangeCache>
                  <c:ptCount val="30"/>
                  <c:pt idx="0">
                    <c:v>0 Measures Done</c:v>
                  </c:pt>
                </c15:dlblRangeCache>
              </c15:datalabelsRange>
            </c:ext>
            <c:ext xmlns:c16="http://schemas.microsoft.com/office/drawing/2014/chart" uri="{C3380CC4-5D6E-409C-BE32-E72D297353CC}">
              <c16:uniqueId val="{00000022-9CE5-4A29-B284-1E516C7DFFBE}"/>
            </c:ext>
          </c:extLst>
        </c:ser>
        <c:dLbls>
          <c:showLegendKey val="0"/>
          <c:showVal val="0"/>
          <c:showCatName val="0"/>
          <c:showSerName val="0"/>
          <c:showPercent val="0"/>
          <c:showBubbleSize val="0"/>
        </c:dLbls>
        <c:axId val="1531504208"/>
        <c:axId val="1730183008"/>
      </c:scatterChart>
      <c:dateAx>
        <c:axId val="15315042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dk1"/>
                </a:solidFill>
                <a:latin typeface="Aptos" panose="020B0004020202020204" pitchFamily="34" charset="0"/>
                <a:ea typeface="+mn-ea"/>
                <a:cs typeface="+mn-cs"/>
              </a:defRPr>
            </a:pPr>
            <a:endParaRPr lang="en-US"/>
          </a:p>
        </c:txPr>
        <c:crossAx val="1730183008"/>
        <c:crosses val="autoZero"/>
        <c:auto val="0"/>
        <c:lblOffset val="100"/>
        <c:baseTimeUnit val="days"/>
      </c:dateAx>
      <c:valAx>
        <c:axId val="1730183008"/>
        <c:scaling>
          <c:orientation val="minMax"/>
        </c:scaling>
        <c:delete val="0"/>
        <c:axPos val="l"/>
        <c:majorGridlines>
          <c:spPr>
            <a:ln w="9525" cap="flat" cmpd="sng" algn="ctr">
              <a:solidFill>
                <a:schemeClr val="tx1">
                  <a:lumMod val="15000"/>
                  <a:lumOff val="85000"/>
                </a:schemeClr>
              </a:solidFill>
              <a:round/>
            </a:ln>
            <a:effectLst/>
          </c:spPr>
        </c:majorGridlines>
        <c:numFmt formatCode="#,###,##0\ &quot;tCO2e&quot;" sourceLinked="0"/>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solidFill>
                <a:latin typeface="Aptos" panose="020B0004020202020204" pitchFamily="34" charset="0"/>
                <a:ea typeface="+mn-ea"/>
                <a:cs typeface="+mn-cs"/>
              </a:defRPr>
            </a:pPr>
            <a:endParaRPr lang="en-US"/>
          </a:p>
        </c:txPr>
        <c:crossAx val="1531504208"/>
        <c:crosses val="autoZero"/>
        <c:crossBetween val="between"/>
      </c:valAx>
      <c:spPr>
        <a:noFill/>
        <a:ln>
          <a:noFill/>
        </a:ln>
        <a:effectLst/>
      </c:spPr>
    </c:plotArea>
    <c:legend>
      <c:legendPos val="r"/>
      <c:layout>
        <c:manualLayout>
          <c:xMode val="edge"/>
          <c:yMode val="edge"/>
          <c:x val="0.64264082266485412"/>
          <c:y val="7.9312244498676798E-2"/>
          <c:w val="0.33898581940549571"/>
          <c:h val="0.30555263084052364"/>
        </c:manualLayout>
      </c:layout>
      <c:overlay val="0"/>
      <c:spPr>
        <a:noFill/>
        <a:ln>
          <a:noFill/>
        </a:ln>
        <a:effectLst/>
      </c:spPr>
      <c:txPr>
        <a:bodyPr rot="0" spcFirstLastPara="1" vertOverflow="ellipsis" vert="horz" wrap="square" anchor="ctr" anchorCtr="1"/>
        <a:lstStyle/>
        <a:p>
          <a:pPr>
            <a:defRPr lang="en-US" sz="1050" b="1"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bg1">
          <a:lumMod val="95000"/>
        </a:schemeClr>
      </a:fgClr>
      <a:bgClr>
        <a:schemeClr val="bg1"/>
      </a:bgClr>
    </a:pattFill>
    <a:ln w="9525" cap="flat" cmpd="sng" algn="ctr">
      <a:solidFill>
        <a:schemeClr val="tx1">
          <a:lumMod val="15000"/>
          <a:lumOff val="85000"/>
        </a:schemeClr>
      </a:solidFill>
      <a:round/>
    </a:ln>
    <a:effectLst/>
  </c:spPr>
  <c:txPr>
    <a:bodyPr/>
    <a:lstStyle/>
    <a:p>
      <a:pPr>
        <a:defRPr lang="en-US" sz="900" b="0" i="0" u="none" strike="noStrike" kern="1200" baseline="0">
          <a:solidFill>
            <a:schemeClr val="dk1"/>
          </a:solidFill>
          <a:latin typeface=""/>
          <a:ea typeface="+mn-ea"/>
          <a:cs typeface="+mn-cs"/>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0" normalizeH="0" baseline="0">
                <a:solidFill>
                  <a:schemeClr val="tx1">
                    <a:lumMod val="65000"/>
                    <a:lumOff val="35000"/>
                  </a:schemeClr>
                </a:solidFill>
                <a:latin typeface="Aptos" panose="020B0004020202020204" pitchFamily="34" charset="0"/>
                <a:ea typeface="+mj-ea"/>
                <a:cs typeface="+mj-cs"/>
              </a:defRPr>
            </a:pPr>
            <a:r>
              <a:rPr lang="en-US" sz="1800" b="1"/>
              <a:t>LL97 Cash Flow</a:t>
            </a:r>
          </a:p>
        </c:rich>
      </c:tx>
      <c:layout>
        <c:manualLayout>
          <c:xMode val="edge"/>
          <c:yMode val="edge"/>
          <c:x val="2.0616172775803715E-2"/>
          <c:y val="1.9205223487213142E-2"/>
        </c:manualLayout>
      </c:layout>
      <c:overlay val="0"/>
      <c:spPr>
        <a:noFill/>
        <a:ln>
          <a:noFill/>
        </a:ln>
        <a:effectLst/>
      </c:spPr>
      <c:txPr>
        <a:bodyPr rot="0" spcFirstLastPara="1" vertOverflow="ellipsis" vert="horz" wrap="square" anchor="ctr" anchorCtr="1"/>
        <a:lstStyle/>
        <a:p>
          <a:pPr>
            <a:defRPr sz="1800" b="1" i="0" u="none" strike="noStrike" kern="1200" cap="none" spc="0" normalizeH="0" baseline="0">
              <a:solidFill>
                <a:schemeClr val="tx1">
                  <a:lumMod val="65000"/>
                  <a:lumOff val="35000"/>
                </a:schemeClr>
              </a:solidFill>
              <a:latin typeface="Aptos" panose="020B0004020202020204" pitchFamily="34" charset="0"/>
              <a:ea typeface="+mj-ea"/>
              <a:cs typeface="+mj-cs"/>
            </a:defRPr>
          </a:pPr>
          <a:endParaRPr lang="en-US"/>
        </a:p>
      </c:txPr>
    </c:title>
    <c:autoTitleDeleted val="0"/>
    <c:plotArea>
      <c:layout>
        <c:manualLayout>
          <c:layoutTarget val="inner"/>
          <c:xMode val="edge"/>
          <c:yMode val="edge"/>
          <c:x val="0.33619552078115672"/>
          <c:y val="0.11412252743751128"/>
          <c:w val="0.66277745216229"/>
          <c:h val="0.80004099355987734"/>
        </c:manualLayout>
      </c:layout>
      <c:barChart>
        <c:barDir val="col"/>
        <c:grouping val="stacked"/>
        <c:varyColors val="0"/>
        <c:ser>
          <c:idx val="0"/>
          <c:order val="0"/>
          <c:tx>
            <c:strRef>
              <c:f>'Pre-filled Sample'!$K$47</c:f>
              <c:strCache>
                <c:ptCount val="1"/>
                <c:pt idx="0">
                  <c:v>Measure Cost ($)</c:v>
                </c:pt>
              </c:strCache>
            </c:strRef>
          </c:tx>
          <c:spPr>
            <a:solidFill>
              <a:schemeClr val="tx2"/>
            </a:solidFill>
            <a:ln>
              <a:noFill/>
            </a:ln>
            <a:effectLst/>
          </c:spPr>
          <c:invertIfNegative val="0"/>
          <c:cat>
            <c:numRef>
              <c:f>'Pre-filled Sample'!$D$48:$D$78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Sample'!$K$48:$K$77</c:f>
              <c:numCache>
                <c:formatCode>"$"#,##0</c:formatCode>
                <c:ptCount val="30"/>
                <c:pt idx="0">
                  <c:v>0</c:v>
                </c:pt>
                <c:pt idx="1">
                  <c:v>-262325</c:v>
                </c:pt>
                <c:pt idx="2">
                  <c:v>0</c:v>
                </c:pt>
                <c:pt idx="3">
                  <c:v>0</c:v>
                </c:pt>
                <c:pt idx="4">
                  <c:v>0</c:v>
                </c:pt>
                <c:pt idx="5">
                  <c:v>0</c:v>
                </c:pt>
                <c:pt idx="6">
                  <c:v>-64195</c:v>
                </c:pt>
                <c:pt idx="7">
                  <c:v>0</c:v>
                </c:pt>
                <c:pt idx="8">
                  <c:v>0</c:v>
                </c:pt>
                <c:pt idx="9">
                  <c:v>0</c:v>
                </c:pt>
                <c:pt idx="10">
                  <c:v>0</c:v>
                </c:pt>
                <c:pt idx="11">
                  <c:v>-178866</c:v>
                </c:pt>
                <c:pt idx="12">
                  <c:v>0</c:v>
                </c:pt>
                <c:pt idx="13">
                  <c:v>0</c:v>
                </c:pt>
                <c:pt idx="14">
                  <c:v>0</c:v>
                </c:pt>
                <c:pt idx="15">
                  <c:v>0</c:v>
                </c:pt>
                <c:pt idx="16">
                  <c:v>-814273</c:v>
                </c:pt>
                <c:pt idx="17">
                  <c:v>0</c:v>
                </c:pt>
                <c:pt idx="18">
                  <c:v>0</c:v>
                </c:pt>
                <c:pt idx="19">
                  <c:v>0</c:v>
                </c:pt>
                <c:pt idx="20">
                  <c:v>0</c:v>
                </c:pt>
                <c:pt idx="21">
                  <c:v>0</c:v>
                </c:pt>
                <c:pt idx="22">
                  <c:v>0</c:v>
                </c:pt>
                <c:pt idx="23">
                  <c:v>0</c:v>
                </c:pt>
                <c:pt idx="24">
                  <c:v>0</c:v>
                </c:pt>
                <c:pt idx="25">
                  <c:v>0</c:v>
                </c:pt>
                <c:pt idx="26">
                  <c:v>-275000</c:v>
                </c:pt>
                <c:pt idx="27">
                  <c:v>0</c:v>
                </c:pt>
                <c:pt idx="28">
                  <c:v>0</c:v>
                </c:pt>
                <c:pt idx="29">
                  <c:v>0</c:v>
                </c:pt>
              </c:numCache>
            </c:numRef>
          </c:val>
          <c:extLst>
            <c:ext xmlns:c16="http://schemas.microsoft.com/office/drawing/2014/chart" uri="{C3380CC4-5D6E-409C-BE32-E72D297353CC}">
              <c16:uniqueId val="{00000000-1A95-491A-A3EA-201DE038E64A}"/>
            </c:ext>
          </c:extLst>
        </c:ser>
        <c:ser>
          <c:idx val="1"/>
          <c:order val="1"/>
          <c:tx>
            <c:strRef>
              <c:f>'Pre-filled Sample'!$L$47</c:f>
              <c:strCache>
                <c:ptCount val="1"/>
                <c:pt idx="0">
                  <c:v>Utility Savings ($)</c:v>
                </c:pt>
              </c:strCache>
            </c:strRef>
          </c:tx>
          <c:spPr>
            <a:solidFill>
              <a:schemeClr val="accent6"/>
            </a:solidFill>
            <a:ln>
              <a:noFill/>
            </a:ln>
            <a:effectLst/>
          </c:spPr>
          <c:invertIfNegative val="0"/>
          <c:cat>
            <c:numRef>
              <c:f>'Pre-filled Sample'!$D$48:$D$78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Sample'!$L$48:$L$77</c:f>
              <c:numCache>
                <c:formatCode>"$"#,##0</c:formatCode>
                <c:ptCount val="30"/>
                <c:pt idx="0">
                  <c:v>0</c:v>
                </c:pt>
                <c:pt idx="1">
                  <c:v>35712</c:v>
                </c:pt>
                <c:pt idx="2">
                  <c:v>35712</c:v>
                </c:pt>
                <c:pt idx="3">
                  <c:v>35712</c:v>
                </c:pt>
                <c:pt idx="4">
                  <c:v>35712</c:v>
                </c:pt>
                <c:pt idx="5">
                  <c:v>35712</c:v>
                </c:pt>
                <c:pt idx="6">
                  <c:v>39280</c:v>
                </c:pt>
                <c:pt idx="7">
                  <c:v>39280</c:v>
                </c:pt>
                <c:pt idx="8">
                  <c:v>39280</c:v>
                </c:pt>
                <c:pt idx="9">
                  <c:v>39280</c:v>
                </c:pt>
                <c:pt idx="10">
                  <c:v>39280</c:v>
                </c:pt>
                <c:pt idx="11">
                  <c:v>43594</c:v>
                </c:pt>
                <c:pt idx="12">
                  <c:v>43594</c:v>
                </c:pt>
                <c:pt idx="13">
                  <c:v>43594</c:v>
                </c:pt>
                <c:pt idx="14">
                  <c:v>43594</c:v>
                </c:pt>
                <c:pt idx="15">
                  <c:v>43594</c:v>
                </c:pt>
                <c:pt idx="16">
                  <c:v>31342</c:v>
                </c:pt>
                <c:pt idx="17">
                  <c:v>31342</c:v>
                </c:pt>
                <c:pt idx="18">
                  <c:v>31342</c:v>
                </c:pt>
                <c:pt idx="19">
                  <c:v>31342</c:v>
                </c:pt>
                <c:pt idx="20">
                  <c:v>31342</c:v>
                </c:pt>
                <c:pt idx="21">
                  <c:v>31342</c:v>
                </c:pt>
                <c:pt idx="22">
                  <c:v>31342</c:v>
                </c:pt>
                <c:pt idx="23">
                  <c:v>31342</c:v>
                </c:pt>
                <c:pt idx="24">
                  <c:v>31342</c:v>
                </c:pt>
                <c:pt idx="25">
                  <c:v>31342</c:v>
                </c:pt>
                <c:pt idx="26">
                  <c:v>31342</c:v>
                </c:pt>
                <c:pt idx="27">
                  <c:v>0</c:v>
                </c:pt>
                <c:pt idx="28">
                  <c:v>0</c:v>
                </c:pt>
                <c:pt idx="29">
                  <c:v>0</c:v>
                </c:pt>
              </c:numCache>
            </c:numRef>
          </c:val>
          <c:extLst>
            <c:ext xmlns:c16="http://schemas.microsoft.com/office/drawing/2014/chart" uri="{C3380CC4-5D6E-409C-BE32-E72D297353CC}">
              <c16:uniqueId val="{00000001-1A95-491A-A3EA-201DE038E64A}"/>
            </c:ext>
          </c:extLst>
        </c:ser>
        <c:ser>
          <c:idx val="6"/>
          <c:order val="2"/>
          <c:tx>
            <c:strRef>
              <c:f>'Pre-filled Sample'!$AB$47</c:f>
              <c:strCache>
                <c:ptCount val="1"/>
                <c:pt idx="0">
                  <c:v>LL97 Penalty Avoided by Measures ($)</c:v>
                </c:pt>
              </c:strCache>
            </c:strRef>
          </c:tx>
          <c:spPr>
            <a:solidFill>
              <a:schemeClr val="accent2">
                <a:lumMod val="80000"/>
                <a:lumOff val="20000"/>
              </a:schemeClr>
            </a:solidFill>
            <a:ln>
              <a:noFill/>
            </a:ln>
            <a:effectLst/>
          </c:spPr>
          <c:invertIfNegative val="0"/>
          <c:cat>
            <c:numRef>
              <c:f>'Pre-filled Sample'!$D$48:$D$78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Sample'!$AB$48:$AB$77</c:f>
              <c:numCache>
                <c:formatCode>"$"#,##0</c:formatCode>
                <c:ptCount val="30"/>
                <c:pt idx="0">
                  <c:v>0</c:v>
                </c:pt>
                <c:pt idx="1">
                  <c:v>0</c:v>
                </c:pt>
                <c:pt idx="2">
                  <c:v>0</c:v>
                </c:pt>
                <c:pt idx="3">
                  <c:v>0</c:v>
                </c:pt>
                <c:pt idx="4">
                  <c:v>0</c:v>
                </c:pt>
                <c:pt idx="5">
                  <c:v>0</c:v>
                </c:pt>
                <c:pt idx="6">
                  <c:v>0</c:v>
                </c:pt>
                <c:pt idx="7">
                  <c:v>0</c:v>
                </c:pt>
                <c:pt idx="8">
                  <c:v>0</c:v>
                </c:pt>
                <c:pt idx="9">
                  <c:v>0</c:v>
                </c:pt>
                <c:pt idx="10">
                  <c:v>0</c:v>
                </c:pt>
                <c:pt idx="11">
                  <c:v>22386.321199000005</c:v>
                </c:pt>
                <c:pt idx="12">
                  <c:v>22386.321199000005</c:v>
                </c:pt>
                <c:pt idx="13">
                  <c:v>22386.321199000005</c:v>
                </c:pt>
                <c:pt idx="14">
                  <c:v>22386.321199000005</c:v>
                </c:pt>
                <c:pt idx="15">
                  <c:v>22386.321199000005</c:v>
                </c:pt>
                <c:pt idx="16">
                  <c:v>41575.640274799996</c:v>
                </c:pt>
                <c:pt idx="17">
                  <c:v>41575.640274799996</c:v>
                </c:pt>
                <c:pt idx="18">
                  <c:v>41575.640274799996</c:v>
                </c:pt>
                <c:pt idx="19">
                  <c:v>41575.640274799996</c:v>
                </c:pt>
                <c:pt idx="20">
                  <c:v>41575.640274799996</c:v>
                </c:pt>
                <c:pt idx="21">
                  <c:v>41575.640274799996</c:v>
                </c:pt>
                <c:pt idx="22">
                  <c:v>41575.640274799996</c:v>
                </c:pt>
                <c:pt idx="23">
                  <c:v>41575.640274799996</c:v>
                </c:pt>
                <c:pt idx="24">
                  <c:v>41575.640274799996</c:v>
                </c:pt>
                <c:pt idx="25">
                  <c:v>41575.640274799996</c:v>
                </c:pt>
                <c:pt idx="26">
                  <c:v>51596.365000000005</c:v>
                </c:pt>
                <c:pt idx="27">
                  <c:v>0</c:v>
                </c:pt>
                <c:pt idx="28">
                  <c:v>0</c:v>
                </c:pt>
                <c:pt idx="29">
                  <c:v>0</c:v>
                </c:pt>
              </c:numCache>
            </c:numRef>
          </c:val>
          <c:extLst>
            <c:ext xmlns:c16="http://schemas.microsoft.com/office/drawing/2014/chart" uri="{C3380CC4-5D6E-409C-BE32-E72D297353CC}">
              <c16:uniqueId val="{00000002-1A95-491A-A3EA-201DE038E64A}"/>
            </c:ext>
          </c:extLst>
        </c:ser>
        <c:dLbls>
          <c:showLegendKey val="0"/>
          <c:showVal val="0"/>
          <c:showCatName val="0"/>
          <c:showSerName val="0"/>
          <c:showPercent val="0"/>
          <c:showBubbleSize val="0"/>
        </c:dLbls>
        <c:gapWidth val="20"/>
        <c:overlap val="100"/>
        <c:axId val="472722160"/>
        <c:axId val="472709200"/>
      </c:barChart>
      <c:lineChart>
        <c:grouping val="standard"/>
        <c:varyColors val="0"/>
        <c:ser>
          <c:idx val="4"/>
          <c:order val="4"/>
          <c:tx>
            <c:strRef>
              <c:f>'Pre-filled Sample'!$AE$47</c:f>
              <c:strCache>
                <c:ptCount val="1"/>
                <c:pt idx="0">
                  <c:v>Cumulative Total Cash Flow ($)</c:v>
                </c:pt>
              </c:strCache>
            </c:strRef>
          </c:tx>
          <c:spPr>
            <a:ln w="38100" cap="rnd" cmpd="sng">
              <a:solidFill>
                <a:schemeClr val="tx2"/>
              </a:solidFill>
              <a:round/>
            </a:ln>
            <a:effectLst>
              <a:outerShdw blurRad="50800" dist="50800" dir="5400000" algn="ctr" rotWithShape="0">
                <a:schemeClr val="tx2">
                  <a:lumMod val="60000"/>
                  <a:lumOff val="40000"/>
                </a:schemeClr>
              </a:outerShdw>
            </a:effectLst>
          </c:spPr>
          <c:marker>
            <c:symbol val="none"/>
          </c:marker>
          <c:cat>
            <c:numRef>
              <c:f>'Pre-filled Sample'!$D$48:$D$78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Sample'!$AE$48:$AE$77</c:f>
              <c:numCache>
                <c:formatCode>"$"#,##0</c:formatCode>
                <c:ptCount val="30"/>
                <c:pt idx="0">
                  <c:v>0</c:v>
                </c:pt>
                <c:pt idx="1">
                  <c:v>-226613</c:v>
                </c:pt>
                <c:pt idx="2">
                  <c:v>-190901</c:v>
                </c:pt>
                <c:pt idx="3">
                  <c:v>-155189</c:v>
                </c:pt>
                <c:pt idx="4">
                  <c:v>-119477</c:v>
                </c:pt>
                <c:pt idx="5">
                  <c:v>-83765</c:v>
                </c:pt>
                <c:pt idx="6">
                  <c:v>-108680</c:v>
                </c:pt>
                <c:pt idx="7">
                  <c:v>-69400</c:v>
                </c:pt>
                <c:pt idx="8">
                  <c:v>-30120</c:v>
                </c:pt>
                <c:pt idx="9">
                  <c:v>9160</c:v>
                </c:pt>
                <c:pt idx="10">
                  <c:v>48440</c:v>
                </c:pt>
                <c:pt idx="11">
                  <c:v>-64445.678801000002</c:v>
                </c:pt>
                <c:pt idx="12">
                  <c:v>1534.6423979999963</c:v>
                </c:pt>
                <c:pt idx="13">
                  <c:v>67514.963596999994</c:v>
                </c:pt>
                <c:pt idx="14">
                  <c:v>133495.28479599999</c:v>
                </c:pt>
                <c:pt idx="15">
                  <c:v>199475.60599499999</c:v>
                </c:pt>
                <c:pt idx="16">
                  <c:v>-541879.7537302</c:v>
                </c:pt>
                <c:pt idx="17">
                  <c:v>-468962.11345539999</c:v>
                </c:pt>
                <c:pt idx="18">
                  <c:v>-396044.47318059998</c:v>
                </c:pt>
                <c:pt idx="19">
                  <c:v>-323126.83290579997</c:v>
                </c:pt>
                <c:pt idx="20">
                  <c:v>-250209.19263099995</c:v>
                </c:pt>
                <c:pt idx="21">
                  <c:v>-177291.55235619994</c:v>
                </c:pt>
                <c:pt idx="22">
                  <c:v>-104373.91208139995</c:v>
                </c:pt>
                <c:pt idx="23">
                  <c:v>-31456.271806599951</c:v>
                </c:pt>
                <c:pt idx="24">
                  <c:v>41461.368468200046</c:v>
                </c:pt>
                <c:pt idx="25">
                  <c:v>114379.00874300004</c:v>
                </c:pt>
                <c:pt idx="26">
                  <c:v>-77682.626256999967</c:v>
                </c:pt>
                <c:pt idx="27">
                  <c:v>#N/A</c:v>
                </c:pt>
                <c:pt idx="28">
                  <c:v>#N/A</c:v>
                </c:pt>
                <c:pt idx="29">
                  <c:v>#N/A</c:v>
                </c:pt>
              </c:numCache>
            </c:numRef>
          </c:val>
          <c:smooth val="0"/>
          <c:extLst>
            <c:ext xmlns:c16="http://schemas.microsoft.com/office/drawing/2014/chart" uri="{C3380CC4-5D6E-409C-BE32-E72D297353CC}">
              <c16:uniqueId val="{00000003-1A95-491A-A3EA-201DE038E64A}"/>
            </c:ext>
          </c:extLst>
        </c:ser>
        <c:dLbls>
          <c:showLegendKey val="0"/>
          <c:showVal val="0"/>
          <c:showCatName val="0"/>
          <c:showSerName val="0"/>
          <c:showPercent val="0"/>
          <c:showBubbleSize val="0"/>
        </c:dLbls>
        <c:marker val="1"/>
        <c:smooth val="0"/>
        <c:axId val="472722160"/>
        <c:axId val="472709200"/>
      </c:lineChart>
      <c:scatterChart>
        <c:scatterStyle val="lineMarker"/>
        <c:varyColors val="0"/>
        <c:ser>
          <c:idx val="5"/>
          <c:order val="3"/>
          <c:tx>
            <c:v>Break-Even Year</c:v>
          </c:tx>
          <c:spPr>
            <a:ln w="25400" cap="rnd">
              <a:noFill/>
              <a:round/>
            </a:ln>
            <a:effectLst/>
          </c:spPr>
          <c:marker>
            <c:symbol val="circle"/>
            <c:size val="12"/>
            <c:spPr>
              <a:solidFill>
                <a:schemeClr val="bg1">
                  <a:alpha val="75000"/>
                </a:schemeClr>
              </a:solidFill>
              <a:ln w="34925">
                <a:solidFill>
                  <a:schemeClr val="accent1">
                    <a:alpha val="98000"/>
                  </a:schemeClr>
                </a:solidFill>
              </a:ln>
              <a:effectLst/>
            </c:spPr>
          </c:marker>
          <c:xVal>
            <c:numRef>
              <c:f>'Pre-filled Sample'!$E$93</c:f>
              <c:numCache>
                <c:formatCode>General</c:formatCode>
                <c:ptCount val="1"/>
                <c:pt idx="0">
                  <c:v>#N/A</c:v>
                </c:pt>
              </c:numCache>
            </c:numRef>
          </c:xVal>
          <c:yVal>
            <c:numLit>
              <c:formatCode>General</c:formatCode>
              <c:ptCount val="1"/>
              <c:pt idx="0">
                <c:v>0</c:v>
              </c:pt>
            </c:numLit>
          </c:yVal>
          <c:smooth val="0"/>
          <c:extLst>
            <c:ext xmlns:c16="http://schemas.microsoft.com/office/drawing/2014/chart" uri="{C3380CC4-5D6E-409C-BE32-E72D297353CC}">
              <c16:uniqueId val="{00000004-1A95-491A-A3EA-201DE038E64A}"/>
            </c:ext>
          </c:extLst>
        </c:ser>
        <c:dLbls>
          <c:showLegendKey val="0"/>
          <c:showVal val="0"/>
          <c:showCatName val="0"/>
          <c:showSerName val="0"/>
          <c:showPercent val="0"/>
          <c:showBubbleSize val="0"/>
        </c:dLbls>
        <c:axId val="472722160"/>
        <c:axId val="472709200"/>
      </c:scatterChart>
      <c:dateAx>
        <c:axId val="47272216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cap="none" spc="0" normalizeH="0" baseline="0">
                <a:solidFill>
                  <a:schemeClr val="tx1">
                    <a:lumMod val="65000"/>
                    <a:lumOff val="35000"/>
                  </a:schemeClr>
                </a:solidFill>
                <a:latin typeface="Aptos" panose="020B0004020202020204" pitchFamily="34" charset="0"/>
                <a:ea typeface="+mn-ea"/>
                <a:cs typeface="+mn-cs"/>
              </a:defRPr>
            </a:pPr>
            <a:endParaRPr lang="en-US"/>
          </a:p>
        </c:txPr>
        <c:crossAx val="472709200"/>
        <c:crosses val="autoZero"/>
        <c:auto val="0"/>
        <c:lblOffset val="100"/>
        <c:baseTimeUnit val="days"/>
      </c:dateAx>
      <c:valAx>
        <c:axId val="4727092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Color10]&quot;$&quot;#,##0.0,,&quot;M&quot;;[Color54]\-&quot;$&quot;#,##0.0,,&quot;M&quot;;&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472722160"/>
        <c:crosses val="autoZero"/>
        <c:crossBetween val="between"/>
      </c:valAx>
      <c:spPr>
        <a:noFill/>
        <a:ln>
          <a:noFill/>
        </a:ln>
        <a:effectLst/>
      </c:spPr>
    </c:plotArea>
    <c:legend>
      <c:legendPos val="t"/>
      <c:layout>
        <c:manualLayout>
          <c:xMode val="edge"/>
          <c:yMode val="edge"/>
          <c:x val="1.3393863023758461E-2"/>
          <c:y val="0.14107704672979168"/>
          <c:w val="0.2603961932378438"/>
          <c:h val="0.74406397890154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800" b="1" i="0" u="none" strike="noStrike" kern="1200" spc="0" baseline="0">
                <a:solidFill>
                  <a:schemeClr val="tx1">
                    <a:lumMod val="65000"/>
                    <a:lumOff val="35000"/>
                  </a:schemeClr>
                </a:solidFill>
                <a:latin typeface="Aptos" panose="020B0004020202020204" pitchFamily="34" charset="0"/>
                <a:ea typeface="+mn-ea"/>
                <a:cs typeface="+mn-cs"/>
              </a:defRPr>
            </a:pPr>
            <a:r>
              <a:rPr lang="en-US" sz="1800" b="1"/>
              <a:t>LL97 Compliance and Penalty</a:t>
            </a:r>
            <a:r>
              <a:rPr lang="en-US" sz="1800" b="1" baseline="0"/>
              <a:t> Exposure</a:t>
            </a:r>
            <a:endParaRPr lang="en-US" sz="1800" b="1"/>
          </a:p>
        </c:rich>
      </c:tx>
      <c:layout>
        <c:manualLayout>
          <c:xMode val="edge"/>
          <c:yMode val="edge"/>
          <c:x val="2.6243099220722724E-2"/>
          <c:y val="2.9187581098828668E-2"/>
        </c:manualLayout>
      </c:layout>
      <c:overlay val="0"/>
      <c:spPr>
        <a:noFill/>
        <a:ln>
          <a:noFill/>
        </a:ln>
        <a:effectLst/>
      </c:spPr>
      <c:txPr>
        <a:bodyPr rot="0" spcFirstLastPara="1" vertOverflow="ellipsis" vert="horz" wrap="square" anchor="ctr" anchorCtr="1"/>
        <a:lstStyle/>
        <a:p>
          <a:pPr algn="ctr" rtl="0">
            <a:defRPr sz="1800" b="1" i="0" u="none" strike="noStrike" kern="1200" spc="0" baseline="0">
              <a:solidFill>
                <a:schemeClr val="tx1">
                  <a:lumMod val="65000"/>
                  <a:lumOff val="35000"/>
                </a:schemeClr>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0.33896786010354796"/>
          <c:y val="0.14947347820899218"/>
          <c:w val="0.63933208266431818"/>
          <c:h val="0.72734414120552382"/>
        </c:manualLayout>
      </c:layout>
      <c:barChart>
        <c:barDir val="col"/>
        <c:grouping val="stacked"/>
        <c:varyColors val="0"/>
        <c:ser>
          <c:idx val="1"/>
          <c:order val="2"/>
          <c:tx>
            <c:strRef>
              <c:f>'Pre-filled Sample'!$T$47</c:f>
              <c:strCache>
                <c:ptCount val="1"/>
                <c:pt idx="0">
                  <c:v>LL97 Emissions After Measures</c:v>
                </c:pt>
              </c:strCache>
            </c:strRef>
          </c:tx>
          <c:spPr>
            <a:solidFill>
              <a:schemeClr val="bg1">
                <a:lumMod val="65000"/>
              </a:schemeClr>
            </a:solidFill>
            <a:ln>
              <a:noFill/>
            </a:ln>
            <a:effectLst>
              <a:outerShdw blurRad="50800" dist="12700" dir="18900000" algn="bl" rotWithShape="0">
                <a:prstClr val="black">
                  <a:alpha val="20000"/>
                </a:prstClr>
              </a:outerShdw>
            </a:effectLst>
          </c:spPr>
          <c:invertIfNegative val="0"/>
          <c:dLbls>
            <c:dLbl>
              <c:idx val="0"/>
              <c:tx>
                <c:rich>
                  <a:bodyPr/>
                  <a:lstStyle/>
                  <a:p>
                    <a:fld id="{0E2F30A8-7FD3-4D93-AD49-D43236EBBD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16B-4934-9990-F278EE4716F8}"/>
                </c:ext>
              </c:extLst>
            </c:dLbl>
            <c:dLbl>
              <c:idx val="1"/>
              <c:tx>
                <c:rich>
                  <a:bodyPr/>
                  <a:lstStyle/>
                  <a:p>
                    <a:fld id="{D3659DD3-F40F-4A7E-B1E5-501914D553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16B-4934-9990-F278EE4716F8}"/>
                </c:ext>
              </c:extLst>
            </c:dLbl>
            <c:dLbl>
              <c:idx val="2"/>
              <c:tx>
                <c:rich>
                  <a:bodyPr/>
                  <a:lstStyle/>
                  <a:p>
                    <a:fld id="{FAE3D4B0-2268-4CAE-9BF5-042A5391DB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16B-4934-9990-F278EE4716F8}"/>
                </c:ext>
              </c:extLst>
            </c:dLbl>
            <c:dLbl>
              <c:idx val="3"/>
              <c:tx>
                <c:rich>
                  <a:bodyPr/>
                  <a:lstStyle/>
                  <a:p>
                    <a:fld id="{589C749F-AEE2-480B-905C-3FD2F5A6B6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16B-4934-9990-F278EE4716F8}"/>
                </c:ext>
              </c:extLst>
            </c:dLbl>
            <c:dLbl>
              <c:idx val="4"/>
              <c:tx>
                <c:rich>
                  <a:bodyPr/>
                  <a:lstStyle/>
                  <a:p>
                    <a:fld id="{E7A2FB37-2D64-49AF-9C53-3C4CD27577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16B-4934-9990-F278EE4716F8}"/>
                </c:ext>
              </c:extLst>
            </c:dLbl>
            <c:dLbl>
              <c:idx val="5"/>
              <c:tx>
                <c:rich>
                  <a:bodyPr/>
                  <a:lstStyle/>
                  <a:p>
                    <a:fld id="{E47448E9-B568-4294-A1EE-8CC9D47DED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16B-4934-9990-F278EE4716F8}"/>
                </c:ext>
              </c:extLst>
            </c:dLbl>
            <c:dLbl>
              <c:idx val="6"/>
              <c:tx>
                <c:rich>
                  <a:bodyPr/>
                  <a:lstStyle/>
                  <a:p>
                    <a:fld id="{B3C68852-CD1A-4F52-AC59-7826C51313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16B-4934-9990-F278EE4716F8}"/>
                </c:ext>
              </c:extLst>
            </c:dLbl>
            <c:dLbl>
              <c:idx val="7"/>
              <c:tx>
                <c:rich>
                  <a:bodyPr/>
                  <a:lstStyle/>
                  <a:p>
                    <a:fld id="{AC237FF7-91DA-44E3-8323-A8D3454D25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16B-4934-9990-F278EE4716F8}"/>
                </c:ext>
              </c:extLst>
            </c:dLbl>
            <c:dLbl>
              <c:idx val="8"/>
              <c:tx>
                <c:rich>
                  <a:bodyPr/>
                  <a:lstStyle/>
                  <a:p>
                    <a:fld id="{D0911A9A-9083-45D8-AE15-BB18BFC164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16B-4934-9990-F278EE4716F8}"/>
                </c:ext>
              </c:extLst>
            </c:dLbl>
            <c:dLbl>
              <c:idx val="9"/>
              <c:tx>
                <c:rich>
                  <a:bodyPr/>
                  <a:lstStyle/>
                  <a:p>
                    <a:fld id="{C1113EA6-C4C3-4707-97AD-FAAF97D41B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16B-4934-9990-F278EE4716F8}"/>
                </c:ext>
              </c:extLst>
            </c:dLbl>
            <c:dLbl>
              <c:idx val="10"/>
              <c:tx>
                <c:rich>
                  <a:bodyPr/>
                  <a:lstStyle/>
                  <a:p>
                    <a:fld id="{65B24B30-2CF9-461A-A1AE-F99A4437F9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16B-4934-9990-F278EE4716F8}"/>
                </c:ext>
              </c:extLst>
            </c:dLbl>
            <c:dLbl>
              <c:idx val="11"/>
              <c:tx>
                <c:rich>
                  <a:bodyPr/>
                  <a:lstStyle/>
                  <a:p>
                    <a:fld id="{FC0EF354-39F3-4250-99AC-F78CDDDCD7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16B-4934-9990-F278EE4716F8}"/>
                </c:ext>
              </c:extLst>
            </c:dLbl>
            <c:dLbl>
              <c:idx val="12"/>
              <c:tx>
                <c:rich>
                  <a:bodyPr/>
                  <a:lstStyle/>
                  <a:p>
                    <a:fld id="{3E73AA0A-7878-4CD2-839F-6437578475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16B-4934-9990-F278EE4716F8}"/>
                </c:ext>
              </c:extLst>
            </c:dLbl>
            <c:dLbl>
              <c:idx val="13"/>
              <c:tx>
                <c:rich>
                  <a:bodyPr/>
                  <a:lstStyle/>
                  <a:p>
                    <a:fld id="{323F8385-4EB6-4524-9C66-9682AAC8EA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16B-4934-9990-F278EE4716F8}"/>
                </c:ext>
              </c:extLst>
            </c:dLbl>
            <c:dLbl>
              <c:idx val="14"/>
              <c:tx>
                <c:rich>
                  <a:bodyPr/>
                  <a:lstStyle/>
                  <a:p>
                    <a:fld id="{A05FB638-A812-408F-AD3C-89AECE5F54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16B-4934-9990-F278EE4716F8}"/>
                </c:ext>
              </c:extLst>
            </c:dLbl>
            <c:dLbl>
              <c:idx val="15"/>
              <c:tx>
                <c:rich>
                  <a:bodyPr/>
                  <a:lstStyle/>
                  <a:p>
                    <a:fld id="{0B09037C-3415-4399-A842-2CBAFD764B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16B-4934-9990-F278EE4716F8}"/>
                </c:ext>
              </c:extLst>
            </c:dLbl>
            <c:dLbl>
              <c:idx val="16"/>
              <c:tx>
                <c:rich>
                  <a:bodyPr/>
                  <a:lstStyle/>
                  <a:p>
                    <a:fld id="{2BF0EEEF-BA8B-48D8-8D6B-029542D2C1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16B-4934-9990-F278EE4716F8}"/>
                </c:ext>
              </c:extLst>
            </c:dLbl>
            <c:dLbl>
              <c:idx val="17"/>
              <c:tx>
                <c:rich>
                  <a:bodyPr/>
                  <a:lstStyle/>
                  <a:p>
                    <a:fld id="{74C729D9-5234-4772-B0E2-D9CA2121A2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16B-4934-9990-F278EE4716F8}"/>
                </c:ext>
              </c:extLst>
            </c:dLbl>
            <c:dLbl>
              <c:idx val="18"/>
              <c:tx>
                <c:rich>
                  <a:bodyPr/>
                  <a:lstStyle/>
                  <a:p>
                    <a:fld id="{2930BD19-51A2-44F6-A257-47BFC01AF6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16B-4934-9990-F278EE4716F8}"/>
                </c:ext>
              </c:extLst>
            </c:dLbl>
            <c:dLbl>
              <c:idx val="19"/>
              <c:tx>
                <c:rich>
                  <a:bodyPr/>
                  <a:lstStyle/>
                  <a:p>
                    <a:fld id="{0BA485B6-5967-4D6E-ABB0-6BCA4ABB4E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16B-4934-9990-F278EE4716F8}"/>
                </c:ext>
              </c:extLst>
            </c:dLbl>
            <c:dLbl>
              <c:idx val="20"/>
              <c:tx>
                <c:rich>
                  <a:bodyPr/>
                  <a:lstStyle/>
                  <a:p>
                    <a:fld id="{0C8FF68C-9601-4D6A-BC1E-2C0CF042EE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16B-4934-9990-F278EE4716F8}"/>
                </c:ext>
              </c:extLst>
            </c:dLbl>
            <c:dLbl>
              <c:idx val="21"/>
              <c:tx>
                <c:rich>
                  <a:bodyPr/>
                  <a:lstStyle/>
                  <a:p>
                    <a:fld id="{54C9B1DF-B7BF-4313-BD3B-435F4D1A70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16B-4934-9990-F278EE4716F8}"/>
                </c:ext>
              </c:extLst>
            </c:dLbl>
            <c:dLbl>
              <c:idx val="22"/>
              <c:tx>
                <c:rich>
                  <a:bodyPr/>
                  <a:lstStyle/>
                  <a:p>
                    <a:fld id="{E5E8BFDD-9E1B-4C72-9CA7-DDE1A76590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16B-4934-9990-F278EE4716F8}"/>
                </c:ext>
              </c:extLst>
            </c:dLbl>
            <c:dLbl>
              <c:idx val="23"/>
              <c:tx>
                <c:rich>
                  <a:bodyPr/>
                  <a:lstStyle/>
                  <a:p>
                    <a:fld id="{4184DD44-FB04-46FB-8559-CB9141CEC2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16B-4934-9990-F278EE4716F8}"/>
                </c:ext>
              </c:extLst>
            </c:dLbl>
            <c:dLbl>
              <c:idx val="24"/>
              <c:tx>
                <c:rich>
                  <a:bodyPr/>
                  <a:lstStyle/>
                  <a:p>
                    <a:fld id="{2E63EF88-D0B9-4D4C-8C9F-FF710BAE9D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16B-4934-9990-F278EE4716F8}"/>
                </c:ext>
              </c:extLst>
            </c:dLbl>
            <c:dLbl>
              <c:idx val="25"/>
              <c:tx>
                <c:rich>
                  <a:bodyPr/>
                  <a:lstStyle/>
                  <a:p>
                    <a:fld id="{EF7A032C-CE18-4AC3-83DB-6F558CC73F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16B-4934-9990-F278EE4716F8}"/>
                </c:ext>
              </c:extLst>
            </c:dLbl>
            <c:dLbl>
              <c:idx val="26"/>
              <c:tx>
                <c:rich>
                  <a:bodyPr/>
                  <a:lstStyle/>
                  <a:p>
                    <a:fld id="{A364C1B5-7FA2-452C-A4F7-7C63DA84F5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16B-4934-9990-F278EE4716F8}"/>
                </c:ext>
              </c:extLst>
            </c:dLbl>
            <c:dLbl>
              <c:idx val="27"/>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C16B-4934-9990-F278EE4716F8}"/>
                </c:ext>
              </c:extLst>
            </c:dLbl>
            <c:dLbl>
              <c:idx val="28"/>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C16B-4934-9990-F278EE4716F8}"/>
                </c:ext>
              </c:extLst>
            </c:dLbl>
            <c:dLbl>
              <c:idx val="29"/>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C16B-4934-9990-F278EE4716F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'Pre-filled Sample'!$AG$48:$AG$77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Sample'!$T$48:$T$77</c:f>
              <c:numCache>
                <c:formatCode>_(* #,##0_);_(* \(#,##0\);_(* "-"??_);_(@_)</c:formatCode>
                <c:ptCount val="30"/>
                <c:pt idx="0">
                  <c:v>398.21067475599995</c:v>
                </c:pt>
                <c:pt idx="1">
                  <c:v>319.57400890599996</c:v>
                </c:pt>
                <c:pt idx="2">
                  <c:v>319.57400890599996</c:v>
                </c:pt>
                <c:pt idx="3">
                  <c:v>319.57400890599996</c:v>
                </c:pt>
                <c:pt idx="4">
                  <c:v>319.57400890599996</c:v>
                </c:pt>
                <c:pt idx="5">
                  <c:v>319.57400890599996</c:v>
                </c:pt>
                <c:pt idx="6">
                  <c:v>240.44898600000002</c:v>
                </c:pt>
                <c:pt idx="7">
                  <c:v>240.44898600000002</c:v>
                </c:pt>
                <c:pt idx="8">
                  <c:v>240.44898600000002</c:v>
                </c:pt>
                <c:pt idx="9">
                  <c:v>240.44898600000002</c:v>
                </c:pt>
                <c:pt idx="10">
                  <c:v>240.44898600000002</c:v>
                </c:pt>
                <c:pt idx="11">
                  <c:v>210.04169024999999</c:v>
                </c:pt>
                <c:pt idx="12">
                  <c:v>210.04169024999999</c:v>
                </c:pt>
                <c:pt idx="13">
                  <c:v>210.04169024999999</c:v>
                </c:pt>
                <c:pt idx="14">
                  <c:v>210.04169024999999</c:v>
                </c:pt>
                <c:pt idx="15">
                  <c:v>210.04169024999999</c:v>
                </c:pt>
                <c:pt idx="16">
                  <c:v>79.227359500000006</c:v>
                </c:pt>
                <c:pt idx="17">
                  <c:v>79.227359500000006</c:v>
                </c:pt>
                <c:pt idx="18">
                  <c:v>79.227359500000006</c:v>
                </c:pt>
                <c:pt idx="19">
                  <c:v>79.227359500000006</c:v>
                </c:pt>
                <c:pt idx="20">
                  <c:v>79.227359500000006</c:v>
                </c:pt>
                <c:pt idx="21">
                  <c:v>79.227359500000006</c:v>
                </c:pt>
                <c:pt idx="22">
                  <c:v>79.227359500000006</c:v>
                </c:pt>
                <c:pt idx="23">
                  <c:v>79.227359500000006</c:v>
                </c:pt>
                <c:pt idx="24">
                  <c:v>79.227359500000006</c:v>
                </c:pt>
                <c:pt idx="25">
                  <c:v>79.227359500000006</c:v>
                </c:pt>
                <c:pt idx="26">
                  <c:v>37.904606999999999</c:v>
                </c:pt>
                <c:pt idx="27">
                  <c:v>#N/A</c:v>
                </c:pt>
                <c:pt idx="28">
                  <c:v>#N/A</c:v>
                </c:pt>
                <c:pt idx="29">
                  <c:v>#N/A</c:v>
                </c:pt>
              </c:numCache>
            </c:numRef>
          </c:val>
          <c:extLst>
            <c:ext xmlns:c15="http://schemas.microsoft.com/office/drawing/2012/chart" uri="{02D57815-91ED-43cb-92C2-25804820EDAC}">
              <c15:datalabelsRange>
                <c15:f>'Pre-filled Sample'!$AC$48:$AC$77</c15:f>
                <c15:dlblRangeCache>
                  <c:ptCount val="30"/>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15:dlblRangeCache>
              </c15:datalabelsRange>
            </c:ext>
            <c:ext xmlns:c16="http://schemas.microsoft.com/office/drawing/2014/chart" uri="{C3380CC4-5D6E-409C-BE32-E72D297353CC}">
              <c16:uniqueId val="{0000001E-C16B-4934-9990-F278EE4716F8}"/>
            </c:ext>
          </c:extLst>
        </c:ser>
        <c:ser>
          <c:idx val="3"/>
          <c:order val="3"/>
          <c:tx>
            <c:strRef>
              <c:f>'Pre-filled Sample'!$Y$47</c:f>
              <c:strCache>
                <c:ptCount val="1"/>
                <c:pt idx="0">
                  <c:v>LL97 Emissions Reduced by Measures</c:v>
                </c:pt>
              </c:strCache>
            </c:strRef>
          </c:tx>
          <c:spPr>
            <a:pattFill prst="dkDnDiag">
              <a:fgClr>
                <a:schemeClr val="tx2">
                  <a:lumMod val="20000"/>
                  <a:lumOff val="80000"/>
                </a:schemeClr>
              </a:fgClr>
              <a:bgClr>
                <a:schemeClr val="accent1"/>
              </a:bgClr>
            </a:pattFill>
            <a:ln>
              <a:noFill/>
            </a:ln>
            <a:effectLst>
              <a:outerShdw blurRad="50800" dist="50800" dir="5400000" algn="ctr" rotWithShape="0">
                <a:schemeClr val="bg1">
                  <a:lumMod val="85000"/>
                </a:schemeClr>
              </a:outerShdw>
            </a:effectLst>
          </c:spPr>
          <c:invertIfNegative val="0"/>
          <c:cat>
            <c:numRef>
              <c:f>'Pre-filled Sample'!$AG$48:$AG$77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Sample'!$Y$48:$Y$77</c:f>
              <c:numCache>
                <c:formatCode>_(* #,##0_);_(* \(#,##0\);_(* "-"??_);_(@_)</c:formatCode>
                <c:ptCount val="30"/>
                <c:pt idx="0">
                  <c:v>0</c:v>
                </c:pt>
                <c:pt idx="1">
                  <c:v>78.636665849999986</c:v>
                </c:pt>
                <c:pt idx="2">
                  <c:v>78.636665849999986</c:v>
                </c:pt>
                <c:pt idx="3">
                  <c:v>78.636665849999986</c:v>
                </c:pt>
                <c:pt idx="4">
                  <c:v>78.636665849999986</c:v>
                </c:pt>
                <c:pt idx="5">
                  <c:v>78.636665849999986</c:v>
                </c:pt>
                <c:pt idx="6">
                  <c:v>74.171880999999956</c:v>
                </c:pt>
                <c:pt idx="7">
                  <c:v>74.171880999999956</c:v>
                </c:pt>
                <c:pt idx="8">
                  <c:v>74.171880999999956</c:v>
                </c:pt>
                <c:pt idx="9">
                  <c:v>74.171880999999956</c:v>
                </c:pt>
                <c:pt idx="10">
                  <c:v>74.171880999999956</c:v>
                </c:pt>
                <c:pt idx="11">
                  <c:v>83.531049250000024</c:v>
                </c:pt>
                <c:pt idx="12">
                  <c:v>83.531049250000024</c:v>
                </c:pt>
                <c:pt idx="13">
                  <c:v>83.531049250000024</c:v>
                </c:pt>
                <c:pt idx="14">
                  <c:v>83.531049250000024</c:v>
                </c:pt>
                <c:pt idx="15">
                  <c:v>83.531049250000024</c:v>
                </c:pt>
                <c:pt idx="16">
                  <c:v>193.29725249999998</c:v>
                </c:pt>
                <c:pt idx="17">
                  <c:v>193.29725249999998</c:v>
                </c:pt>
                <c:pt idx="18">
                  <c:v>193.29725249999998</c:v>
                </c:pt>
                <c:pt idx="19">
                  <c:v>193.29725249999998</c:v>
                </c:pt>
                <c:pt idx="20">
                  <c:v>193.29725249999998</c:v>
                </c:pt>
                <c:pt idx="21">
                  <c:v>193.29725249999998</c:v>
                </c:pt>
                <c:pt idx="22">
                  <c:v>193.29725249999998</c:v>
                </c:pt>
                <c:pt idx="23">
                  <c:v>193.29725249999998</c:v>
                </c:pt>
                <c:pt idx="24">
                  <c:v>193.29725249999998</c:v>
                </c:pt>
                <c:pt idx="25">
                  <c:v>193.29725249999998</c:v>
                </c:pt>
                <c:pt idx="26">
                  <c:v>192.52375000000001</c:v>
                </c:pt>
                <c:pt idx="27">
                  <c:v>#N/A</c:v>
                </c:pt>
                <c:pt idx="28">
                  <c:v>#N/A</c:v>
                </c:pt>
                <c:pt idx="29">
                  <c:v>#N/A</c:v>
                </c:pt>
              </c:numCache>
            </c:numRef>
          </c:val>
          <c:extLst>
            <c:ext xmlns:c16="http://schemas.microsoft.com/office/drawing/2014/chart" uri="{C3380CC4-5D6E-409C-BE32-E72D297353CC}">
              <c16:uniqueId val="{0000001F-C16B-4934-9990-F278EE4716F8}"/>
            </c:ext>
          </c:extLst>
        </c:ser>
        <c:dLbls>
          <c:showLegendKey val="0"/>
          <c:showVal val="0"/>
          <c:showCatName val="0"/>
          <c:showSerName val="0"/>
          <c:showPercent val="0"/>
          <c:showBubbleSize val="0"/>
        </c:dLbls>
        <c:gapWidth val="20"/>
        <c:overlap val="100"/>
        <c:axId val="369417984"/>
        <c:axId val="369439200"/>
      </c:barChart>
      <c:scatterChart>
        <c:scatterStyle val="lineMarker"/>
        <c:varyColors val="0"/>
        <c:ser>
          <c:idx val="2"/>
          <c:order val="0"/>
          <c:tx>
            <c:strRef>
              <c:f>'Pre-filled Sample'!$U$47</c:f>
              <c:strCache>
                <c:ptCount val="1"/>
                <c:pt idx="0">
                  <c:v>LL97 Emissions Limit (tCO2e)</c:v>
                </c:pt>
              </c:strCache>
            </c:strRef>
          </c:tx>
          <c:spPr>
            <a:ln w="28575" cap="rnd">
              <a:noFill/>
              <a:round/>
            </a:ln>
            <a:effectLst/>
          </c:spPr>
          <c:marker>
            <c:symbol val="dash"/>
            <c:size val="17"/>
            <c:spPr>
              <a:solidFill>
                <a:srgbClr val="C00000">
                  <a:alpha val="60000"/>
                </a:srgbClr>
              </a:solidFill>
              <a:ln w="9525">
                <a:noFill/>
              </a:ln>
              <a:effectLst/>
            </c:spPr>
          </c:marker>
          <c:xVal>
            <c:numRef>
              <c:f>'Pre-filled Sample'!$AG$48:$AG$77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xVal>
          <c:yVal>
            <c:numRef>
              <c:f>'Pre-filled Sample'!$U$48:$U$77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156.55219140000003</c:v>
                </c:pt>
                <c:pt idx="12">
                  <c:v>156.55219140000003</c:v>
                </c:pt>
                <c:pt idx="13">
                  <c:v>156.55219140000003</c:v>
                </c:pt>
                <c:pt idx="14">
                  <c:v>156.55219140000003</c:v>
                </c:pt>
                <c:pt idx="15">
                  <c:v>156.55219140000003</c:v>
                </c:pt>
                <c:pt idx="16">
                  <c:v>117.39162589999999</c:v>
                </c:pt>
                <c:pt idx="17">
                  <c:v>117.39162589999999</c:v>
                </c:pt>
                <c:pt idx="18">
                  <c:v>117.39162589999999</c:v>
                </c:pt>
                <c:pt idx="19">
                  <c:v>117.39162589999999</c:v>
                </c:pt>
                <c:pt idx="20">
                  <c:v>117.39162589999999</c:v>
                </c:pt>
                <c:pt idx="21">
                  <c:v>117.39162589999999</c:v>
                </c:pt>
                <c:pt idx="22">
                  <c:v>117.39162589999999</c:v>
                </c:pt>
                <c:pt idx="23">
                  <c:v>117.39162589999999</c:v>
                </c:pt>
                <c:pt idx="24">
                  <c:v>117.39162589999999</c:v>
                </c:pt>
                <c:pt idx="25">
                  <c:v>117.39162589999999</c:v>
                </c:pt>
                <c:pt idx="26">
                  <c:v>0</c:v>
                </c:pt>
                <c:pt idx="27">
                  <c:v>#N/A</c:v>
                </c:pt>
                <c:pt idx="28">
                  <c:v>#N/A</c:v>
                </c:pt>
                <c:pt idx="29">
                  <c:v>#N/A</c:v>
                </c:pt>
              </c:numCache>
            </c:numRef>
          </c:yVal>
          <c:smooth val="0"/>
          <c:extLst>
            <c:ext xmlns:c16="http://schemas.microsoft.com/office/drawing/2014/chart" uri="{C3380CC4-5D6E-409C-BE32-E72D297353CC}">
              <c16:uniqueId val="{00000020-C16B-4934-9990-F278EE4716F8}"/>
            </c:ext>
          </c:extLst>
        </c:ser>
        <c:ser>
          <c:idx val="0"/>
          <c:order val="1"/>
          <c:tx>
            <c:v>Penalty Mark</c:v>
          </c:tx>
          <c:spPr>
            <a:ln w="28575" cap="rnd">
              <a:noFill/>
              <a:round/>
            </a:ln>
            <a:effectLst/>
          </c:spPr>
          <c:marker>
            <c:symbol val="none"/>
          </c:marker>
          <c:dLbls>
            <c:dLbl>
              <c:idx val="0"/>
              <c:tx>
                <c:rich>
                  <a:bodyPr/>
                  <a:lstStyle/>
                  <a:p>
                    <a:fld id="{8E0FFD93-EF4B-4412-AB31-494BE16F76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C16B-4934-9990-F278EE4716F8}"/>
                </c:ext>
              </c:extLst>
            </c:dLbl>
            <c:dLbl>
              <c:idx val="1"/>
              <c:tx>
                <c:rich>
                  <a:bodyPr/>
                  <a:lstStyle/>
                  <a:p>
                    <a:fld id="{76F69D44-6C18-4337-82FA-886C18BCB1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16B-4934-9990-F278EE4716F8}"/>
                </c:ext>
              </c:extLst>
            </c:dLbl>
            <c:dLbl>
              <c:idx val="2"/>
              <c:tx>
                <c:rich>
                  <a:bodyPr/>
                  <a:lstStyle/>
                  <a:p>
                    <a:fld id="{144C6C0A-C9EE-422C-95F4-CB2BCA4A0B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16B-4934-9990-F278EE4716F8}"/>
                </c:ext>
              </c:extLst>
            </c:dLbl>
            <c:dLbl>
              <c:idx val="3"/>
              <c:tx>
                <c:rich>
                  <a:bodyPr/>
                  <a:lstStyle/>
                  <a:p>
                    <a:fld id="{F79C7264-1409-4B3C-8C12-AB1001CB23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16B-4934-9990-F278EE4716F8}"/>
                </c:ext>
              </c:extLst>
            </c:dLbl>
            <c:dLbl>
              <c:idx val="4"/>
              <c:tx>
                <c:rich>
                  <a:bodyPr/>
                  <a:lstStyle/>
                  <a:p>
                    <a:fld id="{E4F37E87-8ACA-45F5-9D3B-3A3971662E3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16B-4934-9990-F278EE4716F8}"/>
                </c:ext>
              </c:extLst>
            </c:dLbl>
            <c:dLbl>
              <c:idx val="5"/>
              <c:tx>
                <c:rich>
                  <a:bodyPr/>
                  <a:lstStyle/>
                  <a:p>
                    <a:fld id="{92DE3F8F-E142-4D64-9340-E3FC1E4C93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16B-4934-9990-F278EE4716F8}"/>
                </c:ext>
              </c:extLst>
            </c:dLbl>
            <c:dLbl>
              <c:idx val="6"/>
              <c:tx>
                <c:rich>
                  <a:bodyPr/>
                  <a:lstStyle/>
                  <a:p>
                    <a:fld id="{0C180744-AEAD-45B6-A66D-0B8229E0141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16B-4934-9990-F278EE4716F8}"/>
                </c:ext>
              </c:extLst>
            </c:dLbl>
            <c:dLbl>
              <c:idx val="7"/>
              <c:tx>
                <c:rich>
                  <a:bodyPr/>
                  <a:lstStyle/>
                  <a:p>
                    <a:fld id="{3842976C-A261-4236-8B53-751E614414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C16B-4934-9990-F278EE4716F8}"/>
                </c:ext>
              </c:extLst>
            </c:dLbl>
            <c:dLbl>
              <c:idx val="8"/>
              <c:tx>
                <c:rich>
                  <a:bodyPr/>
                  <a:lstStyle/>
                  <a:p>
                    <a:fld id="{CE6404B6-F613-4846-8D0F-37D49FD0C2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C16B-4934-9990-F278EE4716F8}"/>
                </c:ext>
              </c:extLst>
            </c:dLbl>
            <c:dLbl>
              <c:idx val="9"/>
              <c:tx>
                <c:rich>
                  <a:bodyPr/>
                  <a:lstStyle/>
                  <a:p>
                    <a:fld id="{29645BA6-B0CF-4F99-AF55-C85F50E68B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C16B-4934-9990-F278EE4716F8}"/>
                </c:ext>
              </c:extLst>
            </c:dLbl>
            <c:dLbl>
              <c:idx val="10"/>
              <c:tx>
                <c:rich>
                  <a:bodyPr/>
                  <a:lstStyle/>
                  <a:p>
                    <a:fld id="{3163BBA3-EBEE-4BC4-9C89-70C4437886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C16B-4934-9990-F278EE4716F8}"/>
                </c:ext>
              </c:extLst>
            </c:dLbl>
            <c:dLbl>
              <c:idx val="11"/>
              <c:tx>
                <c:rich>
                  <a:bodyPr/>
                  <a:lstStyle/>
                  <a:p>
                    <a:fld id="{FCD248DF-0A41-44C4-9A37-477D2632CD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C16B-4934-9990-F278EE4716F8}"/>
                </c:ext>
              </c:extLst>
            </c:dLbl>
            <c:dLbl>
              <c:idx val="12"/>
              <c:tx>
                <c:rich>
                  <a:bodyPr/>
                  <a:lstStyle/>
                  <a:p>
                    <a:fld id="{50A1609C-EB72-4AB6-95E3-C58B567183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C16B-4934-9990-F278EE4716F8}"/>
                </c:ext>
              </c:extLst>
            </c:dLbl>
            <c:dLbl>
              <c:idx val="13"/>
              <c:tx>
                <c:rich>
                  <a:bodyPr/>
                  <a:lstStyle/>
                  <a:p>
                    <a:fld id="{B79A7FA6-D34C-4180-B7FC-CD32ED9B108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C16B-4934-9990-F278EE4716F8}"/>
                </c:ext>
              </c:extLst>
            </c:dLbl>
            <c:dLbl>
              <c:idx val="14"/>
              <c:tx>
                <c:rich>
                  <a:bodyPr/>
                  <a:lstStyle/>
                  <a:p>
                    <a:fld id="{A849E909-85DF-48B8-97B5-86A58D8663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C16B-4934-9990-F278EE4716F8}"/>
                </c:ext>
              </c:extLst>
            </c:dLbl>
            <c:dLbl>
              <c:idx val="15"/>
              <c:tx>
                <c:rich>
                  <a:bodyPr/>
                  <a:lstStyle/>
                  <a:p>
                    <a:fld id="{50119C84-452D-456F-BF5F-7FE4858200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C16B-4934-9990-F278EE4716F8}"/>
                </c:ext>
              </c:extLst>
            </c:dLbl>
            <c:dLbl>
              <c:idx val="16"/>
              <c:tx>
                <c:rich>
                  <a:bodyPr/>
                  <a:lstStyle/>
                  <a:p>
                    <a:fld id="{C231231A-EF4C-4A5B-9BE7-13288F5326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C16B-4934-9990-F278EE4716F8}"/>
                </c:ext>
              </c:extLst>
            </c:dLbl>
            <c:dLbl>
              <c:idx val="17"/>
              <c:tx>
                <c:rich>
                  <a:bodyPr/>
                  <a:lstStyle/>
                  <a:p>
                    <a:fld id="{7F1BC274-3C48-4A09-8CC8-D91A19FF601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C16B-4934-9990-F278EE4716F8}"/>
                </c:ext>
              </c:extLst>
            </c:dLbl>
            <c:dLbl>
              <c:idx val="18"/>
              <c:tx>
                <c:rich>
                  <a:bodyPr/>
                  <a:lstStyle/>
                  <a:p>
                    <a:fld id="{6E7B9743-3796-47A5-BBE5-C6624A6848E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C16B-4934-9990-F278EE4716F8}"/>
                </c:ext>
              </c:extLst>
            </c:dLbl>
            <c:dLbl>
              <c:idx val="19"/>
              <c:tx>
                <c:rich>
                  <a:bodyPr/>
                  <a:lstStyle/>
                  <a:p>
                    <a:fld id="{8690D97F-2596-43FC-BE6C-DB856AA8F5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C16B-4934-9990-F278EE4716F8}"/>
                </c:ext>
              </c:extLst>
            </c:dLbl>
            <c:dLbl>
              <c:idx val="20"/>
              <c:tx>
                <c:rich>
                  <a:bodyPr/>
                  <a:lstStyle/>
                  <a:p>
                    <a:fld id="{1848AAF5-A413-4B46-A5C2-98FEF3F805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C16B-4934-9990-F278EE4716F8}"/>
                </c:ext>
              </c:extLst>
            </c:dLbl>
            <c:dLbl>
              <c:idx val="21"/>
              <c:tx>
                <c:rich>
                  <a:bodyPr/>
                  <a:lstStyle/>
                  <a:p>
                    <a:fld id="{2E723645-E125-4F07-864B-3D310690D6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C16B-4934-9990-F278EE4716F8}"/>
                </c:ext>
              </c:extLst>
            </c:dLbl>
            <c:dLbl>
              <c:idx val="22"/>
              <c:tx>
                <c:rich>
                  <a:bodyPr/>
                  <a:lstStyle/>
                  <a:p>
                    <a:fld id="{EC80D87B-BA92-4C24-9908-FF88A8F797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C16B-4934-9990-F278EE4716F8}"/>
                </c:ext>
              </c:extLst>
            </c:dLbl>
            <c:dLbl>
              <c:idx val="23"/>
              <c:tx>
                <c:rich>
                  <a:bodyPr/>
                  <a:lstStyle/>
                  <a:p>
                    <a:fld id="{58DD3F62-13E7-4E01-918F-39B269215C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C16B-4934-9990-F278EE4716F8}"/>
                </c:ext>
              </c:extLst>
            </c:dLbl>
            <c:dLbl>
              <c:idx val="24"/>
              <c:tx>
                <c:rich>
                  <a:bodyPr/>
                  <a:lstStyle/>
                  <a:p>
                    <a:fld id="{086D2635-5E28-4268-AE05-7297C8E303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C16B-4934-9990-F278EE4716F8}"/>
                </c:ext>
              </c:extLst>
            </c:dLbl>
            <c:dLbl>
              <c:idx val="25"/>
              <c:tx>
                <c:rich>
                  <a:bodyPr/>
                  <a:lstStyle/>
                  <a:p>
                    <a:fld id="{BF00D8D7-FEB3-45D5-B3B5-0BAF74AD6F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C16B-4934-9990-F278EE4716F8}"/>
                </c:ext>
              </c:extLst>
            </c:dLbl>
            <c:dLbl>
              <c:idx val="26"/>
              <c:tx>
                <c:rich>
                  <a:bodyPr/>
                  <a:lstStyle/>
                  <a:p>
                    <a:fld id="{54ABA8F4-047F-4AF1-B701-730B9E604E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C16B-4934-9990-F278EE4716F8}"/>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C16B-4934-9990-F278EE4716F8}"/>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C16B-4934-9990-F278EE4716F8}"/>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C16B-4934-9990-F278EE4716F8}"/>
                </c:ext>
              </c:extLst>
            </c:dLbl>
            <c:numFmt formatCode=";[Red]&quot;$&quot;#,##0,&quot;K&quot;;[Green]&quot;Compliant&quot;;" sourceLinked="0"/>
            <c:spPr>
              <a:solidFill>
                <a:sysClr val="window" lastClr="FFFFFF"/>
              </a:solid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rgbClr val="C00000"/>
                    </a:solidFill>
                    <a:latin typeface="Aptos" panose="020B0004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'Pre-filled Sample'!$AG$48:$AG$77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xVal>
          <c:yVal>
            <c:numRef>
              <c:f>'Pre-filled Sample'!$V$48:$V$77</c:f>
              <c:numCache>
                <c:formatCode>_(* #,##0_);_(* \(#,##0\);_(* "-"??_);_(@_)</c:formatCode>
                <c:ptCount val="30"/>
                <c:pt idx="0">
                  <c:v>398.21067475599995</c:v>
                </c:pt>
                <c:pt idx="1">
                  <c:v>398.21067475599995</c:v>
                </c:pt>
                <c:pt idx="2">
                  <c:v>398.21067475599995</c:v>
                </c:pt>
                <c:pt idx="3">
                  <c:v>398.21067475599995</c:v>
                </c:pt>
                <c:pt idx="4">
                  <c:v>398.21067475599995</c:v>
                </c:pt>
                <c:pt idx="5">
                  <c:v>398.21067475599995</c:v>
                </c:pt>
                <c:pt idx="6">
                  <c:v>314.62086699999998</c:v>
                </c:pt>
                <c:pt idx="7">
                  <c:v>314.62086699999998</c:v>
                </c:pt>
                <c:pt idx="8">
                  <c:v>314.62086699999998</c:v>
                </c:pt>
                <c:pt idx="9">
                  <c:v>314.62086699999998</c:v>
                </c:pt>
                <c:pt idx="10">
                  <c:v>314.62086699999998</c:v>
                </c:pt>
                <c:pt idx="11">
                  <c:v>293.57273950000001</c:v>
                </c:pt>
                <c:pt idx="12">
                  <c:v>293.57273950000001</c:v>
                </c:pt>
                <c:pt idx="13">
                  <c:v>293.57273950000001</c:v>
                </c:pt>
                <c:pt idx="14">
                  <c:v>293.57273950000001</c:v>
                </c:pt>
                <c:pt idx="15">
                  <c:v>293.57273950000001</c:v>
                </c:pt>
                <c:pt idx="16">
                  <c:v>272.52461199999999</c:v>
                </c:pt>
                <c:pt idx="17">
                  <c:v>272.52461199999999</c:v>
                </c:pt>
                <c:pt idx="18">
                  <c:v>272.52461199999999</c:v>
                </c:pt>
                <c:pt idx="19">
                  <c:v>272.52461199999999</c:v>
                </c:pt>
                <c:pt idx="20">
                  <c:v>272.52461199999999</c:v>
                </c:pt>
                <c:pt idx="21">
                  <c:v>272.52461199999999</c:v>
                </c:pt>
                <c:pt idx="22">
                  <c:v>272.52461199999999</c:v>
                </c:pt>
                <c:pt idx="23">
                  <c:v>272.52461199999999</c:v>
                </c:pt>
                <c:pt idx="24">
                  <c:v>272.52461199999999</c:v>
                </c:pt>
                <c:pt idx="25">
                  <c:v>272.52461199999999</c:v>
                </c:pt>
                <c:pt idx="26">
                  <c:v>230.42835700000001</c:v>
                </c:pt>
                <c:pt idx="27">
                  <c:v>#N/A</c:v>
                </c:pt>
                <c:pt idx="28">
                  <c:v>#N/A</c:v>
                </c:pt>
                <c:pt idx="29">
                  <c:v>#N/A</c:v>
                </c:pt>
              </c:numCache>
            </c:numRef>
          </c:yVal>
          <c:smooth val="0"/>
          <c:extLst>
            <c:ext xmlns:c15="http://schemas.microsoft.com/office/drawing/2012/chart" uri="{02D57815-91ED-43cb-92C2-25804820EDAC}">
              <c15:datalabelsRange>
                <c15:f>'Pre-filled Sample'!$AA$48:$AA$78</c15:f>
                <c15:dlblRangeCache>
                  <c:ptCount val="31"/>
                  <c:pt idx="11">
                    <c:v>$14.3K</c:v>
                  </c:pt>
                  <c:pt idx="12">
                    <c:v>$14.3K</c:v>
                  </c:pt>
                  <c:pt idx="13">
                    <c:v>$14.3K</c:v>
                  </c:pt>
                  <c:pt idx="14">
                    <c:v>$14.3K</c:v>
                  </c:pt>
                  <c:pt idx="15">
                    <c:v>$14.3K</c:v>
                  </c:pt>
                  <c:pt idx="26">
                    <c:v>$10.2K</c:v>
                  </c:pt>
                  <c:pt idx="30">
                    <c:v>-$81,834</c:v>
                  </c:pt>
                </c15:dlblRangeCache>
              </c15:datalabelsRange>
            </c:ext>
            <c:ext xmlns:c16="http://schemas.microsoft.com/office/drawing/2014/chart" uri="{C3380CC4-5D6E-409C-BE32-E72D297353CC}">
              <c16:uniqueId val="{0000003F-C16B-4934-9990-F278EE4716F8}"/>
            </c:ext>
          </c:extLst>
        </c:ser>
        <c:dLbls>
          <c:showLegendKey val="0"/>
          <c:showVal val="0"/>
          <c:showCatName val="0"/>
          <c:showSerName val="0"/>
          <c:showPercent val="0"/>
          <c:showBubbleSize val="0"/>
        </c:dLbls>
        <c:axId val="369417984"/>
        <c:axId val="369439200"/>
      </c:scatterChart>
      <c:dateAx>
        <c:axId val="369417984"/>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369439200"/>
        <c:crosses val="autoZero"/>
        <c:auto val="0"/>
        <c:lblOffset val="100"/>
        <c:baseTimeUnit val="days"/>
      </c:dateAx>
      <c:valAx>
        <c:axId val="36943920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ptos" panose="020B0004020202020204" pitchFamily="34" charset="0"/>
                    <a:ea typeface="+mn-ea"/>
                    <a:cs typeface="+mn-cs"/>
                  </a:defRPr>
                </a:pPr>
                <a:r>
                  <a:rPr lang="en-US"/>
                  <a:t>GHG Carbon Emissions (tCO2e)</a:t>
                </a:r>
              </a:p>
            </c:rich>
          </c:tx>
          <c:layout>
            <c:manualLayout>
              <c:xMode val="edge"/>
              <c:yMode val="edge"/>
              <c:x val="0.27257162686592551"/>
              <c:y val="0.29532173669067835"/>
            </c:manualLayout>
          </c:layout>
          <c:overlay val="0"/>
          <c:spPr>
            <a:noFill/>
            <a:ln>
              <a:noFill/>
            </a:ln>
            <a:effectLst/>
          </c:spPr>
          <c:txPr>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369417984"/>
        <c:crosses val="autoZero"/>
        <c:crossBetween val="between"/>
      </c:valAx>
      <c:spPr>
        <a:noFill/>
        <a:ln>
          <a:noFill/>
        </a:ln>
        <a:effectLst/>
      </c:spPr>
    </c:plotArea>
    <c:legend>
      <c:legendPos val="b"/>
      <c:legendEntry>
        <c:idx val="3"/>
        <c:delete val="1"/>
      </c:legendEntry>
      <c:layout>
        <c:manualLayout>
          <c:xMode val="edge"/>
          <c:yMode val="edge"/>
          <c:x val="2.0741957927154782E-2"/>
          <c:y val="0.156041809522418"/>
          <c:w val="0.23474992741191297"/>
          <c:h val="0.4431134752880752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Aptos" panose="020B00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46010026381664E-2"/>
          <c:y val="0.12539184952978055"/>
          <c:w val="0.90100223333265861"/>
          <c:h val="0.78273772204806691"/>
        </c:manualLayout>
      </c:layout>
      <c:barChart>
        <c:barDir val="col"/>
        <c:grouping val="stacked"/>
        <c:varyColors val="0"/>
        <c:ser>
          <c:idx val="6"/>
          <c:order val="1"/>
          <c:tx>
            <c:strRef>
              <c:f>'Pre-filled Sample'!$T$47</c:f>
              <c:strCache>
                <c:ptCount val="1"/>
                <c:pt idx="0">
                  <c:v>LL97 Emissions After Measures</c:v>
                </c:pt>
              </c:strCache>
            </c:strRef>
          </c:tx>
          <c:spPr>
            <a:solidFill>
              <a:schemeClr val="bg1">
                <a:lumMod val="65000"/>
              </a:schemeClr>
            </a:solidFill>
            <a:ln w="25400">
              <a:noFill/>
            </a:ln>
            <a:effectLst>
              <a:outerShdw blurRad="38100" dist="12700" dir="2700000" algn="tl" rotWithShape="0">
                <a:prstClr val="black">
                  <a:alpha val="40000"/>
                </a:prstClr>
              </a:outerShdw>
            </a:effectLst>
          </c:spPr>
          <c:invertIfNegative val="0"/>
          <c:cat>
            <c:numRef>
              <c:f>'Pre-filled Sample'!$AG$48:$AG$77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Sample'!$T$48:$T$77</c:f>
              <c:numCache>
                <c:formatCode>_(* #,##0_);_(* \(#,##0\);_(* "-"??_);_(@_)</c:formatCode>
                <c:ptCount val="30"/>
                <c:pt idx="0">
                  <c:v>398.21067475599995</c:v>
                </c:pt>
                <c:pt idx="1">
                  <c:v>319.57400890599996</c:v>
                </c:pt>
                <c:pt idx="2">
                  <c:v>319.57400890599996</c:v>
                </c:pt>
                <c:pt idx="3">
                  <c:v>319.57400890599996</c:v>
                </c:pt>
                <c:pt idx="4">
                  <c:v>319.57400890599996</c:v>
                </c:pt>
                <c:pt idx="5">
                  <c:v>319.57400890599996</c:v>
                </c:pt>
                <c:pt idx="6">
                  <c:v>240.44898600000002</c:v>
                </c:pt>
                <c:pt idx="7">
                  <c:v>240.44898600000002</c:v>
                </c:pt>
                <c:pt idx="8">
                  <c:v>240.44898600000002</c:v>
                </c:pt>
                <c:pt idx="9">
                  <c:v>240.44898600000002</c:v>
                </c:pt>
                <c:pt idx="10">
                  <c:v>240.44898600000002</c:v>
                </c:pt>
                <c:pt idx="11">
                  <c:v>210.04169024999999</c:v>
                </c:pt>
                <c:pt idx="12">
                  <c:v>210.04169024999999</c:v>
                </c:pt>
                <c:pt idx="13">
                  <c:v>210.04169024999999</c:v>
                </c:pt>
                <c:pt idx="14">
                  <c:v>210.04169024999999</c:v>
                </c:pt>
                <c:pt idx="15">
                  <c:v>210.04169024999999</c:v>
                </c:pt>
                <c:pt idx="16">
                  <c:v>79.227359500000006</c:v>
                </c:pt>
                <c:pt idx="17">
                  <c:v>79.227359500000006</c:v>
                </c:pt>
                <c:pt idx="18">
                  <c:v>79.227359500000006</c:v>
                </c:pt>
                <c:pt idx="19">
                  <c:v>79.227359500000006</c:v>
                </c:pt>
                <c:pt idx="20">
                  <c:v>79.227359500000006</c:v>
                </c:pt>
                <c:pt idx="21">
                  <c:v>79.227359500000006</c:v>
                </c:pt>
                <c:pt idx="22">
                  <c:v>79.227359500000006</c:v>
                </c:pt>
                <c:pt idx="23">
                  <c:v>79.227359500000006</c:v>
                </c:pt>
                <c:pt idx="24">
                  <c:v>79.227359500000006</c:v>
                </c:pt>
                <c:pt idx="25">
                  <c:v>79.227359500000006</c:v>
                </c:pt>
                <c:pt idx="26">
                  <c:v>37.904606999999999</c:v>
                </c:pt>
                <c:pt idx="27">
                  <c:v>#N/A</c:v>
                </c:pt>
                <c:pt idx="28">
                  <c:v>#N/A</c:v>
                </c:pt>
                <c:pt idx="29">
                  <c:v>#N/A</c:v>
                </c:pt>
              </c:numCache>
            </c:numRef>
          </c:val>
          <c:extLst>
            <c:ext xmlns:c16="http://schemas.microsoft.com/office/drawing/2014/chart" uri="{C3380CC4-5D6E-409C-BE32-E72D297353CC}">
              <c16:uniqueId val="{00000000-7018-474F-A2B9-10732B5AD619}"/>
            </c:ext>
          </c:extLst>
        </c:ser>
        <c:ser>
          <c:idx val="1"/>
          <c:order val="3"/>
          <c:tx>
            <c:v>Measure Emissions Savings</c:v>
          </c:tx>
          <c:spPr>
            <a:pattFill prst="dkDnDiag">
              <a:fgClr>
                <a:schemeClr val="tx2">
                  <a:lumMod val="20000"/>
                  <a:lumOff val="80000"/>
                </a:schemeClr>
              </a:fgClr>
              <a:bgClr>
                <a:schemeClr val="accent1"/>
              </a:bgClr>
            </a:pattFill>
            <a:ln>
              <a:noFill/>
            </a:ln>
            <a:effectLst>
              <a:outerShdw blurRad="38100" dist="12700" algn="ctr" rotWithShape="0">
                <a:prstClr val="black">
                  <a:alpha val="40000"/>
                </a:prstClr>
              </a:outerShdw>
            </a:effectLst>
          </c:spPr>
          <c:invertIfNegative val="0"/>
          <c:cat>
            <c:numRef>
              <c:f>'Pre-filled Sample'!$AG$48:$AG$77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Sample'!$Y$48:$Y$77</c:f>
              <c:numCache>
                <c:formatCode>_(* #,##0_);_(* \(#,##0\);_(* "-"??_);_(@_)</c:formatCode>
                <c:ptCount val="30"/>
                <c:pt idx="0">
                  <c:v>0</c:v>
                </c:pt>
                <c:pt idx="1">
                  <c:v>78.636665849999986</c:v>
                </c:pt>
                <c:pt idx="2">
                  <c:v>78.636665849999986</c:v>
                </c:pt>
                <c:pt idx="3">
                  <c:v>78.636665849999986</c:v>
                </c:pt>
                <c:pt idx="4">
                  <c:v>78.636665849999986</c:v>
                </c:pt>
                <c:pt idx="5">
                  <c:v>78.636665849999986</c:v>
                </c:pt>
                <c:pt idx="6">
                  <c:v>74.171880999999956</c:v>
                </c:pt>
                <c:pt idx="7">
                  <c:v>74.171880999999956</c:v>
                </c:pt>
                <c:pt idx="8">
                  <c:v>74.171880999999956</c:v>
                </c:pt>
                <c:pt idx="9">
                  <c:v>74.171880999999956</c:v>
                </c:pt>
                <c:pt idx="10">
                  <c:v>74.171880999999956</c:v>
                </c:pt>
                <c:pt idx="11">
                  <c:v>83.531049250000024</c:v>
                </c:pt>
                <c:pt idx="12">
                  <c:v>83.531049250000024</c:v>
                </c:pt>
                <c:pt idx="13">
                  <c:v>83.531049250000024</c:v>
                </c:pt>
                <c:pt idx="14">
                  <c:v>83.531049250000024</c:v>
                </c:pt>
                <c:pt idx="15">
                  <c:v>83.531049250000024</c:v>
                </c:pt>
                <c:pt idx="16">
                  <c:v>193.29725249999998</c:v>
                </c:pt>
                <c:pt idx="17">
                  <c:v>193.29725249999998</c:v>
                </c:pt>
                <c:pt idx="18">
                  <c:v>193.29725249999998</c:v>
                </c:pt>
                <c:pt idx="19">
                  <c:v>193.29725249999998</c:v>
                </c:pt>
                <c:pt idx="20">
                  <c:v>193.29725249999998</c:v>
                </c:pt>
                <c:pt idx="21">
                  <c:v>193.29725249999998</c:v>
                </c:pt>
                <c:pt idx="22">
                  <c:v>193.29725249999998</c:v>
                </c:pt>
                <c:pt idx="23">
                  <c:v>193.29725249999998</c:v>
                </c:pt>
                <c:pt idx="24">
                  <c:v>193.29725249999998</c:v>
                </c:pt>
                <c:pt idx="25">
                  <c:v>193.29725249999998</c:v>
                </c:pt>
                <c:pt idx="26">
                  <c:v>192.52375000000001</c:v>
                </c:pt>
                <c:pt idx="27">
                  <c:v>#N/A</c:v>
                </c:pt>
                <c:pt idx="28">
                  <c:v>#N/A</c:v>
                </c:pt>
                <c:pt idx="29">
                  <c:v>#N/A</c:v>
                </c:pt>
              </c:numCache>
            </c:numRef>
          </c:val>
          <c:extLst>
            <c:ext xmlns:c16="http://schemas.microsoft.com/office/drawing/2014/chart" uri="{C3380CC4-5D6E-409C-BE32-E72D297353CC}">
              <c16:uniqueId val="{00000001-7018-474F-A2B9-10732B5AD619}"/>
            </c:ext>
          </c:extLst>
        </c:ser>
        <c:dLbls>
          <c:showLegendKey val="0"/>
          <c:showVal val="0"/>
          <c:showCatName val="0"/>
          <c:showSerName val="0"/>
          <c:showPercent val="0"/>
          <c:showBubbleSize val="0"/>
        </c:dLbls>
        <c:gapWidth val="20"/>
        <c:overlap val="100"/>
        <c:axId val="1531504208"/>
        <c:axId val="1730183008"/>
      </c:barChart>
      <c:lineChart>
        <c:grouping val="standard"/>
        <c:varyColors val="0"/>
        <c:ser>
          <c:idx val="0"/>
          <c:order val="0"/>
          <c:tx>
            <c:v>Decarbonization Pathway</c:v>
          </c:tx>
          <c:spPr>
            <a:ln w="28575" cap="rnd">
              <a:solidFill>
                <a:schemeClr val="accent1"/>
              </a:solidFill>
              <a:round/>
            </a:ln>
            <a:effectLst/>
          </c:spPr>
          <c:marker>
            <c:symbol val="none"/>
          </c:marker>
          <c:cat>
            <c:numRef>
              <c:f>'Pre-filled Sample'!$AG$48:$AG$77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Sample'!$T$48:$T$77</c:f>
              <c:numCache>
                <c:formatCode>_(* #,##0_);_(* \(#,##0\);_(* "-"??_);_(@_)</c:formatCode>
                <c:ptCount val="30"/>
                <c:pt idx="0">
                  <c:v>398.21067475599995</c:v>
                </c:pt>
                <c:pt idx="1">
                  <c:v>319.57400890599996</c:v>
                </c:pt>
                <c:pt idx="2">
                  <c:v>319.57400890599996</c:v>
                </c:pt>
                <c:pt idx="3">
                  <c:v>319.57400890599996</c:v>
                </c:pt>
                <c:pt idx="4">
                  <c:v>319.57400890599996</c:v>
                </c:pt>
                <c:pt idx="5">
                  <c:v>319.57400890599996</c:v>
                </c:pt>
                <c:pt idx="6">
                  <c:v>240.44898600000002</c:v>
                </c:pt>
                <c:pt idx="7">
                  <c:v>240.44898600000002</c:v>
                </c:pt>
                <c:pt idx="8">
                  <c:v>240.44898600000002</c:v>
                </c:pt>
                <c:pt idx="9">
                  <c:v>240.44898600000002</c:v>
                </c:pt>
                <c:pt idx="10">
                  <c:v>240.44898600000002</c:v>
                </c:pt>
                <c:pt idx="11">
                  <c:v>210.04169024999999</c:v>
                </c:pt>
                <c:pt idx="12">
                  <c:v>210.04169024999999</c:v>
                </c:pt>
                <c:pt idx="13">
                  <c:v>210.04169024999999</c:v>
                </c:pt>
                <c:pt idx="14">
                  <c:v>210.04169024999999</c:v>
                </c:pt>
                <c:pt idx="15">
                  <c:v>210.04169024999999</c:v>
                </c:pt>
                <c:pt idx="16">
                  <c:v>79.227359500000006</c:v>
                </c:pt>
                <c:pt idx="17">
                  <c:v>79.227359500000006</c:v>
                </c:pt>
                <c:pt idx="18">
                  <c:v>79.227359500000006</c:v>
                </c:pt>
                <c:pt idx="19">
                  <c:v>79.227359500000006</c:v>
                </c:pt>
                <c:pt idx="20">
                  <c:v>79.227359500000006</c:v>
                </c:pt>
                <c:pt idx="21">
                  <c:v>79.227359500000006</c:v>
                </c:pt>
                <c:pt idx="22">
                  <c:v>79.227359500000006</c:v>
                </c:pt>
                <c:pt idx="23">
                  <c:v>79.227359500000006</c:v>
                </c:pt>
                <c:pt idx="24">
                  <c:v>79.227359500000006</c:v>
                </c:pt>
                <c:pt idx="25">
                  <c:v>79.227359500000006</c:v>
                </c:pt>
                <c:pt idx="26">
                  <c:v>37.904606999999999</c:v>
                </c:pt>
                <c:pt idx="27">
                  <c:v>#N/A</c:v>
                </c:pt>
                <c:pt idx="28">
                  <c:v>#N/A</c:v>
                </c:pt>
                <c:pt idx="29">
                  <c:v>#N/A</c:v>
                </c:pt>
              </c:numCache>
            </c:numRef>
          </c:val>
          <c:smooth val="0"/>
          <c:extLst>
            <c:ext xmlns:c16="http://schemas.microsoft.com/office/drawing/2014/chart" uri="{C3380CC4-5D6E-409C-BE32-E72D297353CC}">
              <c16:uniqueId val="{00000002-7018-474F-A2B9-10732B5AD619}"/>
            </c:ext>
          </c:extLst>
        </c:ser>
        <c:ser>
          <c:idx val="2"/>
          <c:order val="2"/>
          <c:tx>
            <c:strRef>
              <c:f>'Pre-filled Sample'!$V$47</c:f>
              <c:strCache>
                <c:ptCount val="1"/>
                <c:pt idx="0">
                  <c:v>LL97 Business-As-Usual Emissions</c:v>
                </c:pt>
              </c:strCache>
            </c:strRef>
          </c:tx>
          <c:spPr>
            <a:ln w="28575" cap="rnd">
              <a:solidFill>
                <a:schemeClr val="tx1"/>
              </a:solidFill>
              <a:round/>
            </a:ln>
            <a:effectLst>
              <a:outerShdw blurRad="317500" dir="6000000" algn="ctr" rotWithShape="0">
                <a:schemeClr val="tx1">
                  <a:alpha val="25000"/>
                </a:schemeClr>
              </a:outerShdw>
            </a:effectLst>
          </c:spPr>
          <c:marker>
            <c:symbol val="none"/>
          </c:marker>
          <c:cat>
            <c:numRef>
              <c:f>'Pre-filled Sample'!$AG$48:$AG$77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Sample'!$V$48:$V$77</c:f>
              <c:numCache>
                <c:formatCode>_(* #,##0_);_(* \(#,##0\);_(* "-"??_);_(@_)</c:formatCode>
                <c:ptCount val="30"/>
                <c:pt idx="0">
                  <c:v>398.21067475599995</c:v>
                </c:pt>
                <c:pt idx="1">
                  <c:v>398.21067475599995</c:v>
                </c:pt>
                <c:pt idx="2">
                  <c:v>398.21067475599995</c:v>
                </c:pt>
                <c:pt idx="3">
                  <c:v>398.21067475599995</c:v>
                </c:pt>
                <c:pt idx="4">
                  <c:v>398.21067475599995</c:v>
                </c:pt>
                <c:pt idx="5">
                  <c:v>398.21067475599995</c:v>
                </c:pt>
                <c:pt idx="6">
                  <c:v>314.62086699999998</c:v>
                </c:pt>
                <c:pt idx="7">
                  <c:v>314.62086699999998</c:v>
                </c:pt>
                <c:pt idx="8">
                  <c:v>314.62086699999998</c:v>
                </c:pt>
                <c:pt idx="9">
                  <c:v>314.62086699999998</c:v>
                </c:pt>
                <c:pt idx="10">
                  <c:v>314.62086699999998</c:v>
                </c:pt>
                <c:pt idx="11">
                  <c:v>293.57273950000001</c:v>
                </c:pt>
                <c:pt idx="12">
                  <c:v>293.57273950000001</c:v>
                </c:pt>
                <c:pt idx="13">
                  <c:v>293.57273950000001</c:v>
                </c:pt>
                <c:pt idx="14">
                  <c:v>293.57273950000001</c:v>
                </c:pt>
                <c:pt idx="15">
                  <c:v>293.57273950000001</c:v>
                </c:pt>
                <c:pt idx="16">
                  <c:v>272.52461199999999</c:v>
                </c:pt>
                <c:pt idx="17">
                  <c:v>272.52461199999999</c:v>
                </c:pt>
                <c:pt idx="18">
                  <c:v>272.52461199999999</c:v>
                </c:pt>
                <c:pt idx="19">
                  <c:v>272.52461199999999</c:v>
                </c:pt>
                <c:pt idx="20">
                  <c:v>272.52461199999999</c:v>
                </c:pt>
                <c:pt idx="21">
                  <c:v>272.52461199999999</c:v>
                </c:pt>
                <c:pt idx="22">
                  <c:v>272.52461199999999</c:v>
                </c:pt>
                <c:pt idx="23">
                  <c:v>272.52461199999999</c:v>
                </c:pt>
                <c:pt idx="24">
                  <c:v>272.52461199999999</c:v>
                </c:pt>
                <c:pt idx="25">
                  <c:v>272.52461199999999</c:v>
                </c:pt>
                <c:pt idx="26">
                  <c:v>230.42835700000001</c:v>
                </c:pt>
                <c:pt idx="27">
                  <c:v>#N/A</c:v>
                </c:pt>
                <c:pt idx="28">
                  <c:v>#N/A</c:v>
                </c:pt>
                <c:pt idx="29">
                  <c:v>#N/A</c:v>
                </c:pt>
              </c:numCache>
            </c:numRef>
          </c:val>
          <c:smooth val="0"/>
          <c:extLst>
            <c:ext xmlns:c16="http://schemas.microsoft.com/office/drawing/2014/chart" uri="{C3380CC4-5D6E-409C-BE32-E72D297353CC}">
              <c16:uniqueId val="{00000003-7018-474F-A2B9-10732B5AD619}"/>
            </c:ext>
          </c:extLst>
        </c:ser>
        <c:dLbls>
          <c:showLegendKey val="0"/>
          <c:showVal val="0"/>
          <c:showCatName val="0"/>
          <c:showSerName val="0"/>
          <c:showPercent val="0"/>
          <c:showBubbleSize val="0"/>
        </c:dLbls>
        <c:marker val="1"/>
        <c:smooth val="0"/>
        <c:axId val="1531504208"/>
        <c:axId val="1730183008"/>
        <c:extLst>
          <c:ext xmlns:c15="http://schemas.microsoft.com/office/drawing/2012/chart" uri="{02D57815-91ED-43cb-92C2-25804820EDAC}">
            <c15:filteredLineSeries>
              <c15:ser>
                <c:idx val="4"/>
                <c:order val="4"/>
                <c:tx>
                  <c:v>Base Year Emissions</c:v>
                </c:tx>
                <c:spPr>
                  <a:ln w="28575" cap="rnd">
                    <a:solidFill>
                      <a:schemeClr val="accent5"/>
                    </a:solidFill>
                    <a:round/>
                  </a:ln>
                  <a:effectLst/>
                </c:spPr>
                <c:marker>
                  <c:symbol val="circle"/>
                  <c:size val="5"/>
                  <c:spPr>
                    <a:solidFill>
                      <a:schemeClr val="tx1">
                        <a:lumMod val="75000"/>
                        <a:lumOff val="25000"/>
                      </a:schemeClr>
                    </a:solidFill>
                    <a:ln w="9525">
                      <a:noFill/>
                    </a:ln>
                    <a:effectLst/>
                  </c:spPr>
                </c:marker>
                <c:dLbls>
                  <c:dLbl>
                    <c:idx val="0"/>
                    <c:layout>
                      <c:manualLayout>
                        <c:x val="-5.5731294508364018E-2"/>
                        <c:y val="-4.2137062879115658E-2"/>
                      </c:manualLayout>
                    </c:layout>
                    <c:spPr>
                      <a:noFill/>
                      <a:ln>
                        <a:noFill/>
                      </a:ln>
                      <a:effectLst/>
                    </c:spPr>
                    <c:txPr>
                      <a:bodyPr rot="0" spcFirstLastPara="1" vertOverflow="ellipsis" vert="horz" wrap="square" lIns="38100" tIns="19050" rIns="38100" bIns="19050" anchor="ctr" anchorCtr="1">
                        <a:noAutofit/>
                      </a:bodyPr>
                      <a:lstStyle/>
                      <a:p>
                        <a:pPr>
                          <a:defRPr lang="en-US" sz="900" b="1" i="0" u="none" strike="noStrike" kern="1200" baseline="0">
                            <a:solidFill>
                              <a:schemeClr val="bg1">
                                <a:lumMod val="50000"/>
                              </a:schemeClr>
                            </a:solidFill>
                            <a:latin typeface="Aptos Narrow" panose="020B0004020202020204" pitchFamily="34" charset="0"/>
                            <a:ea typeface="+mn-ea"/>
                            <a:cs typeface="+mn-cs"/>
                          </a:defRPr>
                        </a:pPr>
                        <a:endParaRPr lang="en-US"/>
                      </a:p>
                    </c:txPr>
                    <c:dLblPos val="r"/>
                    <c:showLegendKey val="0"/>
                    <c:showVal val="0"/>
                    <c:showCatName val="0"/>
                    <c:showSerName val="1"/>
                    <c:showPercent val="0"/>
                    <c:showBubbleSize val="0"/>
                    <c:extLst>
                      <c:ext uri="{CE6537A1-D6FC-4f65-9D91-7224C49458BB}">
                        <c15:layout>
                          <c:manualLayout>
                            <c:w val="9.0246191972544326E-2"/>
                            <c:h val="0.10788603032473638"/>
                          </c:manualLayout>
                        </c15:layout>
                      </c:ext>
                      <c:ext xmlns:c16="http://schemas.microsoft.com/office/drawing/2014/chart" uri="{C3380CC4-5D6E-409C-BE32-E72D297353CC}">
                        <c16:uniqueId val="{00000023-7018-474F-A2B9-10732B5AD619}"/>
                      </c:ext>
                    </c:extLst>
                  </c:dLbl>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dk1"/>
                          </a:solidFill>
                          <a:latin typeface=""/>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'Pre-filled Sample'!$N$7</c15:sqref>
                        </c15:formulaRef>
                      </c:ext>
                    </c:extLst>
                    <c:numCache>
                      <c:formatCode>#,##0</c:formatCode>
                      <c:ptCount val="1"/>
                      <c:pt idx="0">
                        <c:v>398.21067475599995</c:v>
                      </c:pt>
                    </c:numCache>
                  </c:numRef>
                </c:val>
                <c:smooth val="0"/>
                <c:extLst>
                  <c:ext xmlns:c16="http://schemas.microsoft.com/office/drawing/2014/chart" uri="{C3380CC4-5D6E-409C-BE32-E72D297353CC}">
                    <c16:uniqueId val="{00000024-7018-474F-A2B9-10732B5AD619}"/>
                  </c:ext>
                </c:extLst>
              </c15:ser>
            </c15:filteredLineSeries>
          </c:ext>
        </c:extLst>
      </c:lineChart>
      <c:scatterChart>
        <c:scatterStyle val="lineMarker"/>
        <c:varyColors val="0"/>
        <c:ser>
          <c:idx val="3"/>
          <c:order val="5"/>
          <c:tx>
            <c:v>Number of Measures Done</c:v>
          </c:tx>
          <c:spPr>
            <a:ln w="25400" cap="rnd">
              <a:noFill/>
              <a:round/>
            </a:ln>
            <a:effectLst/>
          </c:spPr>
          <c:marker>
            <c:symbol val="triangle"/>
            <c:size val="10"/>
            <c:spPr>
              <a:solidFill>
                <a:schemeClr val="accent1"/>
              </a:solidFill>
              <a:ln w="9525">
                <a:noFill/>
              </a:ln>
              <a:effectLst/>
            </c:spPr>
          </c:marker>
          <c:dLbls>
            <c:dLbl>
              <c:idx val="0"/>
              <c:tx>
                <c:rich>
                  <a:bodyPr/>
                  <a:lstStyle/>
                  <a:p>
                    <a:fld id="{73C75D93-C6D5-438E-86A1-89DE091A6436}"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018-474F-A2B9-10732B5AD619}"/>
                </c:ext>
              </c:extLst>
            </c:dLbl>
            <c:dLbl>
              <c:idx val="1"/>
              <c:tx>
                <c:rich>
                  <a:bodyPr/>
                  <a:lstStyle/>
                  <a:p>
                    <a:fld id="{2609F29F-BD6A-48C2-AA43-C17D319DEAB2}"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018-474F-A2B9-10732B5AD619}"/>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7018-474F-A2B9-10732B5AD619}"/>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7018-474F-A2B9-10732B5AD619}"/>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7018-474F-A2B9-10732B5AD619}"/>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7018-474F-A2B9-10732B5AD619}"/>
                </c:ext>
              </c:extLst>
            </c:dLbl>
            <c:dLbl>
              <c:idx val="6"/>
              <c:tx>
                <c:rich>
                  <a:bodyPr/>
                  <a:lstStyle/>
                  <a:p>
                    <a:fld id="{E6593EEE-397B-4DE9-B81B-CFC6A3A5F1BA}"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018-474F-A2B9-10732B5AD619}"/>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7018-474F-A2B9-10732B5AD619}"/>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7018-474F-A2B9-10732B5AD619}"/>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7018-474F-A2B9-10732B5AD619}"/>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018-474F-A2B9-10732B5AD619}"/>
                </c:ext>
              </c:extLst>
            </c:dLbl>
            <c:dLbl>
              <c:idx val="11"/>
              <c:tx>
                <c:rich>
                  <a:bodyPr/>
                  <a:lstStyle/>
                  <a:p>
                    <a:fld id="{4D95A1A7-334A-4A9C-A925-9F2ECD580016}"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018-474F-A2B9-10732B5AD619}"/>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7018-474F-A2B9-10732B5AD619}"/>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7018-474F-A2B9-10732B5AD619}"/>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7018-474F-A2B9-10732B5AD619}"/>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7018-474F-A2B9-10732B5AD619}"/>
                </c:ext>
              </c:extLst>
            </c:dLbl>
            <c:dLbl>
              <c:idx val="16"/>
              <c:tx>
                <c:rich>
                  <a:bodyPr/>
                  <a:lstStyle/>
                  <a:p>
                    <a:fld id="{D8D033B2-455C-402C-A49A-44B2A8A84EA3}"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018-474F-A2B9-10732B5AD619}"/>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7018-474F-A2B9-10732B5AD619}"/>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7018-474F-A2B9-10732B5AD619}"/>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7018-474F-A2B9-10732B5AD619}"/>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7018-474F-A2B9-10732B5AD619}"/>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7018-474F-A2B9-10732B5AD619}"/>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7018-474F-A2B9-10732B5AD619}"/>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7018-474F-A2B9-10732B5AD619}"/>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7018-474F-A2B9-10732B5AD619}"/>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7018-474F-A2B9-10732B5AD619}"/>
                </c:ext>
              </c:extLst>
            </c:dLbl>
            <c:dLbl>
              <c:idx val="26"/>
              <c:tx>
                <c:rich>
                  <a:bodyPr/>
                  <a:lstStyle/>
                  <a:p>
                    <a:fld id="{FE11E551-EC34-4FAB-AC14-F0900C7F702A}"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018-474F-A2B9-10732B5AD619}"/>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7018-474F-A2B9-10732B5AD619}"/>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7018-474F-A2B9-10732B5AD619}"/>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7018-474F-A2B9-10732B5AD619}"/>
                </c:ext>
              </c:extLst>
            </c:dLbl>
            <c:spPr>
              <a:noFill/>
              <a:ln>
                <a:noFill/>
              </a:ln>
              <a:effectLst/>
            </c:spPr>
            <c:txPr>
              <a:bodyPr rot="-5400000" spcFirstLastPara="1" vertOverflow="ellipsis" wrap="square" lIns="38100" tIns="19050" rIns="38100" bIns="19050" anchor="ctr" anchorCtr="0">
                <a:spAutoFit/>
              </a:bodyPr>
              <a:lstStyle/>
              <a:p>
                <a:pPr algn="ctr">
                  <a:defRPr lang="en-US" sz="1050" b="1" i="0" u="none" strike="noStrike" kern="1200" baseline="0">
                    <a:solidFill>
                      <a:schemeClr val="tx2"/>
                    </a:solidFill>
                    <a:latin typeface="Aptos Narrow" panose="020B0004020202020204" pitchFamily="34" charset="0"/>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'Pre-filled Sample'!$AG$48:$AG$77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xVal>
          <c:yVal>
            <c:numRef>
              <c:f>'Pre-filled Sample'!$AJ$48:$AJ$77</c:f>
              <c:numCache>
                <c:formatCode>0</c:formatCode>
                <c:ptCount val="30"/>
                <c:pt idx="0">
                  <c:v>398.21067475599995</c:v>
                </c:pt>
                <c:pt idx="1">
                  <c:v>319.57400890599996</c:v>
                </c:pt>
                <c:pt idx="2">
                  <c:v>#N/A</c:v>
                </c:pt>
                <c:pt idx="3">
                  <c:v>#N/A</c:v>
                </c:pt>
                <c:pt idx="4">
                  <c:v>#N/A</c:v>
                </c:pt>
                <c:pt idx="5">
                  <c:v>#N/A</c:v>
                </c:pt>
                <c:pt idx="6">
                  <c:v>240.44898600000002</c:v>
                </c:pt>
                <c:pt idx="7">
                  <c:v>#N/A</c:v>
                </c:pt>
                <c:pt idx="8">
                  <c:v>#N/A</c:v>
                </c:pt>
                <c:pt idx="9">
                  <c:v>#N/A</c:v>
                </c:pt>
                <c:pt idx="10">
                  <c:v>#N/A</c:v>
                </c:pt>
                <c:pt idx="11">
                  <c:v>210.04169024999999</c:v>
                </c:pt>
                <c:pt idx="12">
                  <c:v>#N/A</c:v>
                </c:pt>
                <c:pt idx="13">
                  <c:v>#N/A</c:v>
                </c:pt>
                <c:pt idx="14">
                  <c:v>#N/A</c:v>
                </c:pt>
                <c:pt idx="15">
                  <c:v>#N/A</c:v>
                </c:pt>
                <c:pt idx="16">
                  <c:v>79.227359500000006</c:v>
                </c:pt>
                <c:pt idx="17">
                  <c:v>#N/A</c:v>
                </c:pt>
                <c:pt idx="18">
                  <c:v>#N/A</c:v>
                </c:pt>
                <c:pt idx="19">
                  <c:v>#N/A</c:v>
                </c:pt>
                <c:pt idx="20">
                  <c:v>#N/A</c:v>
                </c:pt>
                <c:pt idx="21">
                  <c:v>#N/A</c:v>
                </c:pt>
                <c:pt idx="22">
                  <c:v>#N/A</c:v>
                </c:pt>
                <c:pt idx="23">
                  <c:v>#N/A</c:v>
                </c:pt>
                <c:pt idx="24">
                  <c:v>#N/A</c:v>
                </c:pt>
                <c:pt idx="25">
                  <c:v>#N/A</c:v>
                </c:pt>
                <c:pt idx="26">
                  <c:v>37.904606999999999</c:v>
                </c:pt>
                <c:pt idx="27">
                  <c:v>#N/A</c:v>
                </c:pt>
                <c:pt idx="28">
                  <c:v>#N/A</c:v>
                </c:pt>
                <c:pt idx="29">
                  <c:v>#N/A</c:v>
                </c:pt>
              </c:numCache>
            </c:numRef>
          </c:yVal>
          <c:smooth val="0"/>
          <c:extLst>
            <c:ext xmlns:c15="http://schemas.microsoft.com/office/drawing/2012/chart" uri="{02D57815-91ED-43cb-92C2-25804820EDAC}">
              <c15:datalabelsRange>
                <c15:f>'Pre-filled Sample'!$AI$48:$AI$77</c15:f>
                <c15:dlblRangeCache>
                  <c:ptCount val="30"/>
                  <c:pt idx="0">
                    <c:v>0 Measures Done</c:v>
                  </c:pt>
                  <c:pt idx="1">
                    <c:v>6 Measures Done</c:v>
                  </c:pt>
                  <c:pt idx="6">
                    <c:v>9 Measures Done</c:v>
                  </c:pt>
                  <c:pt idx="11">
                    <c:v>13 Measures Done</c:v>
                  </c:pt>
                  <c:pt idx="16">
                    <c:v>15 Measures Done</c:v>
                  </c:pt>
                  <c:pt idx="26">
                    <c:v>16 Measures Done</c:v>
                  </c:pt>
                  <c:pt idx="27">
                    <c:v>0 Measures Done</c:v>
                  </c:pt>
                </c15:dlblRangeCache>
              </c15:datalabelsRange>
            </c:ext>
            <c:ext xmlns:c16="http://schemas.microsoft.com/office/drawing/2014/chart" uri="{C3380CC4-5D6E-409C-BE32-E72D297353CC}">
              <c16:uniqueId val="{00000022-7018-474F-A2B9-10732B5AD619}"/>
            </c:ext>
          </c:extLst>
        </c:ser>
        <c:dLbls>
          <c:showLegendKey val="0"/>
          <c:showVal val="0"/>
          <c:showCatName val="0"/>
          <c:showSerName val="0"/>
          <c:showPercent val="0"/>
          <c:showBubbleSize val="0"/>
        </c:dLbls>
        <c:axId val="1531504208"/>
        <c:axId val="1730183008"/>
      </c:scatterChart>
      <c:dateAx>
        <c:axId val="15315042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dk1"/>
                </a:solidFill>
                <a:latin typeface="Aptos" panose="020B0004020202020204" pitchFamily="34" charset="0"/>
                <a:ea typeface="+mn-ea"/>
                <a:cs typeface="+mn-cs"/>
              </a:defRPr>
            </a:pPr>
            <a:endParaRPr lang="en-US"/>
          </a:p>
        </c:txPr>
        <c:crossAx val="1730183008"/>
        <c:crosses val="autoZero"/>
        <c:auto val="0"/>
        <c:lblOffset val="100"/>
        <c:baseTimeUnit val="days"/>
      </c:dateAx>
      <c:valAx>
        <c:axId val="1730183008"/>
        <c:scaling>
          <c:orientation val="minMax"/>
        </c:scaling>
        <c:delete val="0"/>
        <c:axPos val="l"/>
        <c:majorGridlines>
          <c:spPr>
            <a:ln w="9525" cap="flat" cmpd="sng" algn="ctr">
              <a:solidFill>
                <a:schemeClr val="tx1">
                  <a:lumMod val="15000"/>
                  <a:lumOff val="85000"/>
                </a:schemeClr>
              </a:solidFill>
              <a:round/>
            </a:ln>
            <a:effectLst/>
          </c:spPr>
        </c:majorGridlines>
        <c:numFmt formatCode="#,###,##0\ &quot;tCO2e&quot;" sourceLinked="0"/>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solidFill>
                <a:latin typeface="Aptos" panose="020B0004020202020204" pitchFamily="34" charset="0"/>
                <a:ea typeface="+mn-ea"/>
                <a:cs typeface="+mn-cs"/>
              </a:defRPr>
            </a:pPr>
            <a:endParaRPr lang="en-US"/>
          </a:p>
        </c:txPr>
        <c:crossAx val="1531504208"/>
        <c:crosses val="autoZero"/>
        <c:crossBetween val="between"/>
      </c:valAx>
      <c:spPr>
        <a:noFill/>
        <a:ln>
          <a:noFill/>
        </a:ln>
        <a:effectLst/>
      </c:spPr>
    </c:plotArea>
    <c:legend>
      <c:legendPos val="r"/>
      <c:layout>
        <c:manualLayout>
          <c:xMode val="edge"/>
          <c:yMode val="edge"/>
          <c:x val="0.64264082266485412"/>
          <c:y val="7.9312244498676798E-2"/>
          <c:w val="0.33898581940549571"/>
          <c:h val="0.30555263084052364"/>
        </c:manualLayout>
      </c:layout>
      <c:overlay val="0"/>
      <c:spPr>
        <a:noFill/>
        <a:ln>
          <a:noFill/>
        </a:ln>
        <a:effectLst/>
      </c:spPr>
      <c:txPr>
        <a:bodyPr rot="0" spcFirstLastPara="1" vertOverflow="ellipsis" vert="horz" wrap="square" anchor="ctr" anchorCtr="1"/>
        <a:lstStyle/>
        <a:p>
          <a:pPr>
            <a:defRPr lang="en-US" sz="1050" b="1"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bg1">
          <a:lumMod val="95000"/>
        </a:schemeClr>
      </a:fgClr>
      <a:bgClr>
        <a:schemeClr val="bg1"/>
      </a:bgClr>
    </a:pattFill>
    <a:ln w="9525" cap="flat" cmpd="sng" algn="ctr">
      <a:solidFill>
        <a:schemeClr val="tx1">
          <a:lumMod val="15000"/>
          <a:lumOff val="85000"/>
        </a:schemeClr>
      </a:solidFill>
      <a:round/>
    </a:ln>
    <a:effectLst/>
  </c:spPr>
  <c:txPr>
    <a:bodyPr/>
    <a:lstStyle/>
    <a:p>
      <a:pPr>
        <a:defRPr lang="en-US" sz="900" b="0" i="0" u="none" strike="noStrike" kern="1200" baseline="0">
          <a:solidFill>
            <a:schemeClr val="dk1"/>
          </a:solidFill>
          <a:latin typeface=""/>
          <a:ea typeface="+mn-ea"/>
          <a:cs typeface="+mn-cs"/>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0" normalizeH="0" baseline="0">
                <a:solidFill>
                  <a:schemeClr val="tx1">
                    <a:lumMod val="65000"/>
                    <a:lumOff val="35000"/>
                  </a:schemeClr>
                </a:solidFill>
                <a:latin typeface="Aptos" panose="020B0004020202020204" pitchFamily="34" charset="0"/>
                <a:ea typeface="+mj-ea"/>
                <a:cs typeface="+mj-cs"/>
              </a:defRPr>
            </a:pPr>
            <a:r>
              <a:rPr lang="en-US" sz="1800" b="1"/>
              <a:t>LL97 Net Savings</a:t>
            </a:r>
          </a:p>
        </c:rich>
      </c:tx>
      <c:layout>
        <c:manualLayout>
          <c:xMode val="edge"/>
          <c:yMode val="edge"/>
          <c:x val="2.0616172775803715E-2"/>
          <c:y val="1.9205223487213142E-2"/>
        </c:manualLayout>
      </c:layout>
      <c:overlay val="0"/>
      <c:spPr>
        <a:noFill/>
        <a:ln>
          <a:noFill/>
        </a:ln>
        <a:effectLst/>
      </c:spPr>
      <c:txPr>
        <a:bodyPr rot="0" spcFirstLastPara="1" vertOverflow="ellipsis" vert="horz" wrap="square" anchor="ctr" anchorCtr="1"/>
        <a:lstStyle/>
        <a:p>
          <a:pPr>
            <a:defRPr sz="1800" b="1" i="0" u="none" strike="noStrike" kern="1200" cap="none" spc="0" normalizeH="0" baseline="0">
              <a:solidFill>
                <a:schemeClr val="tx1">
                  <a:lumMod val="65000"/>
                  <a:lumOff val="35000"/>
                </a:schemeClr>
              </a:solidFill>
              <a:latin typeface="Aptos" panose="020B0004020202020204" pitchFamily="34" charset="0"/>
              <a:ea typeface="+mj-ea"/>
              <a:cs typeface="+mj-cs"/>
            </a:defRPr>
          </a:pPr>
          <a:endParaRPr lang="en-US"/>
        </a:p>
      </c:txPr>
    </c:title>
    <c:autoTitleDeleted val="0"/>
    <c:plotArea>
      <c:layout>
        <c:manualLayout>
          <c:layoutTarget val="inner"/>
          <c:xMode val="edge"/>
          <c:yMode val="edge"/>
          <c:x val="0.33619552078115672"/>
          <c:y val="0.11412252743751128"/>
          <c:w val="0.66277745216229"/>
          <c:h val="0.80004099355987734"/>
        </c:manualLayout>
      </c:layout>
      <c:barChart>
        <c:barDir val="col"/>
        <c:grouping val="stacked"/>
        <c:varyColors val="0"/>
        <c:ser>
          <c:idx val="0"/>
          <c:order val="0"/>
          <c:tx>
            <c:strRef>
              <c:f>'Pre-filled Sample-Old'!$K$47</c:f>
              <c:strCache>
                <c:ptCount val="1"/>
                <c:pt idx="0">
                  <c:v>Measure Cost ($)</c:v>
                </c:pt>
              </c:strCache>
            </c:strRef>
          </c:tx>
          <c:spPr>
            <a:solidFill>
              <a:schemeClr val="tx2"/>
            </a:solidFill>
            <a:ln>
              <a:noFill/>
            </a:ln>
            <a:effectLst/>
          </c:spPr>
          <c:invertIfNegative val="0"/>
          <c:cat>
            <c:numRef>
              <c:f>'Pre-filled Sample-Old'!$D$48:$D$78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Sample-Old'!$K$48:$K$77</c:f>
              <c:numCache>
                <c:formatCode>"$"#,##0</c:formatCode>
                <c:ptCount val="30"/>
                <c:pt idx="0">
                  <c:v>0</c:v>
                </c:pt>
                <c:pt idx="1">
                  <c:v>-262325</c:v>
                </c:pt>
                <c:pt idx="2">
                  <c:v>0</c:v>
                </c:pt>
                <c:pt idx="3">
                  <c:v>-64195</c:v>
                </c:pt>
                <c:pt idx="4">
                  <c:v>0</c:v>
                </c:pt>
                <c:pt idx="5">
                  <c:v>0</c:v>
                </c:pt>
                <c:pt idx="6">
                  <c:v>-178866</c:v>
                </c:pt>
                <c:pt idx="7">
                  <c:v>0</c:v>
                </c:pt>
                <c:pt idx="8">
                  <c:v>0</c:v>
                </c:pt>
                <c:pt idx="9">
                  <c:v>0</c:v>
                </c:pt>
                <c:pt idx="10">
                  <c:v>0</c:v>
                </c:pt>
                <c:pt idx="11">
                  <c:v>0</c:v>
                </c:pt>
                <c:pt idx="12">
                  <c:v>0</c:v>
                </c:pt>
                <c:pt idx="13">
                  <c:v>0</c:v>
                </c:pt>
                <c:pt idx="14">
                  <c:v>0</c:v>
                </c:pt>
                <c:pt idx="15">
                  <c:v>-481394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385F-4796-B582-9510CEA82168}"/>
            </c:ext>
          </c:extLst>
        </c:ser>
        <c:ser>
          <c:idx val="1"/>
          <c:order val="1"/>
          <c:tx>
            <c:strRef>
              <c:f>'Pre-filled Sample-Old'!$L$47</c:f>
              <c:strCache>
                <c:ptCount val="1"/>
                <c:pt idx="0">
                  <c:v>Utility Savings ($)</c:v>
                </c:pt>
              </c:strCache>
            </c:strRef>
          </c:tx>
          <c:spPr>
            <a:solidFill>
              <a:schemeClr val="accent6"/>
            </a:solidFill>
            <a:ln>
              <a:noFill/>
            </a:ln>
            <a:effectLst/>
          </c:spPr>
          <c:invertIfNegative val="0"/>
          <c:cat>
            <c:numRef>
              <c:f>'Pre-filled Sample-Old'!$D$48:$D$78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Sample-Old'!$L$48:$L$77</c:f>
              <c:numCache>
                <c:formatCode>"$"#,##0</c:formatCode>
                <c:ptCount val="30"/>
                <c:pt idx="0">
                  <c:v>0</c:v>
                </c:pt>
                <c:pt idx="1">
                  <c:v>35712</c:v>
                </c:pt>
                <c:pt idx="2">
                  <c:v>35712</c:v>
                </c:pt>
                <c:pt idx="3">
                  <c:v>39280</c:v>
                </c:pt>
                <c:pt idx="4">
                  <c:v>39280</c:v>
                </c:pt>
                <c:pt idx="5">
                  <c:v>39280</c:v>
                </c:pt>
                <c:pt idx="6">
                  <c:v>43594</c:v>
                </c:pt>
                <c:pt idx="7">
                  <c:v>43594</c:v>
                </c:pt>
                <c:pt idx="8">
                  <c:v>43594</c:v>
                </c:pt>
                <c:pt idx="9">
                  <c:v>43594</c:v>
                </c:pt>
                <c:pt idx="10">
                  <c:v>43594</c:v>
                </c:pt>
                <c:pt idx="11">
                  <c:v>43594</c:v>
                </c:pt>
                <c:pt idx="12">
                  <c:v>43594</c:v>
                </c:pt>
                <c:pt idx="13">
                  <c:v>43594</c:v>
                </c:pt>
                <c:pt idx="14">
                  <c:v>43594</c:v>
                </c:pt>
                <c:pt idx="15">
                  <c:v>31342</c:v>
                </c:pt>
                <c:pt idx="16">
                  <c:v>31342</c:v>
                </c:pt>
                <c:pt idx="17">
                  <c:v>31342</c:v>
                </c:pt>
                <c:pt idx="18">
                  <c:v>31342</c:v>
                </c:pt>
                <c:pt idx="19">
                  <c:v>31342</c:v>
                </c:pt>
                <c:pt idx="20">
                  <c:v>31342</c:v>
                </c:pt>
                <c:pt idx="21">
                  <c:v>31342</c:v>
                </c:pt>
                <c:pt idx="22">
                  <c:v>31342</c:v>
                </c:pt>
                <c:pt idx="23">
                  <c:v>31342</c:v>
                </c:pt>
                <c:pt idx="24">
                  <c:v>31342</c:v>
                </c:pt>
                <c:pt idx="25">
                  <c:v>31342</c:v>
                </c:pt>
                <c:pt idx="26">
                  <c:v>31342</c:v>
                </c:pt>
                <c:pt idx="27">
                  <c:v>0</c:v>
                </c:pt>
                <c:pt idx="28">
                  <c:v>0</c:v>
                </c:pt>
                <c:pt idx="29">
                  <c:v>0</c:v>
                </c:pt>
              </c:numCache>
            </c:numRef>
          </c:val>
          <c:extLst>
            <c:ext xmlns:c16="http://schemas.microsoft.com/office/drawing/2014/chart" uri="{C3380CC4-5D6E-409C-BE32-E72D297353CC}">
              <c16:uniqueId val="{00000001-385F-4796-B582-9510CEA82168}"/>
            </c:ext>
          </c:extLst>
        </c:ser>
        <c:ser>
          <c:idx val="6"/>
          <c:order val="2"/>
          <c:tx>
            <c:strRef>
              <c:f>'Pre-filled Sample-Old'!$AB$47</c:f>
              <c:strCache>
                <c:ptCount val="1"/>
                <c:pt idx="0">
                  <c:v>LL97 Penalty Avoided by Measures ($)</c:v>
                </c:pt>
              </c:strCache>
            </c:strRef>
          </c:tx>
          <c:spPr>
            <a:solidFill>
              <a:schemeClr val="accent2">
                <a:lumMod val="80000"/>
                <a:lumOff val="20000"/>
              </a:schemeClr>
            </a:solidFill>
            <a:ln>
              <a:noFill/>
            </a:ln>
            <a:effectLst/>
          </c:spPr>
          <c:invertIfNegative val="0"/>
          <c:cat>
            <c:numRef>
              <c:f>'Pre-filled Sample-Old'!$D$48:$D$78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Sample-Old'!$AB$48:$AB$77</c:f>
              <c:numCache>
                <c:formatCode>"$"#,##0</c:formatCode>
                <c:ptCount val="30"/>
                <c:pt idx="0">
                  <c:v>0</c:v>
                </c:pt>
                <c:pt idx="1">
                  <c:v>0</c:v>
                </c:pt>
                <c:pt idx="2">
                  <c:v>0</c:v>
                </c:pt>
                <c:pt idx="3">
                  <c:v>0</c:v>
                </c:pt>
                <c:pt idx="4">
                  <c:v>0</c:v>
                </c:pt>
                <c:pt idx="5">
                  <c:v>0</c:v>
                </c:pt>
                <c:pt idx="6">
                  <c:v>0</c:v>
                </c:pt>
                <c:pt idx="7">
                  <c:v>0</c:v>
                </c:pt>
                <c:pt idx="8">
                  <c:v>0</c:v>
                </c:pt>
                <c:pt idx="9">
                  <c:v>0</c:v>
                </c:pt>
                <c:pt idx="10">
                  <c:v>0</c:v>
                </c:pt>
                <c:pt idx="11">
                  <c:v>22386.321199000005</c:v>
                </c:pt>
                <c:pt idx="12">
                  <c:v>22386.321199000005</c:v>
                </c:pt>
                <c:pt idx="13">
                  <c:v>22386.321199000005</c:v>
                </c:pt>
                <c:pt idx="14">
                  <c:v>22386.321199000005</c:v>
                </c:pt>
                <c:pt idx="15">
                  <c:v>36721.506890799996</c:v>
                </c:pt>
                <c:pt idx="16">
                  <c:v>41575.640274799996</c:v>
                </c:pt>
                <c:pt idx="17">
                  <c:v>41575.640274799996</c:v>
                </c:pt>
                <c:pt idx="18">
                  <c:v>41575.640274799996</c:v>
                </c:pt>
                <c:pt idx="19">
                  <c:v>41575.640274799996</c:v>
                </c:pt>
                <c:pt idx="20">
                  <c:v>41575.640274799996</c:v>
                </c:pt>
                <c:pt idx="21">
                  <c:v>41575.640274799996</c:v>
                </c:pt>
                <c:pt idx="22">
                  <c:v>41575.640274799996</c:v>
                </c:pt>
                <c:pt idx="23">
                  <c:v>41575.640274799996</c:v>
                </c:pt>
                <c:pt idx="24">
                  <c:v>41575.640274799996</c:v>
                </c:pt>
                <c:pt idx="25">
                  <c:v>41575.640274799996</c:v>
                </c:pt>
                <c:pt idx="26">
                  <c:v>41632.929000000004</c:v>
                </c:pt>
                <c:pt idx="27">
                  <c:v>0</c:v>
                </c:pt>
                <c:pt idx="28">
                  <c:v>0</c:v>
                </c:pt>
                <c:pt idx="29">
                  <c:v>0</c:v>
                </c:pt>
              </c:numCache>
            </c:numRef>
          </c:val>
          <c:extLst>
            <c:ext xmlns:c16="http://schemas.microsoft.com/office/drawing/2014/chart" uri="{C3380CC4-5D6E-409C-BE32-E72D297353CC}">
              <c16:uniqueId val="{00000006-385F-4796-B582-9510CEA82168}"/>
            </c:ext>
          </c:extLst>
        </c:ser>
        <c:dLbls>
          <c:showLegendKey val="0"/>
          <c:showVal val="0"/>
          <c:showCatName val="0"/>
          <c:showSerName val="0"/>
          <c:showPercent val="0"/>
          <c:showBubbleSize val="0"/>
        </c:dLbls>
        <c:gapWidth val="20"/>
        <c:overlap val="100"/>
        <c:axId val="472722160"/>
        <c:axId val="472709200"/>
      </c:barChart>
      <c:lineChart>
        <c:grouping val="standard"/>
        <c:varyColors val="0"/>
        <c:ser>
          <c:idx val="4"/>
          <c:order val="4"/>
          <c:tx>
            <c:strRef>
              <c:f>'Pre-filled Sample-Old'!$AE$47</c:f>
              <c:strCache>
                <c:ptCount val="1"/>
                <c:pt idx="0">
                  <c:v>Cumulative Net Savings ($)</c:v>
                </c:pt>
              </c:strCache>
            </c:strRef>
          </c:tx>
          <c:spPr>
            <a:ln w="38100" cap="rnd" cmpd="sng">
              <a:solidFill>
                <a:schemeClr val="tx2"/>
              </a:solidFill>
              <a:round/>
            </a:ln>
            <a:effectLst>
              <a:outerShdw blurRad="50800" dist="50800" dir="5400000" algn="ctr" rotWithShape="0">
                <a:schemeClr val="tx2">
                  <a:lumMod val="60000"/>
                  <a:lumOff val="40000"/>
                </a:schemeClr>
              </a:outerShdw>
            </a:effectLst>
          </c:spPr>
          <c:marker>
            <c:symbol val="none"/>
          </c:marker>
          <c:cat>
            <c:numRef>
              <c:f>'Pre-filled Sample-Old'!$D$48:$D$78</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formatCode="0">
                  <c:v>#N/A</c:v>
                </c:pt>
              </c:numCache>
            </c:numRef>
          </c:cat>
          <c:val>
            <c:numRef>
              <c:f>'Pre-filled Sample-Old'!$AE$48:$AE$77</c:f>
              <c:numCache>
                <c:formatCode>"$"#,##0</c:formatCode>
                <c:ptCount val="30"/>
                <c:pt idx="0">
                  <c:v>0</c:v>
                </c:pt>
                <c:pt idx="1">
                  <c:v>-226613</c:v>
                </c:pt>
                <c:pt idx="2">
                  <c:v>-190901</c:v>
                </c:pt>
                <c:pt idx="3">
                  <c:v>-215816</c:v>
                </c:pt>
                <c:pt idx="4">
                  <c:v>-176536</c:v>
                </c:pt>
                <c:pt idx="5">
                  <c:v>-137256</c:v>
                </c:pt>
                <c:pt idx="6">
                  <c:v>-272528</c:v>
                </c:pt>
                <c:pt idx="7">
                  <c:v>-228934</c:v>
                </c:pt>
                <c:pt idx="8">
                  <c:v>-185340</c:v>
                </c:pt>
                <c:pt idx="9">
                  <c:v>-141746</c:v>
                </c:pt>
                <c:pt idx="10">
                  <c:v>-98152</c:v>
                </c:pt>
                <c:pt idx="11">
                  <c:v>-32171.678801000002</c:v>
                </c:pt>
                <c:pt idx="12">
                  <c:v>33808.642397999996</c:v>
                </c:pt>
                <c:pt idx="13">
                  <c:v>99788.963596999994</c:v>
                </c:pt>
                <c:pt idx="14">
                  <c:v>165769.28479599999</c:v>
                </c:pt>
                <c:pt idx="15">
                  <c:v>-247561.20831320004</c:v>
                </c:pt>
                <c:pt idx="16">
                  <c:v>-174643.56803840003</c:v>
                </c:pt>
                <c:pt idx="17">
                  <c:v>-101725.92776360003</c:v>
                </c:pt>
                <c:pt idx="18">
                  <c:v>-28808.287488800037</c:v>
                </c:pt>
                <c:pt idx="19">
                  <c:v>44109.352785999959</c:v>
                </c:pt>
                <c:pt idx="20">
                  <c:v>117026.99306079996</c:v>
                </c:pt>
                <c:pt idx="21">
                  <c:v>189944.63333559997</c:v>
                </c:pt>
                <c:pt idx="22">
                  <c:v>262862.27361039998</c:v>
                </c:pt>
                <c:pt idx="23">
                  <c:v>335779.91388519999</c:v>
                </c:pt>
                <c:pt idx="24">
                  <c:v>408697.55416</c:v>
                </c:pt>
                <c:pt idx="25">
                  <c:v>481615.19443480001</c:v>
                </c:pt>
                <c:pt idx="26">
                  <c:v>554590.12343479996</c:v>
                </c:pt>
                <c:pt idx="27">
                  <c:v>#N/A</c:v>
                </c:pt>
                <c:pt idx="28">
                  <c:v>#N/A</c:v>
                </c:pt>
                <c:pt idx="29">
                  <c:v>#N/A</c:v>
                </c:pt>
              </c:numCache>
            </c:numRef>
          </c:val>
          <c:smooth val="0"/>
          <c:extLst>
            <c:ext xmlns:c16="http://schemas.microsoft.com/office/drawing/2014/chart" uri="{C3380CC4-5D6E-409C-BE32-E72D297353CC}">
              <c16:uniqueId val="{00000004-385F-4796-B582-9510CEA82168}"/>
            </c:ext>
          </c:extLst>
        </c:ser>
        <c:dLbls>
          <c:showLegendKey val="0"/>
          <c:showVal val="0"/>
          <c:showCatName val="0"/>
          <c:showSerName val="0"/>
          <c:showPercent val="0"/>
          <c:showBubbleSize val="0"/>
        </c:dLbls>
        <c:marker val="1"/>
        <c:smooth val="0"/>
        <c:axId val="472722160"/>
        <c:axId val="472709200"/>
      </c:lineChart>
      <c:scatterChart>
        <c:scatterStyle val="lineMarker"/>
        <c:varyColors val="0"/>
        <c:ser>
          <c:idx val="5"/>
          <c:order val="3"/>
          <c:tx>
            <c:v>Break-Even Year</c:v>
          </c:tx>
          <c:spPr>
            <a:ln w="25400" cap="rnd">
              <a:noFill/>
              <a:round/>
            </a:ln>
            <a:effectLst/>
          </c:spPr>
          <c:marker>
            <c:symbol val="circle"/>
            <c:size val="12"/>
            <c:spPr>
              <a:solidFill>
                <a:schemeClr val="bg1">
                  <a:alpha val="75000"/>
                </a:schemeClr>
              </a:solidFill>
              <a:ln w="34925">
                <a:solidFill>
                  <a:schemeClr val="accent1">
                    <a:alpha val="98000"/>
                  </a:schemeClr>
                </a:solidFill>
              </a:ln>
              <a:effectLst/>
            </c:spPr>
          </c:marker>
          <c:xVal>
            <c:numRef>
              <c:f>'Pre-filled Sample-Old'!$E$93</c:f>
              <c:numCache>
                <c:formatCode>General</c:formatCode>
                <c:ptCount val="1"/>
                <c:pt idx="0">
                  <c:v>2043</c:v>
                </c:pt>
              </c:numCache>
            </c:numRef>
          </c:xVal>
          <c:yVal>
            <c:numLit>
              <c:formatCode>General</c:formatCode>
              <c:ptCount val="1"/>
              <c:pt idx="0">
                <c:v>0</c:v>
              </c:pt>
            </c:numLit>
          </c:yVal>
          <c:smooth val="0"/>
          <c:extLst>
            <c:ext xmlns:c16="http://schemas.microsoft.com/office/drawing/2014/chart" uri="{C3380CC4-5D6E-409C-BE32-E72D297353CC}">
              <c16:uniqueId val="{00000005-385F-4796-B582-9510CEA82168}"/>
            </c:ext>
          </c:extLst>
        </c:ser>
        <c:dLbls>
          <c:showLegendKey val="0"/>
          <c:showVal val="0"/>
          <c:showCatName val="0"/>
          <c:showSerName val="0"/>
          <c:showPercent val="0"/>
          <c:showBubbleSize val="0"/>
        </c:dLbls>
        <c:axId val="472722160"/>
        <c:axId val="472709200"/>
      </c:scatterChart>
      <c:dateAx>
        <c:axId val="47272216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cap="none" spc="0" normalizeH="0" baseline="0">
                <a:solidFill>
                  <a:schemeClr val="tx1">
                    <a:lumMod val="65000"/>
                    <a:lumOff val="35000"/>
                  </a:schemeClr>
                </a:solidFill>
                <a:latin typeface="Aptos" panose="020B0004020202020204" pitchFamily="34" charset="0"/>
                <a:ea typeface="+mn-ea"/>
                <a:cs typeface="+mn-cs"/>
              </a:defRPr>
            </a:pPr>
            <a:endParaRPr lang="en-US"/>
          </a:p>
        </c:txPr>
        <c:crossAx val="472709200"/>
        <c:crosses val="autoZero"/>
        <c:auto val="0"/>
        <c:lblOffset val="100"/>
        <c:baseTimeUnit val="days"/>
      </c:dateAx>
      <c:valAx>
        <c:axId val="4727092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Color10]&quot;$&quot;#,##0.0,,&quot;M&quot;;[Color54]\-&quot;$&quot;#,##0.0,,&quot;M&quot;;&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472722160"/>
        <c:crosses val="autoZero"/>
        <c:crossBetween val="between"/>
      </c:valAx>
      <c:spPr>
        <a:noFill/>
        <a:ln>
          <a:noFill/>
        </a:ln>
        <a:effectLst/>
      </c:spPr>
    </c:plotArea>
    <c:legend>
      <c:legendPos val="t"/>
      <c:layout>
        <c:manualLayout>
          <c:xMode val="edge"/>
          <c:yMode val="edge"/>
          <c:x val="1.3393863023758461E-2"/>
          <c:y val="0.14107704672979168"/>
          <c:w val="0.2603961932378438"/>
          <c:h val="0.74406397890154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800" b="1" i="0" u="none" strike="noStrike" kern="1200" spc="0" baseline="0">
                <a:solidFill>
                  <a:schemeClr val="tx1">
                    <a:lumMod val="65000"/>
                    <a:lumOff val="35000"/>
                  </a:schemeClr>
                </a:solidFill>
                <a:latin typeface="Aptos" panose="020B0004020202020204" pitchFamily="34" charset="0"/>
                <a:ea typeface="+mn-ea"/>
                <a:cs typeface="+mn-cs"/>
              </a:defRPr>
            </a:pPr>
            <a:r>
              <a:rPr lang="en-US" sz="1800" b="1"/>
              <a:t>LL97 Compliance and Penalty</a:t>
            </a:r>
            <a:r>
              <a:rPr lang="en-US" sz="1800" b="1" baseline="0"/>
              <a:t> Exposure</a:t>
            </a:r>
            <a:endParaRPr lang="en-US" sz="1800" b="1"/>
          </a:p>
        </c:rich>
      </c:tx>
      <c:layout>
        <c:manualLayout>
          <c:xMode val="edge"/>
          <c:yMode val="edge"/>
          <c:x val="2.6243099220722724E-2"/>
          <c:y val="2.9187581098828668E-2"/>
        </c:manualLayout>
      </c:layout>
      <c:overlay val="0"/>
      <c:spPr>
        <a:noFill/>
        <a:ln>
          <a:noFill/>
        </a:ln>
        <a:effectLst/>
      </c:spPr>
      <c:txPr>
        <a:bodyPr rot="0" spcFirstLastPara="1" vertOverflow="ellipsis" vert="horz" wrap="square" anchor="ctr" anchorCtr="1"/>
        <a:lstStyle/>
        <a:p>
          <a:pPr algn="ctr" rtl="0">
            <a:defRPr sz="1800" b="1" i="0" u="none" strike="noStrike" kern="1200" spc="0" baseline="0">
              <a:solidFill>
                <a:schemeClr val="tx1">
                  <a:lumMod val="65000"/>
                  <a:lumOff val="35000"/>
                </a:schemeClr>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0.33896786010354796"/>
          <c:y val="0.14947347820899218"/>
          <c:w val="0.63933208266431818"/>
          <c:h val="0.72734414120552382"/>
        </c:manualLayout>
      </c:layout>
      <c:barChart>
        <c:barDir val="col"/>
        <c:grouping val="stacked"/>
        <c:varyColors val="0"/>
        <c:ser>
          <c:idx val="1"/>
          <c:order val="2"/>
          <c:tx>
            <c:strRef>
              <c:f>'Pre-filled Sample-Old'!$T$47</c:f>
              <c:strCache>
                <c:ptCount val="1"/>
                <c:pt idx="0">
                  <c:v>LL97 Emissions After Measures</c:v>
                </c:pt>
              </c:strCache>
            </c:strRef>
          </c:tx>
          <c:spPr>
            <a:solidFill>
              <a:schemeClr val="bg1">
                <a:lumMod val="65000"/>
              </a:schemeClr>
            </a:solidFill>
            <a:ln>
              <a:noFill/>
            </a:ln>
            <a:effectLst>
              <a:outerShdw blurRad="50800" dist="12700" dir="18900000" algn="bl" rotWithShape="0">
                <a:prstClr val="black">
                  <a:alpha val="20000"/>
                </a:prstClr>
              </a:outerShdw>
            </a:effectLst>
          </c:spPr>
          <c:invertIfNegative val="0"/>
          <c:dLbls>
            <c:dLbl>
              <c:idx val="0"/>
              <c:tx>
                <c:rich>
                  <a:bodyPr/>
                  <a:lstStyle/>
                  <a:p>
                    <a:fld id="{134251E0-1410-4165-925F-F965D8E6D5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71A-43A2-B800-980DD2695122}"/>
                </c:ext>
              </c:extLst>
            </c:dLbl>
            <c:dLbl>
              <c:idx val="1"/>
              <c:tx>
                <c:rich>
                  <a:bodyPr/>
                  <a:lstStyle/>
                  <a:p>
                    <a:fld id="{A3CF3901-AB5E-458C-9099-85B039B08B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71A-43A2-B800-980DD2695122}"/>
                </c:ext>
              </c:extLst>
            </c:dLbl>
            <c:dLbl>
              <c:idx val="2"/>
              <c:tx>
                <c:rich>
                  <a:bodyPr/>
                  <a:lstStyle/>
                  <a:p>
                    <a:fld id="{C0ECE86C-BF6D-4738-A8A2-ADB897BDDE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71A-43A2-B800-980DD2695122}"/>
                </c:ext>
              </c:extLst>
            </c:dLbl>
            <c:dLbl>
              <c:idx val="3"/>
              <c:tx>
                <c:rich>
                  <a:bodyPr/>
                  <a:lstStyle/>
                  <a:p>
                    <a:fld id="{54DDB23D-5F12-4278-A737-F622A342E6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71A-43A2-B800-980DD2695122}"/>
                </c:ext>
              </c:extLst>
            </c:dLbl>
            <c:dLbl>
              <c:idx val="4"/>
              <c:tx>
                <c:rich>
                  <a:bodyPr/>
                  <a:lstStyle/>
                  <a:p>
                    <a:fld id="{DD3A1ECA-5A8B-4639-8C06-3310CA4056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71A-43A2-B800-980DD2695122}"/>
                </c:ext>
              </c:extLst>
            </c:dLbl>
            <c:dLbl>
              <c:idx val="5"/>
              <c:tx>
                <c:rich>
                  <a:bodyPr/>
                  <a:lstStyle/>
                  <a:p>
                    <a:fld id="{D3658EA6-8A23-425B-87EA-6E35DDF30C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71A-43A2-B800-980DD2695122}"/>
                </c:ext>
              </c:extLst>
            </c:dLbl>
            <c:dLbl>
              <c:idx val="6"/>
              <c:tx>
                <c:rich>
                  <a:bodyPr/>
                  <a:lstStyle/>
                  <a:p>
                    <a:fld id="{8D6E7D7F-7370-4893-BAFA-1A171E82FD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71A-43A2-B800-980DD2695122}"/>
                </c:ext>
              </c:extLst>
            </c:dLbl>
            <c:dLbl>
              <c:idx val="7"/>
              <c:tx>
                <c:rich>
                  <a:bodyPr/>
                  <a:lstStyle/>
                  <a:p>
                    <a:fld id="{DE70F931-137B-4D54-8D1A-B202817A35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71A-43A2-B800-980DD2695122}"/>
                </c:ext>
              </c:extLst>
            </c:dLbl>
            <c:dLbl>
              <c:idx val="8"/>
              <c:tx>
                <c:rich>
                  <a:bodyPr/>
                  <a:lstStyle/>
                  <a:p>
                    <a:fld id="{3D3B4912-8684-403E-A725-4831082FC7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71A-43A2-B800-980DD2695122}"/>
                </c:ext>
              </c:extLst>
            </c:dLbl>
            <c:dLbl>
              <c:idx val="9"/>
              <c:tx>
                <c:rich>
                  <a:bodyPr/>
                  <a:lstStyle/>
                  <a:p>
                    <a:fld id="{1C618ABE-9D80-44B6-97D5-7274376CE3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71A-43A2-B800-980DD2695122}"/>
                </c:ext>
              </c:extLst>
            </c:dLbl>
            <c:dLbl>
              <c:idx val="10"/>
              <c:tx>
                <c:rich>
                  <a:bodyPr/>
                  <a:lstStyle/>
                  <a:p>
                    <a:fld id="{232ACFF8-A081-414C-8C2B-866F19EC8E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71A-43A2-B800-980DD2695122}"/>
                </c:ext>
              </c:extLst>
            </c:dLbl>
            <c:dLbl>
              <c:idx val="11"/>
              <c:tx>
                <c:rich>
                  <a:bodyPr/>
                  <a:lstStyle/>
                  <a:p>
                    <a:fld id="{34A4B5FB-A08C-40A3-8C24-CD8C5E3925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71A-43A2-B800-980DD2695122}"/>
                </c:ext>
              </c:extLst>
            </c:dLbl>
            <c:dLbl>
              <c:idx val="12"/>
              <c:tx>
                <c:rich>
                  <a:bodyPr/>
                  <a:lstStyle/>
                  <a:p>
                    <a:fld id="{2F99D5CA-4594-4CAC-B894-44448D52E0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71A-43A2-B800-980DD2695122}"/>
                </c:ext>
              </c:extLst>
            </c:dLbl>
            <c:dLbl>
              <c:idx val="13"/>
              <c:tx>
                <c:rich>
                  <a:bodyPr/>
                  <a:lstStyle/>
                  <a:p>
                    <a:fld id="{3A1331C9-5D4D-4E01-A939-502B6960E7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71A-43A2-B800-980DD2695122}"/>
                </c:ext>
              </c:extLst>
            </c:dLbl>
            <c:dLbl>
              <c:idx val="14"/>
              <c:tx>
                <c:rich>
                  <a:bodyPr/>
                  <a:lstStyle/>
                  <a:p>
                    <a:fld id="{BFA6CE70-D31B-4059-8A63-A72A623DF4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71A-43A2-B800-980DD2695122}"/>
                </c:ext>
              </c:extLst>
            </c:dLbl>
            <c:dLbl>
              <c:idx val="15"/>
              <c:tx>
                <c:rich>
                  <a:bodyPr/>
                  <a:lstStyle/>
                  <a:p>
                    <a:fld id="{33BBC17A-753D-480A-AAE1-92536E532C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71A-43A2-B800-980DD2695122}"/>
                </c:ext>
              </c:extLst>
            </c:dLbl>
            <c:dLbl>
              <c:idx val="16"/>
              <c:tx>
                <c:rich>
                  <a:bodyPr/>
                  <a:lstStyle/>
                  <a:p>
                    <a:fld id="{A57BD7CF-6D62-417C-94C2-2BCD7246CF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71A-43A2-B800-980DD2695122}"/>
                </c:ext>
              </c:extLst>
            </c:dLbl>
            <c:dLbl>
              <c:idx val="17"/>
              <c:tx>
                <c:rich>
                  <a:bodyPr/>
                  <a:lstStyle/>
                  <a:p>
                    <a:fld id="{65BD03DE-3E23-4393-A48F-7AC08B69B7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71A-43A2-B800-980DD2695122}"/>
                </c:ext>
              </c:extLst>
            </c:dLbl>
            <c:dLbl>
              <c:idx val="18"/>
              <c:tx>
                <c:rich>
                  <a:bodyPr/>
                  <a:lstStyle/>
                  <a:p>
                    <a:fld id="{F8563EA8-075C-4D75-BC5C-710B365394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71A-43A2-B800-980DD2695122}"/>
                </c:ext>
              </c:extLst>
            </c:dLbl>
            <c:dLbl>
              <c:idx val="19"/>
              <c:tx>
                <c:rich>
                  <a:bodyPr/>
                  <a:lstStyle/>
                  <a:p>
                    <a:fld id="{84D7370D-D50E-4E1E-8F46-B36533F197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71A-43A2-B800-980DD2695122}"/>
                </c:ext>
              </c:extLst>
            </c:dLbl>
            <c:dLbl>
              <c:idx val="20"/>
              <c:tx>
                <c:rich>
                  <a:bodyPr/>
                  <a:lstStyle/>
                  <a:p>
                    <a:fld id="{773F0463-DA42-4B36-AE03-7001C9D9CC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71A-43A2-B800-980DD2695122}"/>
                </c:ext>
              </c:extLst>
            </c:dLbl>
            <c:dLbl>
              <c:idx val="21"/>
              <c:tx>
                <c:rich>
                  <a:bodyPr/>
                  <a:lstStyle/>
                  <a:p>
                    <a:fld id="{31F84273-4959-456C-B95F-AB412FEB94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71A-43A2-B800-980DD2695122}"/>
                </c:ext>
              </c:extLst>
            </c:dLbl>
            <c:dLbl>
              <c:idx val="22"/>
              <c:tx>
                <c:rich>
                  <a:bodyPr/>
                  <a:lstStyle/>
                  <a:p>
                    <a:fld id="{30FE4653-EA38-49CE-AF60-0607A39E7F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71A-43A2-B800-980DD2695122}"/>
                </c:ext>
              </c:extLst>
            </c:dLbl>
            <c:dLbl>
              <c:idx val="23"/>
              <c:tx>
                <c:rich>
                  <a:bodyPr/>
                  <a:lstStyle/>
                  <a:p>
                    <a:fld id="{E6CEDF2F-7C17-4C05-9C73-2A2D80255E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71A-43A2-B800-980DD2695122}"/>
                </c:ext>
              </c:extLst>
            </c:dLbl>
            <c:dLbl>
              <c:idx val="24"/>
              <c:tx>
                <c:rich>
                  <a:bodyPr/>
                  <a:lstStyle/>
                  <a:p>
                    <a:fld id="{00BB4CD8-23D4-4309-8D67-BBB8AD9808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71A-43A2-B800-980DD2695122}"/>
                </c:ext>
              </c:extLst>
            </c:dLbl>
            <c:dLbl>
              <c:idx val="25"/>
              <c:tx>
                <c:rich>
                  <a:bodyPr/>
                  <a:lstStyle/>
                  <a:p>
                    <a:fld id="{1DF4C5DB-675A-4069-AA3A-CCB4B7C7B0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71A-43A2-B800-980DD2695122}"/>
                </c:ext>
              </c:extLst>
            </c:dLbl>
            <c:dLbl>
              <c:idx val="26"/>
              <c:tx>
                <c:rich>
                  <a:bodyPr/>
                  <a:lstStyle/>
                  <a:p>
                    <a:fld id="{B08AF7FD-C455-4E7A-9D73-2C282054E3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71A-43A2-B800-980DD2695122}"/>
                </c:ext>
              </c:extLst>
            </c:dLbl>
            <c:dLbl>
              <c:idx val="27"/>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671A-43A2-B800-980DD2695122}"/>
                </c:ext>
              </c:extLst>
            </c:dLbl>
            <c:dLbl>
              <c:idx val="28"/>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988C-44FC-93FC-5BA63451CCC9}"/>
                </c:ext>
              </c:extLst>
            </c:dLbl>
            <c:dLbl>
              <c:idx val="29"/>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988C-44FC-93FC-5BA63451CCC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'Pre-filled Sample-Old'!$AG$48:$AG$77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Sample-Old'!$T$48:$T$77</c:f>
              <c:numCache>
                <c:formatCode>_(* #,##0_);_(* \(#,##0\);_(* "-"??_);_(@_)</c:formatCode>
                <c:ptCount val="30"/>
                <c:pt idx="0">
                  <c:v>398.21067475599995</c:v>
                </c:pt>
                <c:pt idx="1">
                  <c:v>319.57400890599996</c:v>
                </c:pt>
                <c:pt idx="2">
                  <c:v>319.57400890599996</c:v>
                </c:pt>
                <c:pt idx="3">
                  <c:v>298.49273685599996</c:v>
                </c:pt>
                <c:pt idx="4">
                  <c:v>298.49273685599996</c:v>
                </c:pt>
                <c:pt idx="5">
                  <c:v>298.49273685599996</c:v>
                </c:pt>
                <c:pt idx="6">
                  <c:v>224.43348399999999</c:v>
                </c:pt>
                <c:pt idx="7">
                  <c:v>224.43348399999999</c:v>
                </c:pt>
                <c:pt idx="8">
                  <c:v>224.43348399999999</c:v>
                </c:pt>
                <c:pt idx="9">
                  <c:v>224.43348399999999</c:v>
                </c:pt>
                <c:pt idx="10">
                  <c:v>224.43348399999999</c:v>
                </c:pt>
                <c:pt idx="11">
                  <c:v>210.04169024999999</c:v>
                </c:pt>
                <c:pt idx="12">
                  <c:v>210.04169024999999</c:v>
                </c:pt>
                <c:pt idx="13">
                  <c:v>210.04169024999999</c:v>
                </c:pt>
                <c:pt idx="14">
                  <c:v>210.04169024999999</c:v>
                </c:pt>
                <c:pt idx="15">
                  <c:v>137.06573574999999</c:v>
                </c:pt>
                <c:pt idx="16">
                  <c:v>116.4043595</c:v>
                </c:pt>
                <c:pt idx="17">
                  <c:v>116.4043595</c:v>
                </c:pt>
                <c:pt idx="18">
                  <c:v>116.4043595</c:v>
                </c:pt>
                <c:pt idx="19">
                  <c:v>116.4043595</c:v>
                </c:pt>
                <c:pt idx="20">
                  <c:v>116.4043595</c:v>
                </c:pt>
                <c:pt idx="21">
                  <c:v>116.4043595</c:v>
                </c:pt>
                <c:pt idx="22">
                  <c:v>116.4043595</c:v>
                </c:pt>
                <c:pt idx="23">
                  <c:v>116.4043595</c:v>
                </c:pt>
                <c:pt idx="24">
                  <c:v>116.4043595</c:v>
                </c:pt>
                <c:pt idx="25">
                  <c:v>116.4043595</c:v>
                </c:pt>
                <c:pt idx="26">
                  <c:v>75.081606999999991</c:v>
                </c:pt>
                <c:pt idx="27">
                  <c:v>#N/A</c:v>
                </c:pt>
                <c:pt idx="28">
                  <c:v>#N/A</c:v>
                </c:pt>
                <c:pt idx="29">
                  <c:v>#N/A</c:v>
                </c:pt>
              </c:numCache>
            </c:numRef>
          </c:val>
          <c:extLst>
            <c:ext xmlns:c15="http://schemas.microsoft.com/office/drawing/2012/chart" uri="{02D57815-91ED-43cb-92C2-25804820EDAC}">
              <c15:datalabelsRange>
                <c15:f>'Pre-filled Sample-Old'!$AC$48:$AC$77</c15:f>
                <c15:dlblRangeCache>
                  <c:ptCount val="30"/>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15:dlblRangeCache>
              </c15:datalabelsRange>
            </c:ext>
            <c:ext xmlns:c16="http://schemas.microsoft.com/office/drawing/2014/chart" uri="{C3380CC4-5D6E-409C-BE32-E72D297353CC}">
              <c16:uniqueId val="{00000000-671A-43A2-B800-980DD2695122}"/>
            </c:ext>
          </c:extLst>
        </c:ser>
        <c:ser>
          <c:idx val="3"/>
          <c:order val="3"/>
          <c:tx>
            <c:strRef>
              <c:f>'Pre-filled Sample-Old'!$Y$47</c:f>
              <c:strCache>
                <c:ptCount val="1"/>
                <c:pt idx="0">
                  <c:v>LL97 Emissions Reduced by Measures</c:v>
                </c:pt>
              </c:strCache>
            </c:strRef>
          </c:tx>
          <c:spPr>
            <a:pattFill prst="dkDnDiag">
              <a:fgClr>
                <a:schemeClr val="tx2">
                  <a:lumMod val="20000"/>
                  <a:lumOff val="80000"/>
                </a:schemeClr>
              </a:fgClr>
              <a:bgClr>
                <a:schemeClr val="accent1"/>
              </a:bgClr>
            </a:pattFill>
            <a:ln>
              <a:noFill/>
            </a:ln>
            <a:effectLst>
              <a:outerShdw blurRad="50800" dist="50800" dir="5400000" algn="ctr" rotWithShape="0">
                <a:schemeClr val="bg1">
                  <a:lumMod val="85000"/>
                </a:schemeClr>
              </a:outerShdw>
            </a:effectLst>
          </c:spPr>
          <c:invertIfNegative val="0"/>
          <c:cat>
            <c:numRef>
              <c:f>'Pre-filled Sample-Old'!$AG$48:$AG$77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Sample-Old'!$Y$48:$Y$77</c:f>
              <c:numCache>
                <c:formatCode>_(* #,##0_);_(* \(#,##0\);_(* "-"??_);_(@_)</c:formatCode>
                <c:ptCount val="30"/>
                <c:pt idx="0">
                  <c:v>0</c:v>
                </c:pt>
                <c:pt idx="1">
                  <c:v>78.636665849999986</c:v>
                </c:pt>
                <c:pt idx="2">
                  <c:v>78.636665849999986</c:v>
                </c:pt>
                <c:pt idx="3">
                  <c:v>99.717937899999981</c:v>
                </c:pt>
                <c:pt idx="4">
                  <c:v>99.717937899999981</c:v>
                </c:pt>
                <c:pt idx="5">
                  <c:v>99.717937899999981</c:v>
                </c:pt>
                <c:pt idx="6">
                  <c:v>90.187382999999983</c:v>
                </c:pt>
                <c:pt idx="7">
                  <c:v>90.187382999999983</c:v>
                </c:pt>
                <c:pt idx="8">
                  <c:v>90.187382999999983</c:v>
                </c:pt>
                <c:pt idx="9">
                  <c:v>90.187382999999983</c:v>
                </c:pt>
                <c:pt idx="10">
                  <c:v>90.187382999999983</c:v>
                </c:pt>
                <c:pt idx="11">
                  <c:v>83.531049250000024</c:v>
                </c:pt>
                <c:pt idx="12">
                  <c:v>83.531049250000024</c:v>
                </c:pt>
                <c:pt idx="13">
                  <c:v>83.531049250000024</c:v>
                </c:pt>
                <c:pt idx="14">
                  <c:v>83.531049250000024</c:v>
                </c:pt>
                <c:pt idx="15">
                  <c:v>156.50700375000002</c:v>
                </c:pt>
                <c:pt idx="16">
                  <c:v>156.12025249999999</c:v>
                </c:pt>
                <c:pt idx="17">
                  <c:v>156.12025249999999</c:v>
                </c:pt>
                <c:pt idx="18">
                  <c:v>156.12025249999999</c:v>
                </c:pt>
                <c:pt idx="19">
                  <c:v>156.12025249999999</c:v>
                </c:pt>
                <c:pt idx="20">
                  <c:v>156.12025249999999</c:v>
                </c:pt>
                <c:pt idx="21">
                  <c:v>156.12025249999999</c:v>
                </c:pt>
                <c:pt idx="22">
                  <c:v>156.12025249999999</c:v>
                </c:pt>
                <c:pt idx="23">
                  <c:v>156.12025249999999</c:v>
                </c:pt>
                <c:pt idx="24">
                  <c:v>156.12025249999999</c:v>
                </c:pt>
                <c:pt idx="25">
                  <c:v>156.12025249999999</c:v>
                </c:pt>
                <c:pt idx="26">
                  <c:v>155.34675000000001</c:v>
                </c:pt>
                <c:pt idx="27">
                  <c:v>#N/A</c:v>
                </c:pt>
                <c:pt idx="28">
                  <c:v>#N/A</c:v>
                </c:pt>
                <c:pt idx="29">
                  <c:v>#N/A</c:v>
                </c:pt>
              </c:numCache>
            </c:numRef>
          </c:val>
          <c:extLst>
            <c:ext xmlns:c16="http://schemas.microsoft.com/office/drawing/2014/chart" uri="{C3380CC4-5D6E-409C-BE32-E72D297353CC}">
              <c16:uniqueId val="{00000001-671A-43A2-B800-980DD2695122}"/>
            </c:ext>
          </c:extLst>
        </c:ser>
        <c:dLbls>
          <c:showLegendKey val="0"/>
          <c:showVal val="0"/>
          <c:showCatName val="0"/>
          <c:showSerName val="0"/>
          <c:showPercent val="0"/>
          <c:showBubbleSize val="0"/>
        </c:dLbls>
        <c:gapWidth val="20"/>
        <c:overlap val="100"/>
        <c:axId val="369417984"/>
        <c:axId val="369439200"/>
      </c:barChart>
      <c:scatterChart>
        <c:scatterStyle val="lineMarker"/>
        <c:varyColors val="0"/>
        <c:ser>
          <c:idx val="2"/>
          <c:order val="0"/>
          <c:tx>
            <c:strRef>
              <c:f>'Pre-filled Sample-Old'!$U$47</c:f>
              <c:strCache>
                <c:ptCount val="1"/>
                <c:pt idx="0">
                  <c:v>LL97 Emissions Limit (tCO2e)</c:v>
                </c:pt>
              </c:strCache>
            </c:strRef>
          </c:tx>
          <c:spPr>
            <a:ln w="28575" cap="rnd">
              <a:noFill/>
              <a:round/>
            </a:ln>
            <a:effectLst/>
          </c:spPr>
          <c:marker>
            <c:symbol val="dash"/>
            <c:size val="17"/>
            <c:spPr>
              <a:solidFill>
                <a:srgbClr val="C00000">
                  <a:alpha val="60000"/>
                </a:srgbClr>
              </a:solidFill>
              <a:ln w="9525">
                <a:noFill/>
              </a:ln>
              <a:effectLst/>
            </c:spPr>
          </c:marker>
          <c:xVal>
            <c:numRef>
              <c:f>'Pre-filled Sample-Old'!$AG$48:$AG$77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xVal>
          <c:yVal>
            <c:numRef>
              <c:f>'Pre-filled Sample-Old'!$U$48:$U$77</c:f>
              <c:numCache>
                <c:formatCode>_(* #,##0_);_(* \(#,##0\);_(* "-"??_);_(@_)</c:formatCode>
                <c:ptCount val="30"/>
                <c:pt idx="0">
                  <c:v>#N/A</c:v>
                </c:pt>
                <c:pt idx="1">
                  <c:v>#N/A</c:v>
                </c:pt>
                <c:pt idx="2">
                  <c:v>#N/A</c:v>
                </c:pt>
                <c:pt idx="3">
                  <c:v>#N/A</c:v>
                </c:pt>
                <c:pt idx="4">
                  <c:v>#N/A</c:v>
                </c:pt>
                <c:pt idx="5">
                  <c:v>#N/A</c:v>
                </c:pt>
                <c:pt idx="6">
                  <c:v>#N/A</c:v>
                </c:pt>
                <c:pt idx="7">
                  <c:v>#N/A</c:v>
                </c:pt>
                <c:pt idx="8">
                  <c:v>#N/A</c:v>
                </c:pt>
                <c:pt idx="9">
                  <c:v>#N/A</c:v>
                </c:pt>
                <c:pt idx="10">
                  <c:v>#N/A</c:v>
                </c:pt>
                <c:pt idx="11">
                  <c:v>156.55219140000003</c:v>
                </c:pt>
                <c:pt idx="12">
                  <c:v>156.55219140000003</c:v>
                </c:pt>
                <c:pt idx="13">
                  <c:v>156.55219140000003</c:v>
                </c:pt>
                <c:pt idx="14">
                  <c:v>156.55219140000003</c:v>
                </c:pt>
                <c:pt idx="15">
                  <c:v>156.55219140000003</c:v>
                </c:pt>
                <c:pt idx="16">
                  <c:v>117.39162589999999</c:v>
                </c:pt>
                <c:pt idx="17">
                  <c:v>117.39162589999999</c:v>
                </c:pt>
                <c:pt idx="18">
                  <c:v>117.39162589999999</c:v>
                </c:pt>
                <c:pt idx="19">
                  <c:v>117.39162589999999</c:v>
                </c:pt>
                <c:pt idx="20">
                  <c:v>117.39162589999999</c:v>
                </c:pt>
                <c:pt idx="21">
                  <c:v>117.39162589999999</c:v>
                </c:pt>
                <c:pt idx="22">
                  <c:v>117.39162589999999</c:v>
                </c:pt>
                <c:pt idx="23">
                  <c:v>117.39162589999999</c:v>
                </c:pt>
                <c:pt idx="24">
                  <c:v>117.39162589999999</c:v>
                </c:pt>
                <c:pt idx="25">
                  <c:v>117.39162589999999</c:v>
                </c:pt>
                <c:pt idx="26">
                  <c:v>0</c:v>
                </c:pt>
                <c:pt idx="27">
                  <c:v>#N/A</c:v>
                </c:pt>
                <c:pt idx="28">
                  <c:v>#N/A</c:v>
                </c:pt>
                <c:pt idx="29">
                  <c:v>#N/A</c:v>
                </c:pt>
              </c:numCache>
            </c:numRef>
          </c:yVal>
          <c:smooth val="0"/>
          <c:extLst>
            <c:ext xmlns:c16="http://schemas.microsoft.com/office/drawing/2014/chart" uri="{C3380CC4-5D6E-409C-BE32-E72D297353CC}">
              <c16:uniqueId val="{00000009-B75F-40D8-AA89-863730D430A2}"/>
            </c:ext>
          </c:extLst>
        </c:ser>
        <c:ser>
          <c:idx val="0"/>
          <c:order val="1"/>
          <c:tx>
            <c:v>Penalty Mark</c:v>
          </c:tx>
          <c:spPr>
            <a:ln w="28575" cap="rnd">
              <a:noFill/>
              <a:round/>
            </a:ln>
            <a:effectLst/>
          </c:spPr>
          <c:marker>
            <c:symbol val="none"/>
          </c:marker>
          <c:dLbls>
            <c:dLbl>
              <c:idx val="0"/>
              <c:tx>
                <c:rich>
                  <a:bodyPr/>
                  <a:lstStyle/>
                  <a:p>
                    <a:fld id="{EAB7D8D9-D37C-4649-9042-CE3D7B465C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75F-40D8-AA89-863730D430A2}"/>
                </c:ext>
              </c:extLst>
            </c:dLbl>
            <c:dLbl>
              <c:idx val="1"/>
              <c:tx>
                <c:rich>
                  <a:bodyPr/>
                  <a:lstStyle/>
                  <a:p>
                    <a:fld id="{E3F4BE42-FAE0-4B16-B6A9-BC6B4EB65E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75F-40D8-AA89-863730D430A2}"/>
                </c:ext>
              </c:extLst>
            </c:dLbl>
            <c:dLbl>
              <c:idx val="2"/>
              <c:tx>
                <c:rich>
                  <a:bodyPr/>
                  <a:lstStyle/>
                  <a:p>
                    <a:fld id="{C05B4826-2CDB-40D9-8588-4AA029824E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75F-40D8-AA89-863730D430A2}"/>
                </c:ext>
              </c:extLst>
            </c:dLbl>
            <c:dLbl>
              <c:idx val="3"/>
              <c:tx>
                <c:rich>
                  <a:bodyPr/>
                  <a:lstStyle/>
                  <a:p>
                    <a:fld id="{74FABE13-2B8A-4AB8-89EB-D46CF2A41B6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75F-40D8-AA89-863730D430A2}"/>
                </c:ext>
              </c:extLst>
            </c:dLbl>
            <c:dLbl>
              <c:idx val="4"/>
              <c:tx>
                <c:rich>
                  <a:bodyPr/>
                  <a:lstStyle/>
                  <a:p>
                    <a:fld id="{950FF74D-F71A-459A-8E15-93E9524CCB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75F-40D8-AA89-863730D430A2}"/>
                </c:ext>
              </c:extLst>
            </c:dLbl>
            <c:dLbl>
              <c:idx val="5"/>
              <c:tx>
                <c:rich>
                  <a:bodyPr/>
                  <a:lstStyle/>
                  <a:p>
                    <a:fld id="{1301544E-F719-47FA-AFF2-04B79232A5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75F-40D8-AA89-863730D430A2}"/>
                </c:ext>
              </c:extLst>
            </c:dLbl>
            <c:dLbl>
              <c:idx val="6"/>
              <c:tx>
                <c:rich>
                  <a:bodyPr/>
                  <a:lstStyle/>
                  <a:p>
                    <a:fld id="{98BE6025-A756-464A-ADE7-ACE73E81CB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75F-40D8-AA89-863730D430A2}"/>
                </c:ext>
              </c:extLst>
            </c:dLbl>
            <c:dLbl>
              <c:idx val="7"/>
              <c:tx>
                <c:rich>
                  <a:bodyPr/>
                  <a:lstStyle/>
                  <a:p>
                    <a:fld id="{03DF62AD-1159-405C-81DA-8215DBFC0B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75F-40D8-AA89-863730D430A2}"/>
                </c:ext>
              </c:extLst>
            </c:dLbl>
            <c:dLbl>
              <c:idx val="8"/>
              <c:tx>
                <c:rich>
                  <a:bodyPr/>
                  <a:lstStyle/>
                  <a:p>
                    <a:fld id="{163AAB82-7D11-41AC-B077-7FCE81F88D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93A-449C-B3B2-F77FC1677D0F}"/>
                </c:ext>
              </c:extLst>
            </c:dLbl>
            <c:dLbl>
              <c:idx val="9"/>
              <c:tx>
                <c:rich>
                  <a:bodyPr/>
                  <a:lstStyle/>
                  <a:p>
                    <a:fld id="{E358ACA6-7497-49CB-834E-6F5CF1858A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9F7-45E7-BECB-109BBB46CB7D}"/>
                </c:ext>
              </c:extLst>
            </c:dLbl>
            <c:dLbl>
              <c:idx val="10"/>
              <c:tx>
                <c:rich>
                  <a:bodyPr/>
                  <a:lstStyle/>
                  <a:p>
                    <a:fld id="{44BCAB5C-9735-43AF-BBA1-55DC51728D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9F7-45E7-BECB-109BBB46CB7D}"/>
                </c:ext>
              </c:extLst>
            </c:dLbl>
            <c:dLbl>
              <c:idx val="11"/>
              <c:tx>
                <c:rich>
                  <a:bodyPr/>
                  <a:lstStyle/>
                  <a:p>
                    <a:fld id="{AAA24EB2-E647-4A72-9CD4-E814BA2306B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9F7-45E7-BECB-109BBB46CB7D}"/>
                </c:ext>
              </c:extLst>
            </c:dLbl>
            <c:dLbl>
              <c:idx val="12"/>
              <c:tx>
                <c:rich>
                  <a:bodyPr/>
                  <a:lstStyle/>
                  <a:p>
                    <a:fld id="{7F814DC5-FB1D-4D74-A503-93B1F8A268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9F7-45E7-BECB-109BBB46CB7D}"/>
                </c:ext>
              </c:extLst>
            </c:dLbl>
            <c:dLbl>
              <c:idx val="13"/>
              <c:tx>
                <c:rich>
                  <a:bodyPr/>
                  <a:lstStyle/>
                  <a:p>
                    <a:fld id="{5F08C63D-F30E-4CFD-8B28-994E6B1349E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9F7-45E7-BECB-109BBB46CB7D}"/>
                </c:ext>
              </c:extLst>
            </c:dLbl>
            <c:dLbl>
              <c:idx val="14"/>
              <c:tx>
                <c:rich>
                  <a:bodyPr/>
                  <a:lstStyle/>
                  <a:p>
                    <a:fld id="{0BE5B6DF-6D10-459D-86DC-4C3758BFD16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9F7-45E7-BECB-109BBB46CB7D}"/>
                </c:ext>
              </c:extLst>
            </c:dLbl>
            <c:dLbl>
              <c:idx val="15"/>
              <c:tx>
                <c:rich>
                  <a:bodyPr/>
                  <a:lstStyle/>
                  <a:p>
                    <a:fld id="{06CE8506-B104-4EC6-B500-D788709F49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9F7-45E7-BECB-109BBB46CB7D}"/>
                </c:ext>
              </c:extLst>
            </c:dLbl>
            <c:dLbl>
              <c:idx val="16"/>
              <c:tx>
                <c:rich>
                  <a:bodyPr/>
                  <a:lstStyle/>
                  <a:p>
                    <a:fld id="{A9B2F657-981D-4D81-AAA8-C8C8487562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9F7-45E7-BECB-109BBB46CB7D}"/>
                </c:ext>
              </c:extLst>
            </c:dLbl>
            <c:dLbl>
              <c:idx val="17"/>
              <c:tx>
                <c:rich>
                  <a:bodyPr/>
                  <a:lstStyle/>
                  <a:p>
                    <a:fld id="{159FF9C9-4C0E-4DEE-B24D-0664A178AB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9F7-45E7-BECB-109BBB46CB7D}"/>
                </c:ext>
              </c:extLst>
            </c:dLbl>
            <c:dLbl>
              <c:idx val="18"/>
              <c:tx>
                <c:rich>
                  <a:bodyPr/>
                  <a:lstStyle/>
                  <a:p>
                    <a:fld id="{D49B53C1-1D16-4E46-9153-F10B70ECFB7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9F7-45E7-BECB-109BBB46CB7D}"/>
                </c:ext>
              </c:extLst>
            </c:dLbl>
            <c:dLbl>
              <c:idx val="19"/>
              <c:tx>
                <c:rich>
                  <a:bodyPr/>
                  <a:lstStyle/>
                  <a:p>
                    <a:fld id="{E0E0098E-9D60-4BFE-8B91-1B08EDAECE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9F7-45E7-BECB-109BBB46CB7D}"/>
                </c:ext>
              </c:extLst>
            </c:dLbl>
            <c:dLbl>
              <c:idx val="20"/>
              <c:tx>
                <c:rich>
                  <a:bodyPr/>
                  <a:lstStyle/>
                  <a:p>
                    <a:fld id="{D25A48D1-7E6B-479D-AA5D-E0F722C69F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9F7-45E7-BECB-109BBB46CB7D}"/>
                </c:ext>
              </c:extLst>
            </c:dLbl>
            <c:dLbl>
              <c:idx val="21"/>
              <c:tx>
                <c:rich>
                  <a:bodyPr/>
                  <a:lstStyle/>
                  <a:p>
                    <a:fld id="{27501DEA-8D13-4FBC-BD89-66277FFD744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9F7-45E7-BECB-109BBB46CB7D}"/>
                </c:ext>
              </c:extLst>
            </c:dLbl>
            <c:dLbl>
              <c:idx val="22"/>
              <c:tx>
                <c:rich>
                  <a:bodyPr/>
                  <a:lstStyle/>
                  <a:p>
                    <a:fld id="{591D533F-55D0-47B0-ACE0-61C15E5DCC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9F7-45E7-BECB-109BBB46CB7D}"/>
                </c:ext>
              </c:extLst>
            </c:dLbl>
            <c:dLbl>
              <c:idx val="23"/>
              <c:tx>
                <c:rich>
                  <a:bodyPr/>
                  <a:lstStyle/>
                  <a:p>
                    <a:fld id="{143D8439-5303-4349-BCCF-E4FEF2D0BB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9F7-45E7-BECB-109BBB46CB7D}"/>
                </c:ext>
              </c:extLst>
            </c:dLbl>
            <c:dLbl>
              <c:idx val="24"/>
              <c:tx>
                <c:rich>
                  <a:bodyPr/>
                  <a:lstStyle/>
                  <a:p>
                    <a:fld id="{8C45DB92-CF04-4BE9-8AC8-4DA2D920EC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9F7-45E7-BECB-109BBB46CB7D}"/>
                </c:ext>
              </c:extLst>
            </c:dLbl>
            <c:dLbl>
              <c:idx val="25"/>
              <c:tx>
                <c:rich>
                  <a:bodyPr/>
                  <a:lstStyle/>
                  <a:p>
                    <a:fld id="{0D976EC1-B38D-4EC0-9897-35D76C47806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9F7-45E7-BECB-109BBB46CB7D}"/>
                </c:ext>
              </c:extLst>
            </c:dLbl>
            <c:dLbl>
              <c:idx val="26"/>
              <c:tx>
                <c:rich>
                  <a:bodyPr/>
                  <a:lstStyle/>
                  <a:p>
                    <a:fld id="{1A0A073C-8366-4869-A567-866D21D5C68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9F7-45E7-BECB-109BBB46CB7D}"/>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69F7-45E7-BECB-109BBB46CB7D}"/>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988C-44FC-93FC-5BA63451CCC9}"/>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988C-44FC-93FC-5BA63451CCC9}"/>
                </c:ext>
              </c:extLst>
            </c:dLbl>
            <c:numFmt formatCode=";[Red]&quot;$&quot;#,##0,&quot;K&quot;;[Green]&quot;Compliant&quot;;" sourceLinked="0"/>
            <c:spPr>
              <a:solidFill>
                <a:sysClr val="window" lastClr="FFFFFF"/>
              </a:solid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rgbClr val="C00000"/>
                    </a:solidFill>
                    <a:latin typeface="Aptos" panose="020B0004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'Pre-filled Sample-Old'!$AG$48:$AG$77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xVal>
          <c:yVal>
            <c:numRef>
              <c:f>'Pre-filled Sample-Old'!$V$48:$V$77</c:f>
              <c:numCache>
                <c:formatCode>_(* #,##0_);_(* \(#,##0\);_(* "-"??_);_(@_)</c:formatCode>
                <c:ptCount val="30"/>
                <c:pt idx="0">
                  <c:v>398.21067475599995</c:v>
                </c:pt>
                <c:pt idx="1">
                  <c:v>398.21067475599995</c:v>
                </c:pt>
                <c:pt idx="2">
                  <c:v>398.21067475599995</c:v>
                </c:pt>
                <c:pt idx="3">
                  <c:v>398.21067475599995</c:v>
                </c:pt>
                <c:pt idx="4">
                  <c:v>398.21067475599995</c:v>
                </c:pt>
                <c:pt idx="5">
                  <c:v>398.21067475599995</c:v>
                </c:pt>
                <c:pt idx="6">
                  <c:v>314.62086699999998</c:v>
                </c:pt>
                <c:pt idx="7">
                  <c:v>314.62086699999998</c:v>
                </c:pt>
                <c:pt idx="8">
                  <c:v>314.62086699999998</c:v>
                </c:pt>
                <c:pt idx="9">
                  <c:v>314.62086699999998</c:v>
                </c:pt>
                <c:pt idx="10">
                  <c:v>314.62086699999998</c:v>
                </c:pt>
                <c:pt idx="11">
                  <c:v>293.57273950000001</c:v>
                </c:pt>
                <c:pt idx="12">
                  <c:v>293.57273950000001</c:v>
                </c:pt>
                <c:pt idx="13">
                  <c:v>293.57273950000001</c:v>
                </c:pt>
                <c:pt idx="14">
                  <c:v>293.57273950000001</c:v>
                </c:pt>
                <c:pt idx="15">
                  <c:v>293.57273950000001</c:v>
                </c:pt>
                <c:pt idx="16">
                  <c:v>272.52461199999999</c:v>
                </c:pt>
                <c:pt idx="17">
                  <c:v>272.52461199999999</c:v>
                </c:pt>
                <c:pt idx="18">
                  <c:v>272.52461199999999</c:v>
                </c:pt>
                <c:pt idx="19">
                  <c:v>272.52461199999999</c:v>
                </c:pt>
                <c:pt idx="20">
                  <c:v>272.52461199999999</c:v>
                </c:pt>
                <c:pt idx="21">
                  <c:v>272.52461199999999</c:v>
                </c:pt>
                <c:pt idx="22">
                  <c:v>272.52461199999999</c:v>
                </c:pt>
                <c:pt idx="23">
                  <c:v>272.52461199999999</c:v>
                </c:pt>
                <c:pt idx="24">
                  <c:v>272.52461199999999</c:v>
                </c:pt>
                <c:pt idx="25">
                  <c:v>272.52461199999999</c:v>
                </c:pt>
                <c:pt idx="26">
                  <c:v>230.42835700000001</c:v>
                </c:pt>
                <c:pt idx="27">
                  <c:v>#N/A</c:v>
                </c:pt>
                <c:pt idx="28">
                  <c:v>#N/A</c:v>
                </c:pt>
                <c:pt idx="29">
                  <c:v>#N/A</c:v>
                </c:pt>
              </c:numCache>
            </c:numRef>
          </c:yVal>
          <c:smooth val="0"/>
          <c:extLst>
            <c:ext xmlns:c15="http://schemas.microsoft.com/office/drawing/2012/chart" uri="{02D57815-91ED-43cb-92C2-25804820EDAC}">
              <c15:datalabelsRange>
                <c15:f>'Pre-filled Sample-Old'!$AA$48:$AA$78</c15:f>
                <c15:dlblRangeCache>
                  <c:ptCount val="31"/>
                  <c:pt idx="11">
                    <c:v>$14.3K</c:v>
                  </c:pt>
                  <c:pt idx="12">
                    <c:v>$14.3K</c:v>
                  </c:pt>
                  <c:pt idx="13">
                    <c:v>$14.3K</c:v>
                  </c:pt>
                  <c:pt idx="14">
                    <c:v>$14.3K</c:v>
                  </c:pt>
                  <c:pt idx="26">
                    <c:v>$20.1K</c:v>
                  </c:pt>
                  <c:pt idx="30">
                    <c:v>-$77,463</c:v>
                  </c:pt>
                </c15:dlblRangeCache>
              </c15:datalabelsRange>
            </c:ext>
            <c:ext xmlns:c16="http://schemas.microsoft.com/office/drawing/2014/chart" uri="{C3380CC4-5D6E-409C-BE32-E72D297353CC}">
              <c16:uniqueId val="{0000000A-B75F-40D8-AA89-863730D430A2}"/>
            </c:ext>
          </c:extLst>
        </c:ser>
        <c:dLbls>
          <c:showLegendKey val="0"/>
          <c:showVal val="0"/>
          <c:showCatName val="0"/>
          <c:showSerName val="0"/>
          <c:showPercent val="0"/>
          <c:showBubbleSize val="0"/>
        </c:dLbls>
        <c:axId val="369417984"/>
        <c:axId val="369439200"/>
      </c:scatterChart>
      <c:dateAx>
        <c:axId val="369417984"/>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369439200"/>
        <c:crosses val="autoZero"/>
        <c:auto val="0"/>
        <c:lblOffset val="100"/>
        <c:baseTimeUnit val="days"/>
      </c:dateAx>
      <c:valAx>
        <c:axId val="36943920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ptos" panose="020B0004020202020204" pitchFamily="34" charset="0"/>
                    <a:ea typeface="+mn-ea"/>
                    <a:cs typeface="+mn-cs"/>
                  </a:defRPr>
                </a:pPr>
                <a:r>
                  <a:rPr lang="en-US"/>
                  <a:t>GHG Carbon Emissions (tCO2e)</a:t>
                </a:r>
              </a:p>
            </c:rich>
          </c:tx>
          <c:layout>
            <c:manualLayout>
              <c:xMode val="edge"/>
              <c:yMode val="edge"/>
              <c:x val="0.27257162686592551"/>
              <c:y val="0.29532173669067835"/>
            </c:manualLayout>
          </c:layout>
          <c:overlay val="0"/>
          <c:spPr>
            <a:noFill/>
            <a:ln>
              <a:noFill/>
            </a:ln>
            <a:effectLst/>
          </c:spPr>
          <c:txPr>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369417984"/>
        <c:crosses val="autoZero"/>
        <c:crossBetween val="between"/>
      </c:valAx>
      <c:spPr>
        <a:noFill/>
        <a:ln>
          <a:noFill/>
        </a:ln>
        <a:effectLst/>
      </c:spPr>
    </c:plotArea>
    <c:legend>
      <c:legendPos val="b"/>
      <c:legendEntry>
        <c:idx val="3"/>
        <c:delete val="1"/>
      </c:legendEntry>
      <c:layout>
        <c:manualLayout>
          <c:xMode val="edge"/>
          <c:yMode val="edge"/>
          <c:x val="2.0741957927154782E-2"/>
          <c:y val="0.156041809522418"/>
          <c:w val="0.23474992741191297"/>
          <c:h val="0.4431134752880752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Aptos" panose="020B00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46010026381664E-2"/>
          <c:y val="0.12539184952978055"/>
          <c:w val="0.90100223333265861"/>
          <c:h val="0.78273772204806691"/>
        </c:manualLayout>
      </c:layout>
      <c:barChart>
        <c:barDir val="col"/>
        <c:grouping val="stacked"/>
        <c:varyColors val="0"/>
        <c:ser>
          <c:idx val="6"/>
          <c:order val="1"/>
          <c:tx>
            <c:strRef>
              <c:f>'Pre-filled Sample-Old'!$T$47</c:f>
              <c:strCache>
                <c:ptCount val="1"/>
                <c:pt idx="0">
                  <c:v>LL97 Emissions After Measures</c:v>
                </c:pt>
              </c:strCache>
            </c:strRef>
          </c:tx>
          <c:spPr>
            <a:solidFill>
              <a:schemeClr val="bg1">
                <a:lumMod val="65000"/>
              </a:schemeClr>
            </a:solidFill>
            <a:ln w="25400">
              <a:noFill/>
            </a:ln>
            <a:effectLst>
              <a:outerShdw blurRad="38100" dist="12700" dir="2700000" algn="tl" rotWithShape="0">
                <a:prstClr val="black">
                  <a:alpha val="40000"/>
                </a:prstClr>
              </a:outerShdw>
            </a:effectLst>
          </c:spPr>
          <c:invertIfNegative val="0"/>
          <c:cat>
            <c:numRef>
              <c:f>'Pre-filled Sample-Old'!$AG$48:$AG$77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Sample-Old'!$T$48:$T$77</c:f>
              <c:numCache>
                <c:formatCode>_(* #,##0_);_(* \(#,##0\);_(* "-"??_);_(@_)</c:formatCode>
                <c:ptCount val="30"/>
                <c:pt idx="0">
                  <c:v>398.21067475599995</c:v>
                </c:pt>
                <c:pt idx="1">
                  <c:v>319.57400890599996</c:v>
                </c:pt>
                <c:pt idx="2">
                  <c:v>319.57400890599996</c:v>
                </c:pt>
                <c:pt idx="3">
                  <c:v>298.49273685599996</c:v>
                </c:pt>
                <c:pt idx="4">
                  <c:v>298.49273685599996</c:v>
                </c:pt>
                <c:pt idx="5">
                  <c:v>298.49273685599996</c:v>
                </c:pt>
                <c:pt idx="6">
                  <c:v>224.43348399999999</c:v>
                </c:pt>
                <c:pt idx="7">
                  <c:v>224.43348399999999</c:v>
                </c:pt>
                <c:pt idx="8">
                  <c:v>224.43348399999999</c:v>
                </c:pt>
                <c:pt idx="9">
                  <c:v>224.43348399999999</c:v>
                </c:pt>
                <c:pt idx="10">
                  <c:v>224.43348399999999</c:v>
                </c:pt>
                <c:pt idx="11">
                  <c:v>210.04169024999999</c:v>
                </c:pt>
                <c:pt idx="12">
                  <c:v>210.04169024999999</c:v>
                </c:pt>
                <c:pt idx="13">
                  <c:v>210.04169024999999</c:v>
                </c:pt>
                <c:pt idx="14">
                  <c:v>210.04169024999999</c:v>
                </c:pt>
                <c:pt idx="15">
                  <c:v>137.06573574999999</c:v>
                </c:pt>
                <c:pt idx="16">
                  <c:v>116.4043595</c:v>
                </c:pt>
                <c:pt idx="17">
                  <c:v>116.4043595</c:v>
                </c:pt>
                <c:pt idx="18">
                  <c:v>116.4043595</c:v>
                </c:pt>
                <c:pt idx="19">
                  <c:v>116.4043595</c:v>
                </c:pt>
                <c:pt idx="20">
                  <c:v>116.4043595</c:v>
                </c:pt>
                <c:pt idx="21">
                  <c:v>116.4043595</c:v>
                </c:pt>
                <c:pt idx="22">
                  <c:v>116.4043595</c:v>
                </c:pt>
                <c:pt idx="23">
                  <c:v>116.4043595</c:v>
                </c:pt>
                <c:pt idx="24">
                  <c:v>116.4043595</c:v>
                </c:pt>
                <c:pt idx="25">
                  <c:v>116.4043595</c:v>
                </c:pt>
                <c:pt idx="26">
                  <c:v>75.081606999999991</c:v>
                </c:pt>
                <c:pt idx="27">
                  <c:v>#N/A</c:v>
                </c:pt>
                <c:pt idx="28">
                  <c:v>#N/A</c:v>
                </c:pt>
                <c:pt idx="29">
                  <c:v>#N/A</c:v>
                </c:pt>
              </c:numCache>
            </c:numRef>
          </c:val>
          <c:extLst>
            <c:ext xmlns:c16="http://schemas.microsoft.com/office/drawing/2014/chart" uri="{C3380CC4-5D6E-409C-BE32-E72D297353CC}">
              <c16:uniqueId val="{00000000-DD60-4741-887F-AE9FAC444EBC}"/>
            </c:ext>
          </c:extLst>
        </c:ser>
        <c:ser>
          <c:idx val="1"/>
          <c:order val="3"/>
          <c:tx>
            <c:v>Measure Emissions Savings</c:v>
          </c:tx>
          <c:spPr>
            <a:pattFill prst="dkDnDiag">
              <a:fgClr>
                <a:schemeClr val="tx2">
                  <a:lumMod val="20000"/>
                  <a:lumOff val="80000"/>
                </a:schemeClr>
              </a:fgClr>
              <a:bgClr>
                <a:schemeClr val="accent1"/>
              </a:bgClr>
            </a:pattFill>
            <a:ln>
              <a:noFill/>
            </a:ln>
            <a:effectLst>
              <a:outerShdw blurRad="38100" dist="12700" algn="ctr" rotWithShape="0">
                <a:prstClr val="black">
                  <a:alpha val="40000"/>
                </a:prstClr>
              </a:outerShdw>
            </a:effectLst>
          </c:spPr>
          <c:invertIfNegative val="0"/>
          <c:cat>
            <c:numRef>
              <c:f>'Pre-filled Sample-Old'!$AG$48:$AG$77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Sample-Old'!$Y$48:$Y$77</c:f>
              <c:numCache>
                <c:formatCode>_(* #,##0_);_(* \(#,##0\);_(* "-"??_);_(@_)</c:formatCode>
                <c:ptCount val="30"/>
                <c:pt idx="0">
                  <c:v>0</c:v>
                </c:pt>
                <c:pt idx="1">
                  <c:v>78.636665849999986</c:v>
                </c:pt>
                <c:pt idx="2">
                  <c:v>78.636665849999986</c:v>
                </c:pt>
                <c:pt idx="3">
                  <c:v>99.717937899999981</c:v>
                </c:pt>
                <c:pt idx="4">
                  <c:v>99.717937899999981</c:v>
                </c:pt>
                <c:pt idx="5">
                  <c:v>99.717937899999981</c:v>
                </c:pt>
                <c:pt idx="6">
                  <c:v>90.187382999999983</c:v>
                </c:pt>
                <c:pt idx="7">
                  <c:v>90.187382999999983</c:v>
                </c:pt>
                <c:pt idx="8">
                  <c:v>90.187382999999983</c:v>
                </c:pt>
                <c:pt idx="9">
                  <c:v>90.187382999999983</c:v>
                </c:pt>
                <c:pt idx="10">
                  <c:v>90.187382999999983</c:v>
                </c:pt>
                <c:pt idx="11">
                  <c:v>83.531049250000024</c:v>
                </c:pt>
                <c:pt idx="12">
                  <c:v>83.531049250000024</c:v>
                </c:pt>
                <c:pt idx="13">
                  <c:v>83.531049250000024</c:v>
                </c:pt>
                <c:pt idx="14">
                  <c:v>83.531049250000024</c:v>
                </c:pt>
                <c:pt idx="15">
                  <c:v>156.50700375000002</c:v>
                </c:pt>
                <c:pt idx="16">
                  <c:v>156.12025249999999</c:v>
                </c:pt>
                <c:pt idx="17">
                  <c:v>156.12025249999999</c:v>
                </c:pt>
                <c:pt idx="18">
                  <c:v>156.12025249999999</c:v>
                </c:pt>
                <c:pt idx="19">
                  <c:v>156.12025249999999</c:v>
                </c:pt>
                <c:pt idx="20">
                  <c:v>156.12025249999999</c:v>
                </c:pt>
                <c:pt idx="21">
                  <c:v>156.12025249999999</c:v>
                </c:pt>
                <c:pt idx="22">
                  <c:v>156.12025249999999</c:v>
                </c:pt>
                <c:pt idx="23">
                  <c:v>156.12025249999999</c:v>
                </c:pt>
                <c:pt idx="24">
                  <c:v>156.12025249999999</c:v>
                </c:pt>
                <c:pt idx="25">
                  <c:v>156.12025249999999</c:v>
                </c:pt>
                <c:pt idx="26">
                  <c:v>155.34675000000001</c:v>
                </c:pt>
                <c:pt idx="27">
                  <c:v>#N/A</c:v>
                </c:pt>
                <c:pt idx="28">
                  <c:v>#N/A</c:v>
                </c:pt>
                <c:pt idx="29">
                  <c:v>#N/A</c:v>
                </c:pt>
              </c:numCache>
            </c:numRef>
          </c:val>
          <c:extLst>
            <c:ext xmlns:c16="http://schemas.microsoft.com/office/drawing/2014/chart" uri="{C3380CC4-5D6E-409C-BE32-E72D297353CC}">
              <c16:uniqueId val="{00000005-2E33-4486-9E98-CF5A6FF95580}"/>
            </c:ext>
          </c:extLst>
        </c:ser>
        <c:dLbls>
          <c:showLegendKey val="0"/>
          <c:showVal val="0"/>
          <c:showCatName val="0"/>
          <c:showSerName val="0"/>
          <c:showPercent val="0"/>
          <c:showBubbleSize val="0"/>
        </c:dLbls>
        <c:gapWidth val="20"/>
        <c:overlap val="100"/>
        <c:axId val="1531504208"/>
        <c:axId val="1730183008"/>
      </c:barChart>
      <c:lineChart>
        <c:grouping val="standard"/>
        <c:varyColors val="0"/>
        <c:ser>
          <c:idx val="0"/>
          <c:order val="0"/>
          <c:tx>
            <c:v>Decarbonization Pathway</c:v>
          </c:tx>
          <c:spPr>
            <a:ln w="28575" cap="rnd">
              <a:solidFill>
                <a:schemeClr val="accent1"/>
              </a:solidFill>
              <a:round/>
            </a:ln>
            <a:effectLst/>
          </c:spPr>
          <c:marker>
            <c:symbol val="none"/>
          </c:marker>
          <c:cat>
            <c:numRef>
              <c:f>'Pre-filled Sample-Old'!$AG$48:$AG$77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Sample-Old'!$T$48:$T$77</c:f>
              <c:numCache>
                <c:formatCode>_(* #,##0_);_(* \(#,##0\);_(* "-"??_);_(@_)</c:formatCode>
                <c:ptCount val="30"/>
                <c:pt idx="0">
                  <c:v>398.21067475599995</c:v>
                </c:pt>
                <c:pt idx="1">
                  <c:v>319.57400890599996</c:v>
                </c:pt>
                <c:pt idx="2">
                  <c:v>319.57400890599996</c:v>
                </c:pt>
                <c:pt idx="3">
                  <c:v>298.49273685599996</c:v>
                </c:pt>
                <c:pt idx="4">
                  <c:v>298.49273685599996</c:v>
                </c:pt>
                <c:pt idx="5">
                  <c:v>298.49273685599996</c:v>
                </c:pt>
                <c:pt idx="6">
                  <c:v>224.43348399999999</c:v>
                </c:pt>
                <c:pt idx="7">
                  <c:v>224.43348399999999</c:v>
                </c:pt>
                <c:pt idx="8">
                  <c:v>224.43348399999999</c:v>
                </c:pt>
                <c:pt idx="9">
                  <c:v>224.43348399999999</c:v>
                </c:pt>
                <c:pt idx="10">
                  <c:v>224.43348399999999</c:v>
                </c:pt>
                <c:pt idx="11">
                  <c:v>210.04169024999999</c:v>
                </c:pt>
                <c:pt idx="12">
                  <c:v>210.04169024999999</c:v>
                </c:pt>
                <c:pt idx="13">
                  <c:v>210.04169024999999</c:v>
                </c:pt>
                <c:pt idx="14">
                  <c:v>210.04169024999999</c:v>
                </c:pt>
                <c:pt idx="15">
                  <c:v>137.06573574999999</c:v>
                </c:pt>
                <c:pt idx="16">
                  <c:v>116.4043595</c:v>
                </c:pt>
                <c:pt idx="17">
                  <c:v>116.4043595</c:v>
                </c:pt>
                <c:pt idx="18">
                  <c:v>116.4043595</c:v>
                </c:pt>
                <c:pt idx="19">
                  <c:v>116.4043595</c:v>
                </c:pt>
                <c:pt idx="20">
                  <c:v>116.4043595</c:v>
                </c:pt>
                <c:pt idx="21">
                  <c:v>116.4043595</c:v>
                </c:pt>
                <c:pt idx="22">
                  <c:v>116.4043595</c:v>
                </c:pt>
                <c:pt idx="23">
                  <c:v>116.4043595</c:v>
                </c:pt>
                <c:pt idx="24">
                  <c:v>116.4043595</c:v>
                </c:pt>
                <c:pt idx="25">
                  <c:v>116.4043595</c:v>
                </c:pt>
                <c:pt idx="26">
                  <c:v>75.081606999999991</c:v>
                </c:pt>
                <c:pt idx="27">
                  <c:v>#N/A</c:v>
                </c:pt>
                <c:pt idx="28">
                  <c:v>#N/A</c:v>
                </c:pt>
                <c:pt idx="29">
                  <c:v>#N/A</c:v>
                </c:pt>
              </c:numCache>
            </c:numRef>
          </c:val>
          <c:smooth val="0"/>
          <c:extLst>
            <c:ext xmlns:c16="http://schemas.microsoft.com/office/drawing/2014/chart" uri="{C3380CC4-5D6E-409C-BE32-E72D297353CC}">
              <c16:uniqueId val="{0000001F-966F-47A8-A38B-99281D800D10}"/>
            </c:ext>
          </c:extLst>
        </c:ser>
        <c:ser>
          <c:idx val="2"/>
          <c:order val="2"/>
          <c:tx>
            <c:strRef>
              <c:f>'Pre-filled Sample-Old'!$V$47</c:f>
              <c:strCache>
                <c:ptCount val="1"/>
                <c:pt idx="0">
                  <c:v>LL97 Business-As-Usual Emissions</c:v>
                </c:pt>
              </c:strCache>
            </c:strRef>
          </c:tx>
          <c:spPr>
            <a:ln w="28575" cap="rnd">
              <a:solidFill>
                <a:schemeClr val="tx1"/>
              </a:solidFill>
              <a:round/>
            </a:ln>
            <a:effectLst>
              <a:outerShdw blurRad="317500" dir="6000000" algn="ctr" rotWithShape="0">
                <a:schemeClr val="tx1">
                  <a:alpha val="25000"/>
                </a:schemeClr>
              </a:outerShdw>
            </a:effectLst>
          </c:spPr>
          <c:marker>
            <c:symbol val="none"/>
          </c:marker>
          <c:cat>
            <c:numRef>
              <c:f>'Pre-filled Sample-Old'!$AG$48:$AG$77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cat>
          <c:val>
            <c:numRef>
              <c:f>'Pre-filled Sample-Old'!$V$48:$V$77</c:f>
              <c:numCache>
                <c:formatCode>_(* #,##0_);_(* \(#,##0\);_(* "-"??_);_(@_)</c:formatCode>
                <c:ptCount val="30"/>
                <c:pt idx="0">
                  <c:v>398.21067475599995</c:v>
                </c:pt>
                <c:pt idx="1">
                  <c:v>398.21067475599995</c:v>
                </c:pt>
                <c:pt idx="2">
                  <c:v>398.21067475599995</c:v>
                </c:pt>
                <c:pt idx="3">
                  <c:v>398.21067475599995</c:v>
                </c:pt>
                <c:pt idx="4">
                  <c:v>398.21067475599995</c:v>
                </c:pt>
                <c:pt idx="5">
                  <c:v>398.21067475599995</c:v>
                </c:pt>
                <c:pt idx="6">
                  <c:v>314.62086699999998</c:v>
                </c:pt>
                <c:pt idx="7">
                  <c:v>314.62086699999998</c:v>
                </c:pt>
                <c:pt idx="8">
                  <c:v>314.62086699999998</c:v>
                </c:pt>
                <c:pt idx="9">
                  <c:v>314.62086699999998</c:v>
                </c:pt>
                <c:pt idx="10">
                  <c:v>314.62086699999998</c:v>
                </c:pt>
                <c:pt idx="11">
                  <c:v>293.57273950000001</c:v>
                </c:pt>
                <c:pt idx="12">
                  <c:v>293.57273950000001</c:v>
                </c:pt>
                <c:pt idx="13">
                  <c:v>293.57273950000001</c:v>
                </c:pt>
                <c:pt idx="14">
                  <c:v>293.57273950000001</c:v>
                </c:pt>
                <c:pt idx="15">
                  <c:v>293.57273950000001</c:v>
                </c:pt>
                <c:pt idx="16">
                  <c:v>272.52461199999999</c:v>
                </c:pt>
                <c:pt idx="17">
                  <c:v>272.52461199999999</c:v>
                </c:pt>
                <c:pt idx="18">
                  <c:v>272.52461199999999</c:v>
                </c:pt>
                <c:pt idx="19">
                  <c:v>272.52461199999999</c:v>
                </c:pt>
                <c:pt idx="20">
                  <c:v>272.52461199999999</c:v>
                </c:pt>
                <c:pt idx="21">
                  <c:v>272.52461199999999</c:v>
                </c:pt>
                <c:pt idx="22">
                  <c:v>272.52461199999999</c:v>
                </c:pt>
                <c:pt idx="23">
                  <c:v>272.52461199999999</c:v>
                </c:pt>
                <c:pt idx="24">
                  <c:v>272.52461199999999</c:v>
                </c:pt>
                <c:pt idx="25">
                  <c:v>272.52461199999999</c:v>
                </c:pt>
                <c:pt idx="26">
                  <c:v>230.42835700000001</c:v>
                </c:pt>
                <c:pt idx="27">
                  <c:v>#N/A</c:v>
                </c:pt>
                <c:pt idx="28">
                  <c:v>#N/A</c:v>
                </c:pt>
                <c:pt idx="29">
                  <c:v>#N/A</c:v>
                </c:pt>
              </c:numCache>
            </c:numRef>
          </c:val>
          <c:smooth val="0"/>
          <c:extLst>
            <c:ext xmlns:c16="http://schemas.microsoft.com/office/drawing/2014/chart" uri="{C3380CC4-5D6E-409C-BE32-E72D297353CC}">
              <c16:uniqueId val="{00000001-2E33-4486-9E98-CF5A6FF95580}"/>
            </c:ext>
          </c:extLst>
        </c:ser>
        <c:dLbls>
          <c:showLegendKey val="0"/>
          <c:showVal val="0"/>
          <c:showCatName val="0"/>
          <c:showSerName val="0"/>
          <c:showPercent val="0"/>
          <c:showBubbleSize val="0"/>
        </c:dLbls>
        <c:marker val="1"/>
        <c:smooth val="0"/>
        <c:axId val="1531504208"/>
        <c:axId val="1730183008"/>
        <c:extLst>
          <c:ext xmlns:c15="http://schemas.microsoft.com/office/drawing/2012/chart" uri="{02D57815-91ED-43cb-92C2-25804820EDAC}">
            <c15:filteredLineSeries>
              <c15:ser>
                <c:idx val="4"/>
                <c:order val="4"/>
                <c:tx>
                  <c:v>Base Year Emissions</c:v>
                </c:tx>
                <c:spPr>
                  <a:ln w="28575" cap="rnd">
                    <a:solidFill>
                      <a:schemeClr val="accent5"/>
                    </a:solidFill>
                    <a:round/>
                  </a:ln>
                  <a:effectLst/>
                </c:spPr>
                <c:marker>
                  <c:symbol val="circle"/>
                  <c:size val="5"/>
                  <c:spPr>
                    <a:solidFill>
                      <a:schemeClr val="tx1">
                        <a:lumMod val="75000"/>
                        <a:lumOff val="25000"/>
                      </a:schemeClr>
                    </a:solidFill>
                    <a:ln w="9525">
                      <a:noFill/>
                    </a:ln>
                    <a:effectLst/>
                  </c:spPr>
                </c:marker>
                <c:dLbls>
                  <c:dLbl>
                    <c:idx val="0"/>
                    <c:layout>
                      <c:manualLayout>
                        <c:x val="-5.5731294508364018E-2"/>
                        <c:y val="-4.2137062879115658E-2"/>
                      </c:manualLayout>
                    </c:layout>
                    <c:spPr>
                      <a:noFill/>
                      <a:ln>
                        <a:noFill/>
                      </a:ln>
                      <a:effectLst/>
                    </c:spPr>
                    <c:txPr>
                      <a:bodyPr rot="0" spcFirstLastPara="1" vertOverflow="ellipsis" vert="horz" wrap="square" lIns="38100" tIns="19050" rIns="38100" bIns="19050" anchor="ctr" anchorCtr="1">
                        <a:noAutofit/>
                      </a:bodyPr>
                      <a:lstStyle/>
                      <a:p>
                        <a:pPr>
                          <a:defRPr lang="en-US" sz="900" b="1" i="0" u="none" strike="noStrike" kern="1200" baseline="0">
                            <a:solidFill>
                              <a:schemeClr val="bg1">
                                <a:lumMod val="50000"/>
                              </a:schemeClr>
                            </a:solidFill>
                            <a:latin typeface="Aptos Narrow" panose="020B0004020202020204" pitchFamily="34" charset="0"/>
                            <a:ea typeface="+mn-ea"/>
                            <a:cs typeface="+mn-cs"/>
                          </a:defRPr>
                        </a:pPr>
                        <a:endParaRPr lang="en-US"/>
                      </a:p>
                    </c:txPr>
                    <c:dLblPos val="r"/>
                    <c:showLegendKey val="0"/>
                    <c:showVal val="0"/>
                    <c:showCatName val="0"/>
                    <c:showSerName val="1"/>
                    <c:showPercent val="0"/>
                    <c:showBubbleSize val="0"/>
                    <c:extLst>
                      <c:ext uri="{CE6537A1-D6FC-4f65-9D91-7224C49458BB}">
                        <c15:layout>
                          <c:manualLayout>
                            <c:w val="9.0246191972544326E-2"/>
                            <c:h val="0.10788603032473638"/>
                          </c:manualLayout>
                        </c15:layout>
                      </c:ext>
                      <c:ext xmlns:c16="http://schemas.microsoft.com/office/drawing/2014/chart" uri="{C3380CC4-5D6E-409C-BE32-E72D297353CC}">
                        <c16:uniqueId val="{00000009-2E33-4486-9E98-CF5A6FF95580}"/>
                      </c:ext>
                    </c:extLst>
                  </c:dLbl>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dk1"/>
                          </a:solidFill>
                          <a:latin typeface=""/>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'Pre-filled Sample-Old'!$N$7</c15:sqref>
                        </c15:formulaRef>
                      </c:ext>
                    </c:extLst>
                    <c:numCache>
                      <c:formatCode>#,##0</c:formatCode>
                      <c:ptCount val="1"/>
                      <c:pt idx="0">
                        <c:v>398.21067475599995</c:v>
                      </c:pt>
                    </c:numCache>
                  </c:numRef>
                </c:val>
                <c:smooth val="0"/>
                <c:extLst>
                  <c:ext xmlns:c16="http://schemas.microsoft.com/office/drawing/2014/chart" uri="{C3380CC4-5D6E-409C-BE32-E72D297353CC}">
                    <c16:uniqueId val="{0000000A-2E33-4486-9E98-CF5A6FF95580}"/>
                  </c:ext>
                </c:extLst>
              </c15:ser>
            </c15:filteredLineSeries>
          </c:ext>
        </c:extLst>
      </c:lineChart>
      <c:scatterChart>
        <c:scatterStyle val="lineMarker"/>
        <c:varyColors val="0"/>
        <c:ser>
          <c:idx val="3"/>
          <c:order val="5"/>
          <c:tx>
            <c:v>Number of Measures Done</c:v>
          </c:tx>
          <c:spPr>
            <a:ln w="25400" cap="rnd">
              <a:noFill/>
              <a:round/>
            </a:ln>
            <a:effectLst/>
          </c:spPr>
          <c:marker>
            <c:symbol val="triangle"/>
            <c:size val="10"/>
            <c:spPr>
              <a:solidFill>
                <a:schemeClr val="accent1"/>
              </a:solidFill>
              <a:ln w="9525">
                <a:noFill/>
              </a:ln>
              <a:effectLst/>
            </c:spPr>
          </c:marker>
          <c:dLbls>
            <c:dLbl>
              <c:idx val="0"/>
              <c:tx>
                <c:rich>
                  <a:bodyPr/>
                  <a:lstStyle/>
                  <a:p>
                    <a:fld id="{30C19924-851C-4F3F-B496-6B1FDF10E94D}"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66F-47A8-A38B-99281D800D10}"/>
                </c:ext>
              </c:extLst>
            </c:dLbl>
            <c:dLbl>
              <c:idx val="1"/>
              <c:tx>
                <c:rich>
                  <a:bodyPr/>
                  <a:lstStyle/>
                  <a:p>
                    <a:fld id="{D1DFF72B-0B0F-4BD8-AF61-706F426CDE5C}"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66F-47A8-A38B-99281D800D1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966F-47A8-A38B-99281D800D10}"/>
                </c:ext>
              </c:extLst>
            </c:dLbl>
            <c:dLbl>
              <c:idx val="3"/>
              <c:tx>
                <c:rich>
                  <a:bodyPr/>
                  <a:lstStyle/>
                  <a:p>
                    <a:fld id="{F83C9553-0A37-4732-925A-99C5DEB78FB0}"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66F-47A8-A38B-99281D800D1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966F-47A8-A38B-99281D800D1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966F-47A8-A38B-99281D800D10}"/>
                </c:ext>
              </c:extLst>
            </c:dLbl>
            <c:dLbl>
              <c:idx val="6"/>
              <c:tx>
                <c:rich>
                  <a:bodyPr/>
                  <a:lstStyle/>
                  <a:p>
                    <a:fld id="{2F3F94BE-7E64-4794-874A-10CFDBE245C6}"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966F-47A8-A38B-99281D800D1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966F-47A8-A38B-99281D800D1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966F-47A8-A38B-99281D800D1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966F-47A8-A38B-99281D800D1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966F-47A8-A38B-99281D800D1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966F-47A8-A38B-99281D800D1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966F-47A8-A38B-99281D800D1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966F-47A8-A38B-99281D800D1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966F-47A8-A38B-99281D800D10}"/>
                </c:ext>
              </c:extLst>
            </c:dLbl>
            <c:dLbl>
              <c:idx val="15"/>
              <c:tx>
                <c:rich>
                  <a:bodyPr/>
                  <a:lstStyle/>
                  <a:p>
                    <a:fld id="{89DE1896-BB61-44FF-AA96-ED4DE5C432B6}" type="CELLRANGE">
                      <a:rPr lang="en-US"/>
                      <a:pPr/>
                      <a:t>[CELLRANGE]</a:t>
                    </a:fld>
                    <a:endParaRPr 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966F-47A8-A38B-99281D800D1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966F-47A8-A38B-99281D800D1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966F-47A8-A38B-99281D800D1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966F-47A8-A38B-99281D800D1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966F-47A8-A38B-99281D800D1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966F-47A8-A38B-99281D800D10}"/>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966F-47A8-A38B-99281D800D10}"/>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966F-47A8-A38B-99281D800D10}"/>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966F-47A8-A38B-99281D800D10}"/>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966F-47A8-A38B-99281D800D10}"/>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966F-47A8-A38B-99281D800D10}"/>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966F-47A8-A38B-99281D800D10}"/>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966F-47A8-A38B-99281D800D10}"/>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966F-47A8-A38B-99281D800D10}"/>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966F-47A8-A38B-99281D800D10}"/>
                </c:ext>
              </c:extLst>
            </c:dLbl>
            <c:spPr>
              <a:noFill/>
              <a:ln>
                <a:noFill/>
              </a:ln>
              <a:effectLst/>
            </c:spPr>
            <c:txPr>
              <a:bodyPr rot="-5400000" spcFirstLastPara="1" vertOverflow="ellipsis" wrap="square" lIns="38100" tIns="19050" rIns="38100" bIns="19050" anchor="ctr" anchorCtr="0">
                <a:spAutoFit/>
              </a:bodyPr>
              <a:lstStyle/>
              <a:p>
                <a:pPr algn="ctr">
                  <a:defRPr lang="en-US" sz="1050" b="1" i="0" u="none" strike="noStrike" kern="1200" baseline="0">
                    <a:solidFill>
                      <a:schemeClr val="tx2"/>
                    </a:solidFill>
                    <a:latin typeface="Aptos Narrow" panose="020B0004020202020204" pitchFamily="34" charset="0"/>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'Pre-filled Sample-Old'!$AG$48:$AG$77</c:f>
              <c:numCache>
                <c:formatCode>0</c:formatCode>
                <c:ptCount val="3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#N/A</c:v>
                </c:pt>
                <c:pt idx="28">
                  <c:v>#N/A</c:v>
                </c:pt>
                <c:pt idx="29">
                  <c:v>#N/A</c:v>
                </c:pt>
              </c:numCache>
            </c:numRef>
          </c:xVal>
          <c:yVal>
            <c:numRef>
              <c:f>'Pre-filled Sample-Old'!$AJ$48:$AJ$77</c:f>
              <c:numCache>
                <c:formatCode>0</c:formatCode>
                <c:ptCount val="30"/>
                <c:pt idx="0">
                  <c:v>398.21067475599995</c:v>
                </c:pt>
                <c:pt idx="1">
                  <c:v>319.57400890599996</c:v>
                </c:pt>
                <c:pt idx="2">
                  <c:v>#N/A</c:v>
                </c:pt>
                <c:pt idx="3">
                  <c:v>298.49273685599996</c:v>
                </c:pt>
                <c:pt idx="4">
                  <c:v>#N/A</c:v>
                </c:pt>
                <c:pt idx="5">
                  <c:v>#N/A</c:v>
                </c:pt>
                <c:pt idx="6">
                  <c:v>224.43348399999999</c:v>
                </c:pt>
                <c:pt idx="7">
                  <c:v>#N/A</c:v>
                </c:pt>
                <c:pt idx="8">
                  <c:v>#N/A</c:v>
                </c:pt>
                <c:pt idx="9">
                  <c:v>#N/A</c:v>
                </c:pt>
                <c:pt idx="10">
                  <c:v>#N/A</c:v>
                </c:pt>
                <c:pt idx="11">
                  <c:v>#N/A</c:v>
                </c:pt>
                <c:pt idx="12">
                  <c:v>#N/A</c:v>
                </c:pt>
                <c:pt idx="13">
                  <c:v>#N/A</c:v>
                </c:pt>
                <c:pt idx="14">
                  <c:v>#N/A</c:v>
                </c:pt>
                <c:pt idx="15">
                  <c:v>137.06573574999999</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yVal>
          <c:smooth val="0"/>
          <c:extLst>
            <c:ext xmlns:c15="http://schemas.microsoft.com/office/drawing/2012/chart" uri="{02D57815-91ED-43cb-92C2-25804820EDAC}">
              <c15:datalabelsRange>
                <c15:f>'Pre-filled Sample-Old'!$AI$48:$AI$77</c15:f>
                <c15:dlblRangeCache>
                  <c:ptCount val="30"/>
                  <c:pt idx="0">
                    <c:v>0 Measures Done</c:v>
                  </c:pt>
                  <c:pt idx="1">
                    <c:v>6 Measures Done</c:v>
                  </c:pt>
                  <c:pt idx="3">
                    <c:v>9 Measures Done</c:v>
                  </c:pt>
                  <c:pt idx="6">
                    <c:v>13 Measures Done</c:v>
                  </c:pt>
                  <c:pt idx="15">
                    <c:v>15 Measures Done</c:v>
                  </c:pt>
                  <c:pt idx="27">
                    <c:v>0 Measures Done</c:v>
                  </c:pt>
                </c15:dlblRangeCache>
              </c15:datalabelsRange>
            </c:ext>
            <c:ext xmlns:c16="http://schemas.microsoft.com/office/drawing/2014/chart" uri="{C3380CC4-5D6E-409C-BE32-E72D297353CC}">
              <c16:uniqueId val="{00000020-966F-47A8-A38B-99281D800D10}"/>
            </c:ext>
          </c:extLst>
        </c:ser>
        <c:dLbls>
          <c:showLegendKey val="0"/>
          <c:showVal val="0"/>
          <c:showCatName val="0"/>
          <c:showSerName val="0"/>
          <c:showPercent val="0"/>
          <c:showBubbleSize val="0"/>
        </c:dLbls>
        <c:axId val="1531504208"/>
        <c:axId val="1730183008"/>
      </c:scatterChart>
      <c:dateAx>
        <c:axId val="15315042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dk1"/>
                </a:solidFill>
                <a:latin typeface="Aptos" panose="020B0004020202020204" pitchFamily="34" charset="0"/>
                <a:ea typeface="+mn-ea"/>
                <a:cs typeface="+mn-cs"/>
              </a:defRPr>
            </a:pPr>
            <a:endParaRPr lang="en-US"/>
          </a:p>
        </c:txPr>
        <c:crossAx val="1730183008"/>
        <c:crosses val="autoZero"/>
        <c:auto val="0"/>
        <c:lblOffset val="100"/>
        <c:baseTimeUnit val="days"/>
      </c:dateAx>
      <c:valAx>
        <c:axId val="1730183008"/>
        <c:scaling>
          <c:orientation val="minMax"/>
        </c:scaling>
        <c:delete val="0"/>
        <c:axPos val="l"/>
        <c:majorGridlines>
          <c:spPr>
            <a:ln w="9525" cap="flat" cmpd="sng" algn="ctr">
              <a:solidFill>
                <a:schemeClr val="tx1">
                  <a:lumMod val="15000"/>
                  <a:lumOff val="85000"/>
                </a:schemeClr>
              </a:solidFill>
              <a:round/>
            </a:ln>
            <a:effectLst/>
          </c:spPr>
        </c:majorGridlines>
        <c:numFmt formatCode="#,###,##0\ &quot;tCO2e&quot;" sourceLinked="0"/>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solidFill>
                <a:latin typeface="Aptos" panose="020B0004020202020204" pitchFamily="34" charset="0"/>
                <a:ea typeface="+mn-ea"/>
                <a:cs typeface="+mn-cs"/>
              </a:defRPr>
            </a:pPr>
            <a:endParaRPr lang="en-US"/>
          </a:p>
        </c:txPr>
        <c:crossAx val="1531504208"/>
        <c:crosses val="autoZero"/>
        <c:crossBetween val="between"/>
      </c:valAx>
      <c:spPr>
        <a:noFill/>
        <a:ln>
          <a:noFill/>
        </a:ln>
        <a:effectLst/>
      </c:spPr>
    </c:plotArea>
    <c:legend>
      <c:legendPos val="r"/>
      <c:layout>
        <c:manualLayout>
          <c:xMode val="edge"/>
          <c:yMode val="edge"/>
          <c:x val="0.64264082266485412"/>
          <c:y val="7.9312244498676798E-2"/>
          <c:w val="0.33898581940549571"/>
          <c:h val="0.30555263084052364"/>
        </c:manualLayout>
      </c:layout>
      <c:overlay val="0"/>
      <c:spPr>
        <a:noFill/>
        <a:ln>
          <a:noFill/>
        </a:ln>
        <a:effectLst/>
      </c:spPr>
      <c:txPr>
        <a:bodyPr rot="0" spcFirstLastPara="1" vertOverflow="ellipsis" vert="horz" wrap="square" anchor="ctr" anchorCtr="1"/>
        <a:lstStyle/>
        <a:p>
          <a:pPr>
            <a:defRPr lang="en-US" sz="1050" b="1"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bg1">
          <a:lumMod val="95000"/>
        </a:schemeClr>
      </a:fgClr>
      <a:bgClr>
        <a:schemeClr val="bg1"/>
      </a:bgClr>
    </a:pattFill>
    <a:ln w="9525" cap="flat" cmpd="sng" algn="ctr">
      <a:solidFill>
        <a:schemeClr val="tx1">
          <a:lumMod val="15000"/>
          <a:lumOff val="85000"/>
        </a:schemeClr>
      </a:solidFill>
      <a:round/>
    </a:ln>
    <a:effectLst/>
  </c:spPr>
  <c:txPr>
    <a:bodyPr/>
    <a:lstStyle/>
    <a:p>
      <a:pPr>
        <a:defRPr lang="en-US" sz="900" b="0" i="0" u="none" strike="noStrike" kern="1200" baseline="0">
          <a:solidFill>
            <a:schemeClr val="dk1"/>
          </a:solidFill>
          <a:latin typeface=""/>
          <a:ea typeface="+mn-ea"/>
          <a:cs typeface="+mn-cs"/>
        </a:defRPr>
      </a:pPr>
      <a:endParaRPr lang="en-U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00000000-D5EF-4824-A16F-E40EA3B1AD87}" formatIdx="0">
          <cx:tx>
            <cx:txData>
              <cx:f/>
              <cx:v>Cost Benefit</cx:v>
            </cx:txData>
          </cx:tx>
          <cx:dataPt idx="1">
            <cx:spPr>
              <a:solidFill>
                <a:srgbClr val="70AD47"/>
              </a:solidFill>
            </cx:spPr>
          </cx:dataPt>
          <cx:dataPt idx="2">
            <cx:spPr>
              <a:solidFill>
                <a:srgbClr val="006DAC"/>
              </a:solidFill>
            </cx:spPr>
          </cx:dataPt>
          <cx:dataLabels>
            <cx:txPr>
              <a:bodyPr spcFirstLastPara="1" vertOverflow="ellipsis" horzOverflow="overflow" wrap="square" lIns="0" tIns="0" rIns="0" bIns="0" anchor="ctr" anchorCtr="1"/>
              <a:lstStyle/>
              <a:p>
                <a:pPr algn="ctr" rtl="0">
                  <a:defRPr sz="4400" b="1">
                    <a:latin typeface="Aptos" panose="020B0004020202020204" pitchFamily="34" charset="0"/>
                    <a:ea typeface="Aptos" panose="020B0004020202020204" pitchFamily="34" charset="0"/>
                    <a:cs typeface="Aptos" panose="020B0004020202020204" pitchFamily="34" charset="0"/>
                  </a:defRPr>
                </a:pPr>
                <a:endParaRPr lang="en-US" sz="4400" b="1" i="0" u="none" strike="noStrike" baseline="0">
                  <a:solidFill>
                    <a:sysClr val="window" lastClr="FFFFFF"/>
                  </a:solidFill>
                  <a:latin typeface="Aptos" panose="020B0004020202020204" pitchFamily="34" charset="0"/>
                </a:endParaRPr>
              </a:p>
            </cx:txPr>
            <cx:dataLabel idx="1">
              <cx:txPr>
                <a:bodyPr spcFirstLastPara="1" vertOverflow="ellipsis" horzOverflow="overflow" wrap="square" lIns="0" tIns="0" rIns="0" bIns="0" anchor="ctr" anchorCtr="1"/>
                <a:lstStyle/>
                <a:p>
                  <a:pPr algn="ctr" rtl="0">
                    <a:defRPr sz="1100" b="1">
                      <a:latin typeface="Aptos" panose="020B0004020202020204" pitchFamily="34" charset="0"/>
                      <a:ea typeface="Aptos" panose="020B0004020202020204" pitchFamily="34" charset="0"/>
                      <a:cs typeface="Aptos" panose="020B0004020202020204" pitchFamily="34" charset="0"/>
                    </a:defRPr>
                  </a:pPr>
                  <a:r>
                    <a:rPr lang="en-US" sz="1100" b="1" i="0" u="none" strike="noStrike" baseline="0">
                      <a:solidFill>
                        <a:sysClr val="window" lastClr="FFFFFF"/>
                      </a:solidFill>
                      <a:latin typeface="Aptos" panose="020B0004020202020204" pitchFamily="34" charset="0"/>
                    </a:rPr>
                    <a:t>Total Utility Savings
$906K</a:t>
                  </a:r>
                </a:p>
              </cx:txPr>
              <cx:visibility seriesName="0" categoryName="1" value="1"/>
              <cx:separator>
</cx:separator>
            </cx:dataLabel>
            <cx:dataLabel idx="2">
              <cx:txPr>
                <a:bodyPr spcFirstLastPara="1" vertOverflow="ellipsis" horzOverflow="overflow" wrap="square" lIns="0" tIns="0" rIns="0" bIns="0" anchor="ctr" anchorCtr="1"/>
                <a:lstStyle/>
                <a:p>
                  <a:pPr algn="ctr" rtl="0">
                    <a:defRPr sz="1050"/>
                  </a:pPr>
                  <a:r>
                    <a:rPr lang="en-US" sz="1050" b="1" i="0" u="none" strike="noStrike" baseline="0">
                      <a:solidFill>
                        <a:sysClr val="window" lastClr="FFFFFF"/>
                      </a:solidFill>
                      <a:latin typeface="Aptos" panose="020B0004020202020204" pitchFamily="34" charset="0"/>
                    </a:rPr>
                    <a:t>Total LL97 Penalty Savings
$528K</a:t>
                  </a:r>
                </a:p>
              </cx:txPr>
              <cx:visibility seriesName="0" categoryName="1" value="1"/>
              <cx:separator>
</cx:separator>
            </cx:dataLabel>
          </cx:dataLabels>
          <cx:dataId val="0"/>
          <cx:layoutPr/>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treemap" uniqueId="{00000000-D5EF-4824-A16F-E40EA3B1AD87}" formatIdx="0">
          <cx:tx>
            <cx:txData>
              <cx:f/>
              <cx:v>Cost Benefit</cx:v>
            </cx:txData>
          </cx:tx>
          <cx:dataPt idx="1">
            <cx:spPr>
              <a:solidFill>
                <a:srgbClr val="70AD47"/>
              </a:solidFill>
            </cx:spPr>
          </cx:dataPt>
          <cx:dataPt idx="2">
            <cx:spPr>
              <a:solidFill>
                <a:srgbClr val="006DAC"/>
              </a:solidFill>
            </cx:spPr>
          </cx:dataPt>
          <cx:dataLabels>
            <cx:txPr>
              <a:bodyPr spcFirstLastPara="1" vertOverflow="ellipsis" horzOverflow="overflow" wrap="square" lIns="0" tIns="0" rIns="0" bIns="0" anchor="ctr" anchorCtr="1"/>
              <a:lstStyle/>
              <a:p>
                <a:pPr algn="ctr" rtl="0">
                  <a:defRPr sz="4400" b="1">
                    <a:latin typeface="Aptos" panose="020B0004020202020204" pitchFamily="34" charset="0"/>
                    <a:ea typeface="Aptos" panose="020B0004020202020204" pitchFamily="34" charset="0"/>
                    <a:cs typeface="Aptos" panose="020B0004020202020204" pitchFamily="34" charset="0"/>
                  </a:defRPr>
                </a:pPr>
                <a:endParaRPr lang="en-US" sz="4400" b="1" i="0" u="none" strike="noStrike" baseline="0">
                  <a:solidFill>
                    <a:sysClr val="window" lastClr="FFFFFF"/>
                  </a:solidFill>
                  <a:latin typeface="Aptos" panose="020B0004020202020204" pitchFamily="34" charset="0"/>
                </a:endParaRPr>
              </a:p>
            </cx:txPr>
            <cx:dataLabel idx="1">
              <cx:txPr>
                <a:bodyPr spcFirstLastPara="1" vertOverflow="ellipsis" horzOverflow="overflow" wrap="square" lIns="0" tIns="0" rIns="0" bIns="0" anchor="ctr" anchorCtr="1"/>
                <a:lstStyle/>
                <a:p>
                  <a:pPr algn="ctr" rtl="0">
                    <a:defRPr sz="1100" b="1">
                      <a:latin typeface="Aptos" panose="020B0004020202020204" pitchFamily="34" charset="0"/>
                      <a:ea typeface="Aptos" panose="020B0004020202020204" pitchFamily="34" charset="0"/>
                      <a:cs typeface="Aptos" panose="020B0004020202020204" pitchFamily="34" charset="0"/>
                    </a:defRPr>
                  </a:pPr>
                  <a:r>
                    <a:rPr lang="en-US" sz="1100" b="1" i="0" u="none" strike="noStrike" baseline="0">
                      <a:solidFill>
                        <a:sysClr val="window" lastClr="FFFFFF"/>
                      </a:solidFill>
                      <a:latin typeface="Aptos" panose="020B0004020202020204" pitchFamily="34" charset="0"/>
                    </a:rPr>
                    <a:t>Total Utility Savings
$906K</a:t>
                  </a:r>
                </a:p>
              </cx:txPr>
              <cx:visibility seriesName="0" categoryName="1" value="1"/>
              <cx:separator>
</cx:separator>
            </cx:dataLabel>
            <cx:dataLabel idx="2">
              <cx:txPr>
                <a:bodyPr spcFirstLastPara="1" vertOverflow="ellipsis" horzOverflow="overflow" wrap="square" lIns="0" tIns="0" rIns="0" bIns="0" anchor="ctr" anchorCtr="1"/>
                <a:lstStyle/>
                <a:p>
                  <a:pPr algn="ctr" rtl="0">
                    <a:defRPr sz="1050"/>
                  </a:pPr>
                  <a:r>
                    <a:rPr lang="en-US" sz="1050" b="1" i="0" u="none" strike="noStrike" baseline="0">
                      <a:solidFill>
                        <a:sysClr val="window" lastClr="FFFFFF"/>
                      </a:solidFill>
                      <a:latin typeface="Aptos" panose="020B0004020202020204" pitchFamily="34" charset="0"/>
                    </a:rPr>
                    <a:t>Total LL97 Penalty Savings
$528K</a:t>
                  </a:r>
                </a:p>
              </cx:txPr>
              <cx:visibility seriesName="0" categoryName="1" value="1"/>
              <cx:separator>
</cx:separator>
            </cx:dataLabel>
          </cx:dataLabels>
          <cx:dataId val="0"/>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plotArea>
      <cx:plotAreaRegion>
        <cx:series layoutId="treemap" uniqueId="{00000000-D5EF-4824-A16F-E40EA3B1AD87}" formatIdx="0">
          <cx:tx>
            <cx:txData>
              <cx:f/>
              <cx:v>Cost Benefit</cx:v>
            </cx:txData>
          </cx:tx>
          <cx:dataPt idx="1">
            <cx:spPr>
              <a:solidFill>
                <a:srgbClr val="70AD47"/>
              </a:solidFill>
            </cx:spPr>
          </cx:dataPt>
          <cx:dataPt idx="2">
            <cx:spPr>
              <a:solidFill>
                <a:srgbClr val="006DAC"/>
              </a:solidFill>
            </cx:spPr>
          </cx:dataPt>
          <cx:dataLabels>
            <cx:txPr>
              <a:bodyPr spcFirstLastPara="1" vertOverflow="ellipsis" horzOverflow="overflow" wrap="square" lIns="0" tIns="0" rIns="0" bIns="0" anchor="ctr" anchorCtr="1"/>
              <a:lstStyle/>
              <a:p>
                <a:pPr algn="ctr" rtl="0">
                  <a:defRPr sz="4400" b="1">
                    <a:latin typeface="Aptos" panose="020B0004020202020204" pitchFamily="34" charset="0"/>
                    <a:ea typeface="Aptos" panose="020B0004020202020204" pitchFamily="34" charset="0"/>
                    <a:cs typeface="Aptos" panose="020B0004020202020204" pitchFamily="34" charset="0"/>
                  </a:defRPr>
                </a:pPr>
                <a:endParaRPr lang="en-US" sz="4400" b="1" i="0" u="none" strike="noStrike" baseline="0">
                  <a:solidFill>
                    <a:sysClr val="window" lastClr="FFFFFF"/>
                  </a:solidFill>
                  <a:latin typeface="Aptos" panose="020B0004020202020204" pitchFamily="34" charset="0"/>
                </a:endParaRPr>
              </a:p>
            </cx:txPr>
            <cx:dataLabel idx="1">
              <cx:txPr>
                <a:bodyPr spcFirstLastPara="1" vertOverflow="ellipsis" horzOverflow="overflow" wrap="square" lIns="0" tIns="0" rIns="0" bIns="0" anchor="ctr" anchorCtr="1"/>
                <a:lstStyle/>
                <a:p>
                  <a:pPr algn="ctr" rtl="0">
                    <a:defRPr sz="1100" b="1">
                      <a:latin typeface="Aptos" panose="020B0004020202020204" pitchFamily="34" charset="0"/>
                      <a:ea typeface="Aptos" panose="020B0004020202020204" pitchFamily="34" charset="0"/>
                      <a:cs typeface="Aptos" panose="020B0004020202020204" pitchFamily="34" charset="0"/>
                    </a:defRPr>
                  </a:pPr>
                  <a:r>
                    <a:rPr lang="en-US" sz="1100" b="1" i="0" u="none" strike="noStrike" baseline="0">
                      <a:solidFill>
                        <a:sysClr val="window" lastClr="FFFFFF"/>
                      </a:solidFill>
                      <a:latin typeface="Aptos" panose="020B0004020202020204" pitchFamily="34" charset="0"/>
                    </a:rPr>
                    <a:t>Total Utility Savings
$926K</a:t>
                  </a:r>
                </a:p>
              </cx:txPr>
              <cx:visibility seriesName="0" categoryName="1" value="1"/>
              <cx:separator>
</cx:separator>
            </cx:dataLabel>
            <cx:dataLabel idx="2">
              <cx:txPr>
                <a:bodyPr spcFirstLastPara="1" vertOverflow="ellipsis" horzOverflow="overflow" wrap="square" lIns="0" tIns="0" rIns="0" bIns="0" anchor="ctr" anchorCtr="1"/>
                <a:lstStyle/>
                <a:p>
                  <a:pPr algn="ctr" rtl="0">
                    <a:defRPr sz="1050"/>
                  </a:pPr>
                  <a:r>
                    <a:rPr lang="en-US" sz="1050" b="1" i="0" u="none" strike="noStrike" baseline="0">
                      <a:solidFill>
                        <a:sysClr val="window" lastClr="FFFFFF"/>
                      </a:solidFill>
                      <a:latin typeface="Aptos" panose="020B0004020202020204" pitchFamily="34" charset="0"/>
                    </a:rPr>
                    <a:t>Total LL97 Penalty Savings
$542K</a:t>
                  </a:r>
                </a:p>
              </cx:txPr>
              <cx:visibility seriesName="0" categoryName="1" value="1"/>
              <cx:separator>
</cx:separator>
            </cx:dataLabel>
          </cx:dataLabels>
          <cx:dataId val="0"/>
          <cx:layoutPr/>
        </cx:series>
      </cx:plotAreaRegion>
    </cx:plotArea>
  </cx:chart>
</cx: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microsoft.com/office/2014/relationships/chartEx" Target="../charts/chartEx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microsoft.com/office/2014/relationships/chartEx" Target="../charts/chartEx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microsoft.com/office/2014/relationships/chartEx" Target="../charts/chartEx3.xml"/></Relationships>
</file>

<file path=xl/drawings/drawing1.xml><?xml version="1.0" encoding="utf-8"?>
<xdr:wsDr xmlns:xdr="http://schemas.openxmlformats.org/drawingml/2006/spreadsheetDrawing" xmlns:a="http://schemas.openxmlformats.org/drawingml/2006/main">
  <xdr:twoCellAnchor editAs="oneCell">
    <xdr:from>
      <xdr:col>1</xdr:col>
      <xdr:colOff>2101362</xdr:colOff>
      <xdr:row>35</xdr:row>
      <xdr:rowOff>238124</xdr:rowOff>
    </xdr:from>
    <xdr:to>
      <xdr:col>1</xdr:col>
      <xdr:colOff>4479331</xdr:colOff>
      <xdr:row>35</xdr:row>
      <xdr:rowOff>1157653</xdr:rowOff>
    </xdr:to>
    <xdr:pic>
      <xdr:nvPicPr>
        <xdr:cNvPr id="2" name="Picture 7">
          <a:extLst>
            <a:ext uri="{FF2B5EF4-FFF2-40B4-BE49-F238E27FC236}">
              <a16:creationId xmlns:a16="http://schemas.microsoft.com/office/drawing/2014/main" id="{0FC5A595-A8D7-F293-B239-6E9E03FFAA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4631" y="7206028"/>
          <a:ext cx="2377969" cy="919529"/>
        </a:xfrm>
        <a:prstGeom prst="rect">
          <a:avLst/>
        </a:prstGeom>
      </xdr:spPr>
    </xdr:pic>
    <xdr:clientData/>
  </xdr:twoCellAnchor>
  <xdr:twoCellAnchor editAs="oneCell">
    <xdr:from>
      <xdr:col>1</xdr:col>
      <xdr:colOff>139212</xdr:colOff>
      <xdr:row>35</xdr:row>
      <xdr:rowOff>71815</xdr:rowOff>
    </xdr:from>
    <xdr:to>
      <xdr:col>1</xdr:col>
      <xdr:colOff>1597269</xdr:colOff>
      <xdr:row>35</xdr:row>
      <xdr:rowOff>1296865</xdr:rowOff>
    </xdr:to>
    <xdr:pic>
      <xdr:nvPicPr>
        <xdr:cNvPr id="5" name="Picture 4">
          <a:extLst>
            <a:ext uri="{FF2B5EF4-FFF2-40B4-BE49-F238E27FC236}">
              <a16:creationId xmlns:a16="http://schemas.microsoft.com/office/drawing/2014/main" id="{A11F710C-872A-B28F-94C6-23B96DB2B1E0}"/>
            </a:ext>
          </a:extLst>
        </xdr:cNvPr>
        <xdr:cNvPicPr>
          <a:picLocks noChangeAspect="1"/>
        </xdr:cNvPicPr>
      </xdr:nvPicPr>
      <xdr:blipFill>
        <a:blip xmlns:r="http://schemas.openxmlformats.org/officeDocument/2006/relationships" r:embed="rId2"/>
        <a:stretch>
          <a:fillRect/>
        </a:stretch>
      </xdr:blipFill>
      <xdr:spPr>
        <a:xfrm>
          <a:off x="212481" y="7039719"/>
          <a:ext cx="1458057" cy="1225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405011</xdr:colOff>
      <xdr:row>100</xdr:row>
      <xdr:rowOff>160084</xdr:rowOff>
    </xdr:from>
    <xdr:to>
      <xdr:col>18</xdr:col>
      <xdr:colOff>739589</xdr:colOff>
      <xdr:row>122</xdr:row>
      <xdr:rowOff>167608</xdr:rowOff>
    </xdr:to>
    <xdr:graphicFrame macro="">
      <xdr:nvGraphicFramePr>
        <xdr:cNvPr id="2" name="Chart 1">
          <a:extLst>
            <a:ext uri="{FF2B5EF4-FFF2-40B4-BE49-F238E27FC236}">
              <a16:creationId xmlns:a16="http://schemas.microsoft.com/office/drawing/2014/main" id="{F3F3DD62-70BA-4807-A8BE-3EB7062EA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403410</xdr:colOff>
      <xdr:row>81</xdr:row>
      <xdr:rowOff>78443</xdr:rowOff>
    </xdr:from>
    <xdr:to>
      <xdr:col>18</xdr:col>
      <xdr:colOff>784412</xdr:colOff>
      <xdr:row>100</xdr:row>
      <xdr:rowOff>199465</xdr:rowOff>
    </xdr:to>
    <xdr:graphicFrame macro="">
      <xdr:nvGraphicFramePr>
        <xdr:cNvPr id="3" name="Chart 2">
          <a:extLst>
            <a:ext uri="{FF2B5EF4-FFF2-40B4-BE49-F238E27FC236}">
              <a16:creationId xmlns:a16="http://schemas.microsoft.com/office/drawing/2014/main" id="{0EAFD033-EF02-4BF5-AB48-8302C8923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930090</xdr:colOff>
      <xdr:row>81</xdr:row>
      <xdr:rowOff>24484</xdr:rowOff>
    </xdr:from>
    <xdr:to>
      <xdr:col>9</xdr:col>
      <xdr:colOff>67238</xdr:colOff>
      <xdr:row>123</xdr:row>
      <xdr:rowOff>123263</xdr:rowOff>
    </xdr:to>
    <xdr:sp macro="" textlink="">
      <xdr:nvSpPr>
        <xdr:cNvPr id="4" name="TextBox 3">
          <a:extLst>
            <a:ext uri="{FF2B5EF4-FFF2-40B4-BE49-F238E27FC236}">
              <a16:creationId xmlns:a16="http://schemas.microsoft.com/office/drawing/2014/main" id="{10D32EF5-B43D-4F1E-80E1-EBA7B0A3584A}"/>
            </a:ext>
          </a:extLst>
        </xdr:cNvPr>
        <xdr:cNvSpPr txBox="1"/>
      </xdr:nvSpPr>
      <xdr:spPr>
        <a:xfrm>
          <a:off x="1075766" y="18883984"/>
          <a:ext cx="9188825" cy="8637661"/>
        </a:xfrm>
        <a:prstGeom prst="rect">
          <a:avLst/>
        </a:prstGeom>
        <a:solidFill>
          <a:schemeClr val="accent1">
            <a:alpha val="5000"/>
          </a:schemeClr>
        </a:solidFill>
        <a:ln>
          <a:solidFill>
            <a:schemeClr val="accent1"/>
          </a:solidFill>
          <a:prstDash val="sysDash"/>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endParaRPr lang="en-US" sz="1100"/>
        </a:p>
      </xdr:txBody>
    </xdr:sp>
    <xdr:clientData/>
  </xdr:twoCellAnchor>
  <xdr:twoCellAnchor editAs="oneCell">
    <xdr:from>
      <xdr:col>3</xdr:col>
      <xdr:colOff>80681</xdr:colOff>
      <xdr:row>1</xdr:row>
      <xdr:rowOff>0</xdr:rowOff>
    </xdr:from>
    <xdr:to>
      <xdr:col>5</xdr:col>
      <xdr:colOff>0</xdr:colOff>
      <xdr:row>4</xdr:row>
      <xdr:rowOff>75018</xdr:rowOff>
    </xdr:to>
    <xdr:sp macro="" textlink="">
      <xdr:nvSpPr>
        <xdr:cNvPr id="5" name="TextBox 4">
          <a:extLst>
            <a:ext uri="{FF2B5EF4-FFF2-40B4-BE49-F238E27FC236}">
              <a16:creationId xmlns:a16="http://schemas.microsoft.com/office/drawing/2014/main" id="{F3DD930B-2A26-448A-90B0-E8107F676A31}"/>
            </a:ext>
          </a:extLst>
        </xdr:cNvPr>
        <xdr:cNvSpPr txBox="1"/>
      </xdr:nvSpPr>
      <xdr:spPr>
        <a:xfrm>
          <a:off x="1929652" y="302559"/>
          <a:ext cx="4222377" cy="64651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STEP 1: </a:t>
          </a:r>
          <a:r>
            <a:rPr lang="en-US" sz="1100" b="1" baseline="0">
              <a:solidFill>
                <a:schemeClr val="accent2"/>
              </a:solidFill>
              <a:latin typeface="Aptos Narrow" panose="020B0004020202020204" pitchFamily="34" charset="0"/>
            </a:rPr>
            <a:t>Choose the applicable space types from the in-cell drop-down list. Then input the space size in Sq.Ft. </a:t>
          </a:r>
        </a:p>
        <a:p>
          <a:pPr algn="ctr"/>
          <a:r>
            <a:rPr lang="en-US" sz="1100" b="0" baseline="0">
              <a:solidFill>
                <a:schemeClr val="accent2"/>
              </a:solidFill>
              <a:latin typeface="Aptos Narrow" panose="020B0004020202020204" pitchFamily="34" charset="0"/>
              <a:ea typeface="+mn-ea"/>
              <a:cs typeface="+mn-cs"/>
            </a:rPr>
            <a:t>You may enter up to 8 unique space types.</a:t>
          </a:r>
        </a:p>
      </xdr:txBody>
    </xdr:sp>
    <xdr:clientData/>
  </xdr:twoCellAnchor>
  <xdr:twoCellAnchor editAs="oneCell">
    <xdr:from>
      <xdr:col>18</xdr:col>
      <xdr:colOff>1186142</xdr:colOff>
      <xdr:row>81</xdr:row>
      <xdr:rowOff>216834</xdr:rowOff>
    </xdr:from>
    <xdr:to>
      <xdr:col>25</xdr:col>
      <xdr:colOff>79935</xdr:colOff>
      <xdr:row>100</xdr:row>
      <xdr:rowOff>168088</xdr:rowOff>
    </xdr:to>
    <xdr:graphicFrame macro="">
      <xdr:nvGraphicFramePr>
        <xdr:cNvPr id="6" name="Chart 5">
          <a:extLst>
            <a:ext uri="{FF2B5EF4-FFF2-40B4-BE49-F238E27FC236}">
              <a16:creationId xmlns:a16="http://schemas.microsoft.com/office/drawing/2014/main" id="{D6A59789-4ECF-48D2-AB89-88A601870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1132352</xdr:colOff>
      <xdr:row>101</xdr:row>
      <xdr:rowOff>89645</xdr:rowOff>
    </xdr:from>
    <xdr:to>
      <xdr:col>25</xdr:col>
      <xdr:colOff>102347</xdr:colOff>
      <xdr:row>123</xdr:row>
      <xdr:rowOff>22411</xdr:rowOff>
    </xdr:to>
    <xdr:grpSp>
      <xdr:nvGrpSpPr>
        <xdr:cNvPr id="7" name="Group 6">
          <a:extLst>
            <a:ext uri="{FF2B5EF4-FFF2-40B4-BE49-F238E27FC236}">
              <a16:creationId xmlns:a16="http://schemas.microsoft.com/office/drawing/2014/main" id="{730999E1-C764-40A6-B185-CB2399B49DB1}"/>
            </a:ext>
          </a:extLst>
        </xdr:cNvPr>
        <xdr:cNvGrpSpPr/>
      </xdr:nvGrpSpPr>
      <xdr:grpSpPr>
        <a:xfrm>
          <a:off x="20239502" y="15005795"/>
          <a:ext cx="7094821" cy="4276166"/>
          <a:chOff x="19571070" y="14108205"/>
          <a:chExt cx="6729136" cy="4157383"/>
        </a:xfrm>
      </xdr:grpSpPr>
      <xdr:grpSp>
        <xdr:nvGrpSpPr>
          <xdr:cNvPr id="8" name="Group 7">
            <a:extLst>
              <a:ext uri="{FF2B5EF4-FFF2-40B4-BE49-F238E27FC236}">
                <a16:creationId xmlns:a16="http://schemas.microsoft.com/office/drawing/2014/main" id="{6893F1B4-AB18-BB1C-3DF6-5106A4D88ECB}"/>
              </a:ext>
            </a:extLst>
          </xdr:cNvPr>
          <xdr:cNvGrpSpPr/>
        </xdr:nvGrpSpPr>
        <xdr:grpSpPr>
          <a:xfrm>
            <a:off x="19571071" y="14108205"/>
            <a:ext cx="6729135" cy="4157383"/>
            <a:chOff x="19571071" y="14108205"/>
            <a:chExt cx="6729135" cy="4157383"/>
          </a:xfrm>
        </xdr:grpSpPr>
        <xdr:grpSp>
          <xdr:nvGrpSpPr>
            <xdr:cNvPr id="10" name="Group 9">
              <a:extLst>
                <a:ext uri="{FF2B5EF4-FFF2-40B4-BE49-F238E27FC236}">
                  <a16:creationId xmlns:a16="http://schemas.microsoft.com/office/drawing/2014/main" id="{A18CB3BB-CAE4-F5FE-AF50-A1F73BC2EE35}"/>
                </a:ext>
              </a:extLst>
            </xdr:cNvPr>
            <xdr:cNvGrpSpPr/>
          </xdr:nvGrpSpPr>
          <xdr:grpSpPr>
            <a:xfrm>
              <a:off x="19571071" y="14108205"/>
              <a:ext cx="6729135" cy="4157383"/>
              <a:chOff x="19178866" y="17559617"/>
              <a:chExt cx="6729135" cy="4101354"/>
            </a:xfrm>
          </xdr:grpSpPr>
          <mc:AlternateContent xmlns:mc="http://schemas.openxmlformats.org/markup-compatibility/2006">
            <mc:Choice xmlns:cx1="http://schemas.microsoft.com/office/drawing/2015/9/8/chartex" Requires="cx1">
              <xdr:graphicFrame macro="">
                <xdr:nvGraphicFramePr>
                  <xdr:cNvPr id="12" name="Chart 15">
                    <a:extLst>
                      <a:ext uri="{FF2B5EF4-FFF2-40B4-BE49-F238E27FC236}">
                        <a16:creationId xmlns:a16="http://schemas.microsoft.com/office/drawing/2014/main" id="{B8FC88C5-EAB4-7B14-CCE7-7079B35AFA18}"/>
                      </a:ext>
                    </a:extLst>
                  </xdr:cNvPr>
                  <xdr:cNvGraphicFramePr/>
                </xdr:nvGraphicFramePr>
                <xdr:xfrm>
                  <a:off x="19178866" y="17869738"/>
                  <a:ext cx="6729135" cy="3791233"/>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178866" y="17869738"/>
                    <a:ext cx="6729135" cy="379123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sp macro="" textlink="#REF!">
            <xdr:nvSpPr>
              <xdr:cNvPr id="13" name="TextBox 1">
                <a:extLst>
                  <a:ext uri="{FF2B5EF4-FFF2-40B4-BE49-F238E27FC236}">
                    <a16:creationId xmlns:a16="http://schemas.microsoft.com/office/drawing/2014/main" id="{88B6742E-6087-60F6-DB89-528D55B1F3D3}"/>
                  </a:ext>
                </a:extLst>
              </xdr:cNvPr>
              <xdr:cNvSpPr txBox="1"/>
            </xdr:nvSpPr>
            <xdr:spPr>
              <a:xfrm>
                <a:off x="19250879" y="17559617"/>
                <a:ext cx="5264887" cy="4111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fld id="{53C3EFD8-A1E8-4896-B408-61AF9AED7453}" type="TxLink">
                  <a:rPr lang="en-US" sz="1400" b="1" i="0" u="none" strike="noStrike">
                    <a:solidFill>
                      <a:sysClr val="windowText" lastClr="000000"/>
                    </a:solidFill>
                    <a:latin typeface="Aptos"/>
                  </a:rPr>
                  <a:pPr algn="l"/>
                  <a:t> </a:t>
                </a:fld>
                <a:endParaRPr lang="en-US" sz="1600" b="1">
                  <a:solidFill>
                    <a:sysClr val="windowText" lastClr="000000"/>
                  </a:solidFill>
                  <a:latin typeface="Aptos" panose="020B0004020202020204" pitchFamily="34" charset="0"/>
                </a:endParaRPr>
              </a:p>
            </xdr:txBody>
          </xdr:sp>
        </xdr:grpSp>
        <xdr:sp macro="" textlink="#REF!">
          <xdr:nvSpPr>
            <xdr:cNvPr id="11" name="TextBox 1">
              <a:extLst>
                <a:ext uri="{FF2B5EF4-FFF2-40B4-BE49-F238E27FC236}">
                  <a16:creationId xmlns:a16="http://schemas.microsoft.com/office/drawing/2014/main" id="{676EF91B-E56B-D48C-1D00-FB934F691948}"/>
                </a:ext>
              </a:extLst>
            </xdr:cNvPr>
            <xdr:cNvSpPr txBox="1"/>
          </xdr:nvSpPr>
          <xdr:spPr>
            <a:xfrm>
              <a:off x="21498484" y="14119412"/>
              <a:ext cx="1339104" cy="3058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fld id="{B4A24ADB-7EE0-4326-8317-F0B445F10F28}" type="TxLink">
                <a:rPr lang="en-US" sz="1200" b="1" i="0" u="none" strike="noStrike">
                  <a:solidFill>
                    <a:schemeClr val="tx1">
                      <a:lumMod val="65000"/>
                      <a:lumOff val="35000"/>
                    </a:schemeClr>
                  </a:solidFill>
                  <a:latin typeface="Aptos"/>
                </a:rPr>
                <a:pPr algn="l"/>
                <a:t> </a:t>
              </a:fld>
              <a:endParaRPr lang="en-US" sz="1600" b="1">
                <a:solidFill>
                  <a:schemeClr val="tx1">
                    <a:lumMod val="65000"/>
                    <a:lumOff val="35000"/>
                  </a:schemeClr>
                </a:solidFill>
                <a:latin typeface="Aptos" panose="020B0004020202020204" pitchFamily="34" charset="0"/>
              </a:endParaRPr>
            </a:p>
          </xdr:txBody>
        </xdr:sp>
      </xdr:grpSp>
      <xdr:sp macro="" textlink="">
        <xdr:nvSpPr>
          <xdr:cNvPr id="9" name="TextBox 1">
            <a:extLst>
              <a:ext uri="{FF2B5EF4-FFF2-40B4-BE49-F238E27FC236}">
                <a16:creationId xmlns:a16="http://schemas.microsoft.com/office/drawing/2014/main" id="{7BD46540-69D9-3678-329F-F0FD2042AC45}"/>
              </a:ext>
            </a:extLst>
          </xdr:cNvPr>
          <xdr:cNvSpPr txBox="1"/>
        </xdr:nvSpPr>
        <xdr:spPr>
          <a:xfrm>
            <a:off x="19571070" y="14119411"/>
            <a:ext cx="2906090" cy="361867"/>
          </a:xfrm>
          <a:prstGeom prst="rect">
            <a:avLst/>
          </a:prstGeom>
        </xdr:spPr>
        <xdr:txBody>
          <a:bodyPr wrap="square" rtlCol="0"/>
          <a:lstStyle/>
          <a:p>
            <a:pPr algn="l"/>
            <a:r>
              <a:rPr lang="en-US" sz="1200" b="1" i="0" u="none" strike="noStrike">
                <a:solidFill>
                  <a:schemeClr val="tx1">
                    <a:lumMod val="65000"/>
                    <a:lumOff val="35000"/>
                  </a:schemeClr>
                </a:solidFill>
                <a:latin typeface="Aptos"/>
              </a:rPr>
              <a:t>Overall</a:t>
            </a:r>
            <a:r>
              <a:rPr lang="en-US" sz="1200" b="1" i="0" u="none" strike="noStrike" baseline="0">
                <a:solidFill>
                  <a:schemeClr val="tx1">
                    <a:lumMod val="65000"/>
                    <a:lumOff val="35000"/>
                  </a:schemeClr>
                </a:solidFill>
                <a:latin typeface="Aptos"/>
              </a:rPr>
              <a:t> </a:t>
            </a:r>
            <a:r>
              <a:rPr lang="en-US" sz="1200" b="1" i="0" u="none" strike="noStrike">
                <a:solidFill>
                  <a:schemeClr val="tx1">
                    <a:lumMod val="65000"/>
                    <a:lumOff val="35000"/>
                  </a:schemeClr>
                </a:solidFill>
                <a:latin typeface="Aptos"/>
              </a:rPr>
              <a:t>Cost</a:t>
            </a:r>
            <a:r>
              <a:rPr lang="en-US" sz="1200" b="1" i="0" u="none" strike="noStrike" baseline="0">
                <a:solidFill>
                  <a:schemeClr val="tx1">
                    <a:lumMod val="65000"/>
                    <a:lumOff val="35000"/>
                  </a:schemeClr>
                </a:solidFill>
                <a:latin typeface="Aptos"/>
              </a:rPr>
              <a:t> Savings</a:t>
            </a:r>
            <a:r>
              <a:rPr lang="en-US" sz="1200" b="1" i="0" u="none" strike="noStrike">
                <a:solidFill>
                  <a:schemeClr val="tx1">
                    <a:lumMod val="65000"/>
                    <a:lumOff val="35000"/>
                  </a:schemeClr>
                </a:solidFill>
                <a:latin typeface="Aptos"/>
              </a:rPr>
              <a:t> (Base year - 2049)</a:t>
            </a:r>
          </a:p>
        </xdr:txBody>
      </xdr:sp>
    </xdr:grpSp>
    <xdr:clientData/>
  </xdr:twoCellAnchor>
  <xdr:twoCellAnchor editAs="oneCell">
    <xdr:from>
      <xdr:col>5</xdr:col>
      <xdr:colOff>1043267</xdr:colOff>
      <xdr:row>1</xdr:row>
      <xdr:rowOff>12887</xdr:rowOff>
    </xdr:from>
    <xdr:to>
      <xdr:col>14</xdr:col>
      <xdr:colOff>215993</xdr:colOff>
      <xdr:row>4</xdr:row>
      <xdr:rowOff>87905</xdr:rowOff>
    </xdr:to>
    <xdr:sp macro="" textlink="">
      <xdr:nvSpPr>
        <xdr:cNvPr id="14" name="TextBox 13">
          <a:extLst>
            <a:ext uri="{FF2B5EF4-FFF2-40B4-BE49-F238E27FC236}">
              <a16:creationId xmlns:a16="http://schemas.microsoft.com/office/drawing/2014/main" id="{05CEBAC1-7C42-40F5-8ECC-816EF2F331AD}"/>
            </a:ext>
          </a:extLst>
        </xdr:cNvPr>
        <xdr:cNvSpPr txBox="1"/>
      </xdr:nvSpPr>
      <xdr:spPr>
        <a:xfrm>
          <a:off x="7177367" y="317687"/>
          <a:ext cx="7861487" cy="64651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2: </a:t>
          </a:r>
          <a:r>
            <a:rPr lang="en-US" sz="1100" b="1" baseline="0">
              <a:solidFill>
                <a:schemeClr val="accent2"/>
              </a:solidFill>
              <a:latin typeface="Aptos Narrow" panose="020B0004020202020204" pitchFamily="34" charset="0"/>
            </a:rPr>
            <a:t>Input the year and the energy usage information </a:t>
          </a:r>
          <a:r>
            <a:rPr lang="en-US" sz="1100" b="1" baseline="0">
              <a:solidFill>
                <a:schemeClr val="accent2"/>
              </a:solidFill>
              <a:effectLst/>
              <a:latin typeface="Aptos Narrow" panose="020B0004020202020204" pitchFamily="34" charset="0"/>
              <a:ea typeface="+mn-ea"/>
              <a:cs typeface="+mn-cs"/>
            </a:rPr>
            <a:t>in the </a:t>
          </a:r>
          <a:r>
            <a:rPr lang="en-US" sz="1100" b="1" baseline="0">
              <a:solidFill>
                <a:schemeClr val="accent1"/>
              </a:solidFill>
              <a:effectLst/>
              <a:latin typeface="Aptos Narrow" panose="020B0004020202020204" pitchFamily="34" charset="0"/>
              <a:ea typeface="+mn-ea"/>
              <a:cs typeface="+mn-cs"/>
            </a:rPr>
            <a:t>blue cells </a:t>
          </a:r>
          <a:r>
            <a:rPr lang="en-US" sz="1100" b="1" baseline="0">
              <a:solidFill>
                <a:schemeClr val="accent2"/>
              </a:solidFill>
              <a:effectLst/>
              <a:latin typeface="Aptos Narrow" panose="020B0004020202020204" pitchFamily="34" charset="0"/>
              <a:ea typeface="+mn-ea"/>
              <a:cs typeface="+mn-cs"/>
            </a:rPr>
            <a:t>below. </a:t>
          </a:r>
          <a:r>
            <a:rPr lang="en-US" sz="1100" b="0" baseline="0">
              <a:solidFill>
                <a:schemeClr val="accent2"/>
              </a:solidFill>
              <a:latin typeface="Aptos Narrow" panose="020B0004020202020204" pitchFamily="34" charset="0"/>
              <a:ea typeface="+mn-ea"/>
              <a:cs typeface="+mn-cs"/>
            </a:rPr>
            <a:t>Water Usage is not needed for LL97.</a:t>
          </a:r>
        </a:p>
        <a:p>
          <a:pPr algn="ctr">
            <a:lnSpc>
              <a:spcPct val="80000"/>
            </a:lnSpc>
          </a:pPr>
          <a:r>
            <a:rPr lang="en-US" sz="1100" b="0" baseline="0">
              <a:solidFill>
                <a:schemeClr val="accent2"/>
              </a:solidFill>
              <a:latin typeface="Aptos Narrow" panose="020B0004020202020204" pitchFamily="34" charset="0"/>
            </a:rPr>
            <a:t>It's recommended to input the latest year with complete energy data.</a:t>
          </a:r>
        </a:p>
        <a:p>
          <a:pPr algn="ctr">
            <a:lnSpc>
              <a:spcPct val="80000"/>
            </a:lnSpc>
          </a:pPr>
          <a:r>
            <a:rPr lang="en-US" sz="1100" b="0" baseline="0">
              <a:solidFill>
                <a:schemeClr val="accent2"/>
              </a:solidFill>
              <a:latin typeface="Aptos Narrow" panose="020B0004020202020204" pitchFamily="34" charset="0"/>
            </a:rPr>
            <a:t>This year will serve as the baseline year for the LL97 projections in this tool.</a:t>
          </a:r>
        </a:p>
      </xdr:txBody>
    </xdr:sp>
    <xdr:clientData/>
  </xdr:twoCellAnchor>
  <xdr:twoCellAnchor>
    <xdr:from>
      <xdr:col>3</xdr:col>
      <xdr:colOff>478491</xdr:colOff>
      <xdr:row>44</xdr:row>
      <xdr:rowOff>369793</xdr:rowOff>
    </xdr:from>
    <xdr:to>
      <xdr:col>3</xdr:col>
      <xdr:colOff>2577352</xdr:colOff>
      <xdr:row>45</xdr:row>
      <xdr:rowOff>142253</xdr:rowOff>
    </xdr:to>
    <xdr:sp macro="" textlink="">
      <xdr:nvSpPr>
        <xdr:cNvPr id="16" name="TextBox 15">
          <a:extLst>
            <a:ext uri="{FF2B5EF4-FFF2-40B4-BE49-F238E27FC236}">
              <a16:creationId xmlns:a16="http://schemas.microsoft.com/office/drawing/2014/main" id="{DF1732CD-4C2B-4B74-A5E7-99D0137C5347}"/>
            </a:ext>
          </a:extLst>
        </xdr:cNvPr>
        <xdr:cNvSpPr txBox="1"/>
      </xdr:nvSpPr>
      <xdr:spPr>
        <a:xfrm>
          <a:off x="2316816" y="10591800"/>
          <a:ext cx="2098861" cy="0"/>
        </a:xfrm>
        <a:prstGeom prst="downArrowCallout">
          <a:avLst>
            <a:gd name="adj1" fmla="val 21164"/>
            <a:gd name="adj2" fmla="val 23116"/>
            <a:gd name="adj3" fmla="val 20790"/>
            <a:gd name="adj4" fmla="val 81091"/>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1" baseline="0">
              <a:solidFill>
                <a:schemeClr val="tx1">
                  <a:lumMod val="65000"/>
                  <a:lumOff val="35000"/>
                </a:schemeClr>
              </a:solidFill>
              <a:latin typeface="Aptos Narrow" panose="020B0004020202020204" pitchFamily="34" charset="0"/>
            </a:rPr>
            <a:t>DO NOT ALTER THIS TABLE.</a:t>
          </a:r>
          <a:endParaRPr lang="en-US" sz="1100" b="1" baseline="0">
            <a:solidFill>
              <a:schemeClr val="accent2"/>
            </a:solidFill>
            <a:latin typeface="Aptos Narrow" panose="020B0004020202020204" pitchFamily="34" charset="0"/>
          </a:endParaRPr>
        </a:p>
      </xdr:txBody>
    </xdr:sp>
    <xdr:clientData/>
  </xdr:twoCellAnchor>
  <xdr:twoCellAnchor editAs="oneCell">
    <xdr:from>
      <xdr:col>26</xdr:col>
      <xdr:colOff>19049</xdr:colOff>
      <xdr:row>16</xdr:row>
      <xdr:rowOff>214593</xdr:rowOff>
    </xdr:from>
    <xdr:to>
      <xdr:col>27</xdr:col>
      <xdr:colOff>2381249</xdr:colOff>
      <xdr:row>36</xdr:row>
      <xdr:rowOff>66675</xdr:rowOff>
    </xdr:to>
    <xdr:sp macro="" textlink="">
      <xdr:nvSpPr>
        <xdr:cNvPr id="17" name="TextBox 16">
          <a:extLst>
            <a:ext uri="{FF2B5EF4-FFF2-40B4-BE49-F238E27FC236}">
              <a16:creationId xmlns:a16="http://schemas.microsoft.com/office/drawing/2014/main" id="{3D50469A-57B3-441D-99D2-6352C15CE233}"/>
            </a:ext>
          </a:extLst>
        </xdr:cNvPr>
        <xdr:cNvSpPr txBox="1"/>
      </xdr:nvSpPr>
      <xdr:spPr>
        <a:xfrm>
          <a:off x="28213049" y="4500843"/>
          <a:ext cx="3057526" cy="4328832"/>
        </a:xfrm>
        <a:prstGeom prst="leftArrowCallout">
          <a:avLst>
            <a:gd name="adj1" fmla="val 14957"/>
            <a:gd name="adj2" fmla="val 8256"/>
            <a:gd name="adj3" fmla="val 15233"/>
            <a:gd name="adj4" fmla="val 91764"/>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200" b="1" i="0" baseline="0">
              <a:solidFill>
                <a:schemeClr val="tx1">
                  <a:lumMod val="65000"/>
                  <a:lumOff val="35000"/>
                </a:schemeClr>
              </a:solidFill>
              <a:latin typeface="Aptos Narrow" panose="020B0004020202020204" pitchFamily="34" charset="0"/>
            </a:rPr>
            <a:t>Building Decarbonization Pathway Design Tips</a:t>
          </a:r>
        </a:p>
        <a:p>
          <a:pPr algn="ctr">
            <a:lnSpc>
              <a:spcPct val="80000"/>
            </a:lnSpc>
          </a:pPr>
          <a:endParaRPr lang="en-US" sz="1100" b="1" i="0" baseline="0">
            <a:solidFill>
              <a:schemeClr val="tx1">
                <a:lumMod val="65000"/>
                <a:lumOff val="35000"/>
              </a:schemeClr>
            </a:solidFill>
            <a:latin typeface="Aptos Narrow" panose="020B0004020202020204" pitchFamily="34" charset="0"/>
          </a:endParaRPr>
        </a:p>
        <a:p>
          <a:pPr algn="ctr">
            <a:lnSpc>
              <a:spcPct val="80000"/>
            </a:lnSpc>
          </a:pPr>
          <a:r>
            <a:rPr lang="en-US" sz="1100" b="1" i="0" baseline="0">
              <a:solidFill>
                <a:schemeClr val="tx1">
                  <a:lumMod val="65000"/>
                  <a:lumOff val="35000"/>
                </a:schemeClr>
              </a:solidFill>
              <a:latin typeface="Aptos Narrow" panose="020B0004020202020204" pitchFamily="34" charset="0"/>
            </a:rPr>
            <a:t>As you include measures in the pathway and set implementation years in the left table, check the dynamic projections below in LL97 compliance status and cashflows.</a:t>
          </a:r>
        </a:p>
        <a:p>
          <a:pPr algn="ctr">
            <a:lnSpc>
              <a:spcPct val="80000"/>
            </a:lnSpc>
          </a:pPr>
          <a:endParaRPr lang="en-US" sz="1100" b="1" baseline="0">
            <a:solidFill>
              <a:schemeClr val="tx1">
                <a:lumMod val="65000"/>
                <a:lumOff val="35000"/>
              </a:schemeClr>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1. </a:t>
          </a:r>
          <a:r>
            <a:rPr lang="en-US" sz="1100" b="1" baseline="0">
              <a:solidFill>
                <a:schemeClr val="accent2"/>
              </a:solidFill>
              <a:latin typeface="Aptos Narrow" panose="020B0004020202020204" pitchFamily="34" charset="0"/>
              <a:ea typeface="+mn-ea"/>
              <a:cs typeface="+mn-cs"/>
            </a:rPr>
            <a:t>Implement low-</a:t>
          </a:r>
          <a:r>
            <a:rPr lang="en-US" sz="1100" b="1" baseline="0">
              <a:solidFill>
                <a:schemeClr val="accent2"/>
              </a:solidFill>
              <a:latin typeface="Aptos Narrow" panose="020B0004020202020204" pitchFamily="34" charset="0"/>
            </a:rPr>
            <a:t>cost measures with quick payback early on to recoup utility savings for positive cashflows.</a:t>
          </a:r>
        </a:p>
        <a:p>
          <a:pPr algn="l">
            <a:lnSpc>
              <a:spcPct val="100000"/>
            </a:lnSpc>
          </a:pPr>
          <a:endParaRPr lang="en-US" sz="1100" b="1" baseline="0">
            <a:solidFill>
              <a:schemeClr val="accent2"/>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2. Plan and implement higher-cost, emissions-reducing measures ahead of the LL97 milestone years (2035 and 2040) when compliance limits start and/or become more stringent.</a:t>
          </a:r>
        </a:p>
        <a:p>
          <a:pPr algn="l">
            <a:lnSpc>
              <a:spcPct val="100000"/>
            </a:lnSpc>
          </a:pPr>
          <a:endParaRPr lang="en-US" sz="1100" b="1" baseline="0">
            <a:solidFill>
              <a:schemeClr val="accent2"/>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3. Always consider electrification within the context of HPD's Electric Heating Policy and with regard to HPD's M&amp;O Standards for electric heating and hot water. Electrificiation should always be implemented along with efficiency to ensure utility costs do not rise.</a:t>
          </a:r>
        </a:p>
        <a:p>
          <a:pPr algn="l">
            <a:lnSpc>
              <a:spcPct val="100000"/>
            </a:lnSpc>
          </a:pPr>
          <a:endParaRPr lang="en-US" sz="1100" b="1" baseline="0">
            <a:solidFill>
              <a:schemeClr val="accent2"/>
            </a:solidFill>
            <a:latin typeface="Aptos Narrow" panose="020B0004020202020204" pitchFamily="34" charset="0"/>
          </a:endParaRPr>
        </a:p>
      </xdr:txBody>
    </xdr:sp>
    <xdr:clientData/>
  </xdr:twoCellAnchor>
  <xdr:twoCellAnchor editAs="oneCell">
    <xdr:from>
      <xdr:col>6</xdr:col>
      <xdr:colOff>56028</xdr:colOff>
      <xdr:row>10</xdr:row>
      <xdr:rowOff>145676</xdr:rowOff>
    </xdr:from>
    <xdr:to>
      <xdr:col>12</xdr:col>
      <xdr:colOff>840440</xdr:colOff>
      <xdr:row>15</xdr:row>
      <xdr:rowOff>156222</xdr:rowOff>
    </xdr:to>
    <xdr:sp macro="" textlink="">
      <xdr:nvSpPr>
        <xdr:cNvPr id="18" name="TextBox 17">
          <a:extLst>
            <a:ext uri="{FF2B5EF4-FFF2-40B4-BE49-F238E27FC236}">
              <a16:creationId xmlns:a16="http://schemas.microsoft.com/office/drawing/2014/main" id="{397D9007-AD41-42BD-99C8-3A82192AB6EA}"/>
            </a:ext>
          </a:extLst>
        </xdr:cNvPr>
        <xdr:cNvSpPr txBox="1"/>
      </xdr:nvSpPr>
      <xdr:spPr>
        <a:xfrm>
          <a:off x="7261410" y="3160058"/>
          <a:ext cx="6477001" cy="1187164"/>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STEP 5: </a:t>
          </a:r>
        </a:p>
        <a:p>
          <a:pPr algn="ctr">
            <a:lnSpc>
              <a:spcPct val="80000"/>
            </a:lnSpc>
          </a:pPr>
          <a:r>
            <a:rPr lang="en-US" sz="1100" b="1" baseline="0">
              <a:solidFill>
                <a:schemeClr val="accent2"/>
              </a:solidFill>
              <a:latin typeface="Aptos Narrow" panose="020B0004020202020204" pitchFamily="34" charset="0"/>
            </a:rPr>
            <a:t>Input the energy or carbon reduction measure information in the </a:t>
          </a:r>
          <a:r>
            <a:rPr lang="en-US" sz="1100" b="1" baseline="0">
              <a:solidFill>
                <a:schemeClr val="tx2">
                  <a:lumMod val="60000"/>
                  <a:lumOff val="40000"/>
                </a:schemeClr>
              </a:solidFill>
              <a:latin typeface="Aptos Narrow" panose="020B0004020202020204" pitchFamily="34" charset="0"/>
            </a:rPr>
            <a:t>blue cells </a:t>
          </a:r>
          <a:r>
            <a:rPr lang="en-US" sz="1100" b="1" baseline="0">
              <a:solidFill>
                <a:schemeClr val="accent2"/>
              </a:solidFill>
              <a:latin typeface="Aptos Narrow" panose="020B0004020202020204" pitchFamily="34" charset="0"/>
            </a:rPr>
            <a:t>below.</a:t>
          </a:r>
          <a:endParaRPr lang="en-US" sz="1100" b="0" baseline="0">
            <a:solidFill>
              <a:schemeClr val="accent2"/>
            </a:solidFill>
            <a:latin typeface="Aptos Narrow" panose="020B0004020202020204" pitchFamily="34" charset="0"/>
          </a:endParaRPr>
        </a:p>
        <a:p>
          <a:pPr algn="ctr">
            <a:lnSpc>
              <a:spcPct val="80000"/>
            </a:lnSpc>
          </a:pPr>
          <a:r>
            <a:rPr lang="en-US" sz="1100" b="0" baseline="0">
              <a:solidFill>
                <a:schemeClr val="accent2"/>
              </a:solidFill>
              <a:latin typeface="Aptos Narrow" panose="020B0004020202020204" pitchFamily="34" charset="0"/>
            </a:rPr>
            <a:t>Typically this information can be found in energy audit reports or vendor assessments. If unsure, copy and send this table below to your building's consulting engineer or service provider.</a:t>
          </a:r>
        </a:p>
        <a:p>
          <a:pPr algn="ctr">
            <a:lnSpc>
              <a:spcPct val="80000"/>
            </a:lnSpc>
          </a:pPr>
          <a:r>
            <a:rPr lang="en-US" sz="1100" b="1" baseline="0">
              <a:solidFill>
                <a:schemeClr val="accent2"/>
              </a:solidFill>
              <a:latin typeface="Aptos Narrow" panose="020B0004020202020204" pitchFamily="34" charset="0"/>
            </a:rPr>
            <a:t>Input measures which haven't been implemented before the Usage Year entered above </a:t>
          </a:r>
          <a:r>
            <a:rPr lang="en-US" sz="1100" b="0" baseline="0">
              <a:solidFill>
                <a:schemeClr val="accent2"/>
              </a:solidFill>
              <a:latin typeface="Aptos Narrow" panose="020B0004020202020204" pitchFamily="34" charset="0"/>
            </a:rPr>
            <a:t>to avoid double counting savings in both the energy usage baseline and the projected savings.</a:t>
          </a:r>
          <a:endParaRPr lang="en-US" sz="1100" b="1" baseline="0">
            <a:solidFill>
              <a:schemeClr val="accent2"/>
            </a:solidFill>
            <a:latin typeface="Aptos Narrow" panose="020B0004020202020204" pitchFamily="34" charset="0"/>
          </a:endParaRPr>
        </a:p>
      </xdr:txBody>
    </xdr:sp>
    <xdr:clientData/>
  </xdr:twoCellAnchor>
  <xdr:twoCellAnchor editAs="oneCell">
    <xdr:from>
      <xdr:col>12</xdr:col>
      <xdr:colOff>941294</xdr:colOff>
      <xdr:row>10</xdr:row>
      <xdr:rowOff>156883</xdr:rowOff>
    </xdr:from>
    <xdr:to>
      <xdr:col>14</xdr:col>
      <xdr:colOff>355598</xdr:colOff>
      <xdr:row>16</xdr:row>
      <xdr:rowOff>7782</xdr:rowOff>
    </xdr:to>
    <xdr:sp macro="" textlink="">
      <xdr:nvSpPr>
        <xdr:cNvPr id="19" name="TextBox 18">
          <a:extLst>
            <a:ext uri="{FF2B5EF4-FFF2-40B4-BE49-F238E27FC236}">
              <a16:creationId xmlns:a16="http://schemas.microsoft.com/office/drawing/2014/main" id="{C601AFA1-87CE-43C5-B723-9289A6F9A676}"/>
            </a:ext>
          </a:extLst>
        </xdr:cNvPr>
        <xdr:cNvSpPr txBox="1"/>
      </xdr:nvSpPr>
      <xdr:spPr>
        <a:xfrm>
          <a:off x="13831794" y="3135034"/>
          <a:ext cx="1274855" cy="1178048"/>
        </a:xfrm>
        <a:prstGeom prst="downArrowCallout">
          <a:avLst>
            <a:gd name="adj1" fmla="val 22960"/>
            <a:gd name="adj2" fmla="val 14474"/>
            <a:gd name="adj3" fmla="val 13340"/>
            <a:gd name="adj4" fmla="val 88341"/>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0" baseline="0">
              <a:solidFill>
                <a:schemeClr val="accent2"/>
              </a:solidFill>
              <a:latin typeface="Aptos Narrow" panose="020B0004020202020204" pitchFamily="34" charset="0"/>
            </a:rPr>
            <a:t>Input utility savings from energy audit reports in </a:t>
          </a:r>
          <a:r>
            <a:rPr lang="en-US" sz="1100" b="1" baseline="0">
              <a:solidFill>
                <a:schemeClr val="accent2"/>
              </a:solidFill>
              <a:latin typeface="Aptos Narrow" panose="020B0004020202020204" pitchFamily="34" charset="0"/>
            </a:rPr>
            <a:t>Column N</a:t>
          </a:r>
          <a:r>
            <a:rPr lang="en-US" sz="1100" b="0" baseline="0">
              <a:solidFill>
                <a:schemeClr val="accent2"/>
              </a:solidFill>
              <a:latin typeface="Aptos Narrow" panose="020B0004020202020204" pitchFamily="34" charset="0"/>
            </a:rPr>
            <a:t>. Skip if N/A or outdated.</a:t>
          </a:r>
        </a:p>
      </xdr:txBody>
    </xdr:sp>
    <xdr:clientData/>
  </xdr:twoCellAnchor>
  <xdr:twoCellAnchor editAs="oneCell">
    <xdr:from>
      <xdr:col>20</xdr:col>
      <xdr:colOff>33618</xdr:colOff>
      <xdr:row>1</xdr:row>
      <xdr:rowOff>22411</xdr:rowOff>
    </xdr:from>
    <xdr:to>
      <xdr:col>26</xdr:col>
      <xdr:colOff>257713</xdr:colOff>
      <xdr:row>3</xdr:row>
      <xdr:rowOff>174811</xdr:rowOff>
    </xdr:to>
    <xdr:sp macro="" textlink="">
      <xdr:nvSpPr>
        <xdr:cNvPr id="20" name="TextBox 19">
          <a:extLst>
            <a:ext uri="{FF2B5EF4-FFF2-40B4-BE49-F238E27FC236}">
              <a16:creationId xmlns:a16="http://schemas.microsoft.com/office/drawing/2014/main" id="{F2A95892-89F2-4E5F-806C-88FEEBE45432}"/>
            </a:ext>
          </a:extLst>
        </xdr:cNvPr>
        <xdr:cNvSpPr txBox="1"/>
      </xdr:nvSpPr>
      <xdr:spPr>
        <a:xfrm>
          <a:off x="22613471" y="324970"/>
          <a:ext cx="5665297" cy="533400"/>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4: </a:t>
          </a:r>
          <a:r>
            <a:rPr lang="en-US" sz="1100" b="1" baseline="0">
              <a:solidFill>
                <a:schemeClr val="accent2"/>
              </a:solidFill>
              <a:latin typeface="Aptos Narrow" panose="020B0004020202020204" pitchFamily="34" charset="0"/>
            </a:rPr>
            <a:t>Input utility rates to be used in this tool. HPD strongly recommends use of the standard rates, but user can overwrite if the adjusted rates can be justified. This ensures that assumptions from multiple sources are compatible.</a:t>
          </a:r>
        </a:p>
        <a:p>
          <a:pPr marL="0" marR="0" lvl="0" indent="0" algn="ctr" defTabSz="914400" eaLnBrk="1" fontAlgn="auto" latinLnBrk="0" hangingPunct="1">
            <a:lnSpc>
              <a:spcPct val="80000"/>
            </a:lnSpc>
            <a:spcBef>
              <a:spcPts val="0"/>
            </a:spcBef>
            <a:spcAft>
              <a:spcPts val="0"/>
            </a:spcAft>
            <a:buClrTx/>
            <a:buSzTx/>
            <a:buFontTx/>
            <a:buNone/>
            <a:tabLst/>
            <a:defRPr/>
          </a:pPr>
          <a:endParaRPr lang="en-US" sz="1100" b="0" baseline="0">
            <a:solidFill>
              <a:schemeClr val="accent2"/>
            </a:solidFill>
            <a:latin typeface="Aptos Narrow" panose="020B0004020202020204" pitchFamily="34" charset="0"/>
            <a:ea typeface="+mn-ea"/>
            <a:cs typeface="+mn-cs"/>
          </a:endParaRPr>
        </a:p>
      </xdr:txBody>
    </xdr:sp>
    <xdr:clientData/>
  </xdr:twoCellAnchor>
  <xdr:twoCellAnchor editAs="oneCell">
    <xdr:from>
      <xdr:col>15</xdr:col>
      <xdr:colOff>11208</xdr:colOff>
      <xdr:row>1</xdr:row>
      <xdr:rowOff>11205</xdr:rowOff>
    </xdr:from>
    <xdr:to>
      <xdr:col>19</xdr:col>
      <xdr:colOff>11207</xdr:colOff>
      <xdr:row>3</xdr:row>
      <xdr:rowOff>112058</xdr:rowOff>
    </xdr:to>
    <xdr:sp macro="" textlink="">
      <xdr:nvSpPr>
        <xdr:cNvPr id="21" name="TextBox 20">
          <a:extLst>
            <a:ext uri="{FF2B5EF4-FFF2-40B4-BE49-F238E27FC236}">
              <a16:creationId xmlns:a16="http://schemas.microsoft.com/office/drawing/2014/main" id="{CE68EF1A-1249-4443-B734-49F7436C4194}"/>
            </a:ext>
          </a:extLst>
        </xdr:cNvPr>
        <xdr:cNvSpPr txBox="1"/>
      </xdr:nvSpPr>
      <xdr:spPr>
        <a:xfrm>
          <a:off x="15710649" y="313764"/>
          <a:ext cx="6398558" cy="481853"/>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3: </a:t>
          </a:r>
          <a:r>
            <a:rPr lang="en-US" sz="1100" b="1" baseline="0">
              <a:solidFill>
                <a:schemeClr val="accent2"/>
              </a:solidFill>
              <a:latin typeface="Aptos Narrow" panose="020B0004020202020204" pitchFamily="34" charset="0"/>
            </a:rPr>
            <a:t>Fill in HPD Project Information. Note that HPD projects must submit at least 2 Scope Scenarios.</a:t>
          </a:r>
        </a:p>
        <a:p>
          <a:pPr marL="0" marR="0" lvl="0" indent="0" algn="ctr" defTabSz="914400" eaLnBrk="1" fontAlgn="auto" latinLnBrk="0" hangingPunct="1">
            <a:lnSpc>
              <a:spcPct val="80000"/>
            </a:lnSpc>
            <a:spcBef>
              <a:spcPts val="0"/>
            </a:spcBef>
            <a:spcAft>
              <a:spcPts val="0"/>
            </a:spcAft>
            <a:buClrTx/>
            <a:buSzTx/>
            <a:buFontTx/>
            <a:buNone/>
            <a:tabLst/>
            <a:defRPr/>
          </a:pPr>
          <a:endParaRPr lang="en-US" sz="1100" b="1" baseline="0">
            <a:solidFill>
              <a:schemeClr val="accent2"/>
            </a:solidFill>
            <a:latin typeface="Aptos Narrow" panose="020B0004020202020204" pitchFamily="34" charset="0"/>
          </a:endParaRPr>
        </a:p>
        <a:p>
          <a:pPr marL="0" marR="0" lvl="0" indent="0" algn="ctr" defTabSz="914400" eaLnBrk="1" fontAlgn="auto" latinLnBrk="0" hangingPunct="1">
            <a:lnSpc>
              <a:spcPct val="80000"/>
            </a:lnSpc>
            <a:spcBef>
              <a:spcPts val="0"/>
            </a:spcBef>
            <a:spcAft>
              <a:spcPts val="0"/>
            </a:spcAft>
            <a:buClrTx/>
            <a:buSzTx/>
            <a:buFontTx/>
            <a:buNone/>
            <a:tabLst/>
            <a:defRPr/>
          </a:pPr>
          <a:endParaRPr lang="en-US" sz="1100" b="0" baseline="0">
            <a:solidFill>
              <a:schemeClr val="accent2"/>
            </a:solidFill>
            <a:latin typeface="Aptos Narrow" panose="020B0004020202020204" pitchFamily="34" charset="0"/>
            <a:ea typeface="+mn-ea"/>
            <a:cs typeface="+mn-cs"/>
          </a:endParaRPr>
        </a:p>
      </xdr:txBody>
    </xdr:sp>
    <xdr:clientData/>
  </xdr:twoCellAnchor>
  <xdr:twoCellAnchor editAs="oneCell">
    <xdr:from>
      <xdr:col>19</xdr:col>
      <xdr:colOff>437027</xdr:colOff>
      <xdr:row>12</xdr:row>
      <xdr:rowOff>224118</xdr:rowOff>
    </xdr:from>
    <xdr:to>
      <xdr:col>22</xdr:col>
      <xdr:colOff>795245</xdr:colOff>
      <xdr:row>16</xdr:row>
      <xdr:rowOff>115360</xdr:rowOff>
    </xdr:to>
    <xdr:sp macro="" textlink="">
      <xdr:nvSpPr>
        <xdr:cNvPr id="22" name="TextBox 21">
          <a:extLst>
            <a:ext uri="{FF2B5EF4-FFF2-40B4-BE49-F238E27FC236}">
              <a16:creationId xmlns:a16="http://schemas.microsoft.com/office/drawing/2014/main" id="{FEDDAAB8-42D1-456C-B3EB-F97B49E07BE4}"/>
            </a:ext>
          </a:extLst>
        </xdr:cNvPr>
        <xdr:cNvSpPr txBox="1"/>
      </xdr:nvSpPr>
      <xdr:spPr>
        <a:xfrm>
          <a:off x="22535027" y="3709147"/>
          <a:ext cx="2745443" cy="787713"/>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0" baseline="0">
              <a:solidFill>
                <a:schemeClr val="tx1">
                  <a:lumMod val="65000"/>
                  <a:lumOff val="35000"/>
                </a:schemeClr>
              </a:solidFill>
              <a:latin typeface="Aptos Narrow" panose="020B0004020202020204" pitchFamily="34" charset="0"/>
            </a:rPr>
            <a:t>STEP 7: </a:t>
          </a:r>
          <a:endParaRPr lang="en-US" sz="1100" b="1" baseline="0">
            <a:solidFill>
              <a:schemeClr val="tx1">
                <a:lumMod val="65000"/>
                <a:lumOff val="35000"/>
              </a:schemeClr>
            </a:solidFill>
            <a:latin typeface="Aptos Narrow" panose="020B0004020202020204" pitchFamily="34" charset="0"/>
          </a:endParaRPr>
        </a:p>
        <a:p>
          <a:pPr algn="ctr">
            <a:lnSpc>
              <a:spcPct val="80000"/>
            </a:lnSpc>
          </a:pPr>
          <a:r>
            <a:rPr lang="en-US" sz="1100" b="1" baseline="0">
              <a:solidFill>
                <a:schemeClr val="accent2"/>
              </a:solidFill>
              <a:latin typeface="Aptos Narrow" panose="020B0004020202020204" pitchFamily="34" charset="0"/>
            </a:rPr>
            <a:t>Choose the scope name in Column U from the dropdown list </a:t>
          </a:r>
          <a:r>
            <a:rPr lang="en-US" sz="1100" b="0" baseline="0">
              <a:solidFill>
                <a:schemeClr val="accent2"/>
              </a:solidFill>
              <a:latin typeface="Aptos Narrow" panose="020B0004020202020204" pitchFamily="34" charset="0"/>
            </a:rPr>
            <a:t>to generate aggregated Cost, Savings and Payback  by Scope</a:t>
          </a:r>
        </a:p>
      </xdr:txBody>
    </xdr:sp>
    <xdr:clientData/>
  </xdr:twoCellAnchor>
  <xdr:twoCellAnchor editAs="oneCell">
    <xdr:from>
      <xdr:col>15</xdr:col>
      <xdr:colOff>806823</xdr:colOff>
      <xdr:row>12</xdr:row>
      <xdr:rowOff>33618</xdr:rowOff>
    </xdr:from>
    <xdr:to>
      <xdr:col>18</xdr:col>
      <xdr:colOff>246530</xdr:colOff>
      <xdr:row>16</xdr:row>
      <xdr:rowOff>198281</xdr:rowOff>
    </xdr:to>
    <xdr:sp macro="" textlink="">
      <xdr:nvSpPr>
        <xdr:cNvPr id="23" name="TextBox 22">
          <a:extLst>
            <a:ext uri="{FF2B5EF4-FFF2-40B4-BE49-F238E27FC236}">
              <a16:creationId xmlns:a16="http://schemas.microsoft.com/office/drawing/2014/main" id="{EE964A8E-BF1B-4B8E-9340-84B968F96636}"/>
            </a:ext>
          </a:extLst>
        </xdr:cNvPr>
        <xdr:cNvSpPr txBox="1"/>
      </xdr:nvSpPr>
      <xdr:spPr>
        <a:xfrm>
          <a:off x="16506264" y="3518647"/>
          <a:ext cx="2857501" cy="1061134"/>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0" baseline="0">
              <a:solidFill>
                <a:schemeClr val="tx1">
                  <a:lumMod val="65000"/>
                  <a:lumOff val="35000"/>
                </a:schemeClr>
              </a:solidFill>
              <a:latin typeface="Aptos Narrow" panose="020B0004020202020204" pitchFamily="34" charset="0"/>
            </a:rPr>
            <a:t>STEP</a:t>
          </a:r>
          <a:r>
            <a:rPr lang="en-US" sz="1100" b="1" baseline="0">
              <a:solidFill>
                <a:schemeClr val="tx1">
                  <a:lumMod val="65000"/>
                  <a:lumOff val="35000"/>
                </a:schemeClr>
              </a:solidFill>
              <a:latin typeface="Aptos Narrow" panose="020B0004020202020204" pitchFamily="34" charset="0"/>
            </a:rPr>
            <a:t> 6: </a:t>
          </a:r>
        </a:p>
        <a:p>
          <a:pPr algn="ctr">
            <a:lnSpc>
              <a:spcPct val="80000"/>
            </a:lnSpc>
          </a:pPr>
          <a:r>
            <a:rPr lang="en-US" sz="1100" b="1" baseline="0">
              <a:solidFill>
                <a:schemeClr val="accent2"/>
              </a:solidFill>
              <a:latin typeface="Aptos Narrow" panose="020B0004020202020204" pitchFamily="34" charset="0"/>
            </a:rPr>
            <a:t>Check the boxes in column Q to include the measures in the Pathway. Uncheck to exclude.</a:t>
          </a:r>
        </a:p>
        <a:p>
          <a:pPr algn="ctr">
            <a:lnSpc>
              <a:spcPct val="80000"/>
            </a:lnSpc>
          </a:pPr>
          <a:endParaRPr lang="en-US" sz="1100" b="1" baseline="0">
            <a:solidFill>
              <a:schemeClr val="accent2"/>
            </a:solidFill>
            <a:latin typeface="Aptos Narrow" panose="020B0004020202020204" pitchFamily="34" charset="0"/>
          </a:endParaRPr>
        </a:p>
        <a:p>
          <a:pPr algn="ctr">
            <a:lnSpc>
              <a:spcPct val="80000"/>
            </a:lnSpc>
          </a:pPr>
          <a:r>
            <a:rPr lang="en-US" sz="1100" b="1" baseline="0">
              <a:solidFill>
                <a:schemeClr val="accent2"/>
              </a:solidFill>
              <a:latin typeface="Aptos Narrow" panose="020B0004020202020204" pitchFamily="34" charset="0"/>
            </a:rPr>
            <a:t>Enter the Implementation Year for each measure in column R.</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0.02483</cdr:x>
      <cdr:y>0.57085</cdr:y>
    </cdr:from>
    <cdr:to>
      <cdr:x>0.20798</cdr:x>
      <cdr:y>0.64954</cdr:y>
    </cdr:to>
    <cdr:sp macro="" textlink="">
      <cdr:nvSpPr>
        <cdr:cNvPr id="3" name="TextBox 1">
          <a:extLst xmlns:a="http://schemas.openxmlformats.org/drawingml/2006/main">
            <a:ext uri="{FF2B5EF4-FFF2-40B4-BE49-F238E27FC236}">
              <a16:creationId xmlns:a16="http://schemas.microsoft.com/office/drawing/2014/main" id="{13B0F3D2-5E1E-45F2-90BF-5D31EDFEC2A4}"/>
            </a:ext>
          </a:extLst>
        </cdr:cNvPr>
        <cdr:cNvSpPr txBox="1"/>
      </cdr:nvSpPr>
      <cdr:spPr>
        <a:xfrm xmlns:a="http://schemas.openxmlformats.org/drawingml/2006/main">
          <a:off x="230093" y="2314388"/>
          <a:ext cx="1697319" cy="3190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i="0" u="none" strike="noStrike">
              <a:solidFill>
                <a:srgbClr val="C00000"/>
              </a:solidFill>
              <a:latin typeface="Aptos Narrow" panose="020B0004020202020204" pitchFamily="34" charset="0"/>
            </a:rPr>
            <a:t>$ LL97 Annual</a:t>
          </a:r>
          <a:r>
            <a:rPr lang="en-US" sz="1100" b="1" i="0" u="none" strike="noStrike" baseline="0">
              <a:solidFill>
                <a:srgbClr val="C00000"/>
              </a:solidFill>
              <a:latin typeface="Aptos Narrow" panose="020B0004020202020204" pitchFamily="34" charset="0"/>
            </a:rPr>
            <a:t> </a:t>
          </a:r>
          <a:r>
            <a:rPr lang="en-US" sz="1100" b="1" i="0" u="none" strike="noStrike">
              <a:solidFill>
                <a:srgbClr val="C00000"/>
              </a:solidFill>
              <a:latin typeface="Aptos Narrow" panose="020B0004020202020204" pitchFamily="34" charset="0"/>
            </a:rPr>
            <a:t>Penalty</a:t>
          </a:r>
          <a:endParaRPr lang="en-US" sz="1400" b="1">
            <a:solidFill>
              <a:srgbClr val="C00000"/>
            </a:solidFill>
            <a:latin typeface="Aptos Narrow" panose="020B00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0.26023</cdr:x>
      <cdr:y>0.01084</cdr:y>
    </cdr:from>
    <cdr:to>
      <cdr:x>0.78337</cdr:x>
      <cdr:y>0.11115</cdr:y>
    </cdr:to>
    <cdr:sp macro="" textlink="">
      <cdr:nvSpPr>
        <cdr:cNvPr id="2" name="TextBox 1">
          <a:extLst xmlns:a="http://schemas.openxmlformats.org/drawingml/2006/main">
            <a:ext uri="{FF2B5EF4-FFF2-40B4-BE49-F238E27FC236}">
              <a16:creationId xmlns:a16="http://schemas.microsoft.com/office/drawing/2014/main" id="{2B1D1241-A2B8-C5C8-DD18-8BE2E68BD52D}"/>
            </a:ext>
          </a:extLst>
        </cdr:cNvPr>
        <cdr:cNvSpPr txBox="1"/>
      </cdr:nvSpPr>
      <cdr:spPr>
        <a:xfrm xmlns:a="http://schemas.openxmlformats.org/drawingml/2006/main">
          <a:off x="1716118" y="42116"/>
          <a:ext cx="3449932" cy="389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solidFill>
                <a:schemeClr val="tx1">
                  <a:lumMod val="65000"/>
                  <a:lumOff val="35000"/>
                </a:schemeClr>
              </a:solidFill>
              <a:effectLst/>
              <a:latin typeface="Aptos" panose="020B0004020202020204" pitchFamily="34" charset="0"/>
              <a:ea typeface="+mn-ea"/>
              <a:cs typeface="+mn-cs"/>
            </a:rPr>
            <a:t>Decarbonization Pathway</a:t>
          </a:r>
          <a:endParaRPr lang="en-US" sz="1400" b="1">
            <a:solidFill>
              <a:schemeClr val="tx1">
                <a:lumMod val="65000"/>
                <a:lumOff val="35000"/>
              </a:schemeClr>
            </a:solidFill>
            <a:latin typeface="Aptos" panose="020B00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9</xdr:col>
      <xdr:colOff>405011</xdr:colOff>
      <xdr:row>100</xdr:row>
      <xdr:rowOff>160084</xdr:rowOff>
    </xdr:from>
    <xdr:to>
      <xdr:col>18</xdr:col>
      <xdr:colOff>739589</xdr:colOff>
      <xdr:row>122</xdr:row>
      <xdr:rowOff>167608</xdr:rowOff>
    </xdr:to>
    <xdr:graphicFrame macro="">
      <xdr:nvGraphicFramePr>
        <xdr:cNvPr id="2" name="Chart 1">
          <a:extLst>
            <a:ext uri="{FF2B5EF4-FFF2-40B4-BE49-F238E27FC236}">
              <a16:creationId xmlns:a16="http://schemas.microsoft.com/office/drawing/2014/main" id="{78791BDD-87A2-43D8-8B56-01C893A1B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403410</xdr:colOff>
      <xdr:row>81</xdr:row>
      <xdr:rowOff>78443</xdr:rowOff>
    </xdr:from>
    <xdr:to>
      <xdr:col>18</xdr:col>
      <xdr:colOff>784412</xdr:colOff>
      <xdr:row>100</xdr:row>
      <xdr:rowOff>199465</xdr:rowOff>
    </xdr:to>
    <xdr:graphicFrame macro="">
      <xdr:nvGraphicFramePr>
        <xdr:cNvPr id="3" name="Chart 2">
          <a:extLst>
            <a:ext uri="{FF2B5EF4-FFF2-40B4-BE49-F238E27FC236}">
              <a16:creationId xmlns:a16="http://schemas.microsoft.com/office/drawing/2014/main" id="{FA5D9033-D18A-49F9-8B46-7C98FCDD2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930090</xdr:colOff>
      <xdr:row>81</xdr:row>
      <xdr:rowOff>24484</xdr:rowOff>
    </xdr:from>
    <xdr:to>
      <xdr:col>9</xdr:col>
      <xdr:colOff>67238</xdr:colOff>
      <xdr:row>123</xdr:row>
      <xdr:rowOff>123263</xdr:rowOff>
    </xdr:to>
    <xdr:sp macro="" textlink="">
      <xdr:nvSpPr>
        <xdr:cNvPr id="4" name="TextBox 3">
          <a:extLst>
            <a:ext uri="{FF2B5EF4-FFF2-40B4-BE49-F238E27FC236}">
              <a16:creationId xmlns:a16="http://schemas.microsoft.com/office/drawing/2014/main" id="{49CF9B17-413D-4187-92F6-BA421029733C}"/>
            </a:ext>
          </a:extLst>
        </xdr:cNvPr>
        <xdr:cNvSpPr txBox="1"/>
      </xdr:nvSpPr>
      <xdr:spPr>
        <a:xfrm>
          <a:off x="1072965" y="10892509"/>
          <a:ext cx="9166973" cy="8490304"/>
        </a:xfrm>
        <a:prstGeom prst="rect">
          <a:avLst/>
        </a:prstGeom>
        <a:solidFill>
          <a:schemeClr val="accent1">
            <a:alpha val="5000"/>
          </a:schemeClr>
        </a:solidFill>
        <a:ln>
          <a:solidFill>
            <a:schemeClr val="accent1"/>
          </a:solidFill>
          <a:prstDash val="sysDash"/>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endParaRPr lang="en-US" sz="1100"/>
        </a:p>
      </xdr:txBody>
    </xdr:sp>
    <xdr:clientData/>
  </xdr:twoCellAnchor>
  <xdr:twoCellAnchor editAs="oneCell">
    <xdr:from>
      <xdr:col>3</xdr:col>
      <xdr:colOff>80681</xdr:colOff>
      <xdr:row>1</xdr:row>
      <xdr:rowOff>0</xdr:rowOff>
    </xdr:from>
    <xdr:to>
      <xdr:col>5</xdr:col>
      <xdr:colOff>0</xdr:colOff>
      <xdr:row>4</xdr:row>
      <xdr:rowOff>75018</xdr:rowOff>
    </xdr:to>
    <xdr:sp macro="" textlink="">
      <xdr:nvSpPr>
        <xdr:cNvPr id="5" name="TextBox 4">
          <a:extLst>
            <a:ext uri="{FF2B5EF4-FFF2-40B4-BE49-F238E27FC236}">
              <a16:creationId xmlns:a16="http://schemas.microsoft.com/office/drawing/2014/main" id="{C5548D18-777B-4778-A284-41A2E052C103}"/>
            </a:ext>
          </a:extLst>
        </xdr:cNvPr>
        <xdr:cNvSpPr txBox="1"/>
      </xdr:nvSpPr>
      <xdr:spPr>
        <a:xfrm>
          <a:off x="1919006" y="295275"/>
          <a:ext cx="4215094" cy="62746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STEP 1: </a:t>
          </a:r>
          <a:r>
            <a:rPr lang="en-US" sz="1100" b="1" baseline="0">
              <a:solidFill>
                <a:schemeClr val="accent2"/>
              </a:solidFill>
              <a:latin typeface="Aptos Narrow" panose="020B0004020202020204" pitchFamily="34" charset="0"/>
            </a:rPr>
            <a:t>Choose the applicable space types from the in-cell drop-down list. Then input the space size in Sq.Ft. </a:t>
          </a:r>
        </a:p>
        <a:p>
          <a:pPr algn="ctr"/>
          <a:r>
            <a:rPr lang="en-US" sz="1100" b="0" baseline="0">
              <a:solidFill>
                <a:schemeClr val="accent2"/>
              </a:solidFill>
              <a:latin typeface="Aptos Narrow" panose="020B0004020202020204" pitchFamily="34" charset="0"/>
              <a:ea typeface="+mn-ea"/>
              <a:cs typeface="+mn-cs"/>
            </a:rPr>
            <a:t>You may enter up to 8 unique space types.</a:t>
          </a:r>
        </a:p>
      </xdr:txBody>
    </xdr:sp>
    <xdr:clientData/>
  </xdr:twoCellAnchor>
  <xdr:twoCellAnchor editAs="oneCell">
    <xdr:from>
      <xdr:col>18</xdr:col>
      <xdr:colOff>1186142</xdr:colOff>
      <xdr:row>81</xdr:row>
      <xdr:rowOff>216834</xdr:rowOff>
    </xdr:from>
    <xdr:to>
      <xdr:col>25</xdr:col>
      <xdr:colOff>79935</xdr:colOff>
      <xdr:row>100</xdr:row>
      <xdr:rowOff>168088</xdr:rowOff>
    </xdr:to>
    <xdr:graphicFrame macro="">
      <xdr:nvGraphicFramePr>
        <xdr:cNvPr id="6" name="Chart 5">
          <a:extLst>
            <a:ext uri="{FF2B5EF4-FFF2-40B4-BE49-F238E27FC236}">
              <a16:creationId xmlns:a16="http://schemas.microsoft.com/office/drawing/2014/main" id="{4D5BED5D-70F0-43E5-92BC-10A6966D5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1132352</xdr:colOff>
      <xdr:row>101</xdr:row>
      <xdr:rowOff>89645</xdr:rowOff>
    </xdr:from>
    <xdr:to>
      <xdr:col>25</xdr:col>
      <xdr:colOff>102347</xdr:colOff>
      <xdr:row>123</xdr:row>
      <xdr:rowOff>22411</xdr:rowOff>
    </xdr:to>
    <xdr:grpSp>
      <xdr:nvGrpSpPr>
        <xdr:cNvPr id="7" name="Group 6">
          <a:extLst>
            <a:ext uri="{FF2B5EF4-FFF2-40B4-BE49-F238E27FC236}">
              <a16:creationId xmlns:a16="http://schemas.microsoft.com/office/drawing/2014/main" id="{8363F2DC-C6AE-4874-8C85-8EC6BBC2EB99}"/>
            </a:ext>
          </a:extLst>
        </xdr:cNvPr>
        <xdr:cNvGrpSpPr/>
      </xdr:nvGrpSpPr>
      <xdr:grpSpPr>
        <a:xfrm>
          <a:off x="20258552" y="15170896"/>
          <a:ext cx="7104346" cy="4346015"/>
          <a:chOff x="19571070" y="14108205"/>
          <a:chExt cx="6729136" cy="4157383"/>
        </a:xfrm>
      </xdr:grpSpPr>
      <xdr:grpSp>
        <xdr:nvGrpSpPr>
          <xdr:cNvPr id="8" name="Group 7">
            <a:extLst>
              <a:ext uri="{FF2B5EF4-FFF2-40B4-BE49-F238E27FC236}">
                <a16:creationId xmlns:a16="http://schemas.microsoft.com/office/drawing/2014/main" id="{F6C528FD-7A9A-D230-D387-EC81855823AD}"/>
              </a:ext>
            </a:extLst>
          </xdr:cNvPr>
          <xdr:cNvGrpSpPr/>
        </xdr:nvGrpSpPr>
        <xdr:grpSpPr>
          <a:xfrm>
            <a:off x="19571071" y="14108205"/>
            <a:ext cx="6729135" cy="4157383"/>
            <a:chOff x="19571071" y="14108205"/>
            <a:chExt cx="6729135" cy="4157383"/>
          </a:xfrm>
        </xdr:grpSpPr>
        <xdr:grpSp>
          <xdr:nvGrpSpPr>
            <xdr:cNvPr id="10" name="Group 9">
              <a:extLst>
                <a:ext uri="{FF2B5EF4-FFF2-40B4-BE49-F238E27FC236}">
                  <a16:creationId xmlns:a16="http://schemas.microsoft.com/office/drawing/2014/main" id="{D23684D4-80F5-C0BA-A7F1-1E596CE92C8C}"/>
                </a:ext>
              </a:extLst>
            </xdr:cNvPr>
            <xdr:cNvGrpSpPr/>
          </xdr:nvGrpSpPr>
          <xdr:grpSpPr>
            <a:xfrm>
              <a:off x="19571071" y="14108205"/>
              <a:ext cx="6729135" cy="4157383"/>
              <a:chOff x="19178866" y="17559617"/>
              <a:chExt cx="6729135" cy="4101354"/>
            </a:xfrm>
          </xdr:grpSpPr>
          <mc:AlternateContent xmlns:mc="http://schemas.openxmlformats.org/markup-compatibility/2006">
            <mc:Choice xmlns:cx1="http://schemas.microsoft.com/office/drawing/2015/9/8/chartex" Requires="cx1">
              <xdr:graphicFrame macro="">
                <xdr:nvGraphicFramePr>
                  <xdr:cNvPr id="12" name="Chart 15">
                    <a:extLst>
                      <a:ext uri="{FF2B5EF4-FFF2-40B4-BE49-F238E27FC236}">
                        <a16:creationId xmlns:a16="http://schemas.microsoft.com/office/drawing/2014/main" id="{B9F81740-8438-F1D9-3675-B1B60F9D3336}"/>
                      </a:ext>
                    </a:extLst>
                  </xdr:cNvPr>
                  <xdr:cNvGraphicFramePr/>
                </xdr:nvGraphicFramePr>
                <xdr:xfrm>
                  <a:off x="19178866" y="17869738"/>
                  <a:ext cx="6729135" cy="3791233"/>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178866" y="17869738"/>
                    <a:ext cx="6729135" cy="379123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sp macro="" textlink="#REF!">
            <xdr:nvSpPr>
              <xdr:cNvPr id="13" name="TextBox 1">
                <a:extLst>
                  <a:ext uri="{FF2B5EF4-FFF2-40B4-BE49-F238E27FC236}">
                    <a16:creationId xmlns:a16="http://schemas.microsoft.com/office/drawing/2014/main" id="{3EF27198-497B-A1E9-321E-F01959AEECEB}"/>
                  </a:ext>
                </a:extLst>
              </xdr:cNvPr>
              <xdr:cNvSpPr txBox="1"/>
            </xdr:nvSpPr>
            <xdr:spPr>
              <a:xfrm>
                <a:off x="19250879" y="17559617"/>
                <a:ext cx="5264887" cy="4111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fld id="{53C3EFD8-A1E8-4896-B408-61AF9AED7453}" type="TxLink">
                  <a:rPr lang="en-US" sz="1400" b="1" i="0" u="none" strike="noStrike">
                    <a:solidFill>
                      <a:sysClr val="windowText" lastClr="000000"/>
                    </a:solidFill>
                    <a:latin typeface="Aptos"/>
                  </a:rPr>
                  <a:pPr algn="l"/>
                  <a:t> </a:t>
                </a:fld>
                <a:endParaRPr lang="en-US" sz="1600" b="1">
                  <a:solidFill>
                    <a:sysClr val="windowText" lastClr="000000"/>
                  </a:solidFill>
                  <a:latin typeface="Aptos" panose="020B0004020202020204" pitchFamily="34" charset="0"/>
                </a:endParaRPr>
              </a:p>
            </xdr:txBody>
          </xdr:sp>
        </xdr:grpSp>
        <xdr:sp macro="" textlink="#REF!">
          <xdr:nvSpPr>
            <xdr:cNvPr id="11" name="TextBox 1">
              <a:extLst>
                <a:ext uri="{FF2B5EF4-FFF2-40B4-BE49-F238E27FC236}">
                  <a16:creationId xmlns:a16="http://schemas.microsoft.com/office/drawing/2014/main" id="{7B12D813-0A39-2BF3-6E82-C4039C2B48D3}"/>
                </a:ext>
              </a:extLst>
            </xdr:cNvPr>
            <xdr:cNvSpPr txBox="1"/>
          </xdr:nvSpPr>
          <xdr:spPr>
            <a:xfrm>
              <a:off x="21498484" y="14119412"/>
              <a:ext cx="1339104" cy="3058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fld id="{B4A24ADB-7EE0-4326-8317-F0B445F10F28}" type="TxLink">
                <a:rPr lang="en-US" sz="1200" b="1" i="0" u="none" strike="noStrike">
                  <a:solidFill>
                    <a:schemeClr val="tx1">
                      <a:lumMod val="65000"/>
                      <a:lumOff val="35000"/>
                    </a:schemeClr>
                  </a:solidFill>
                  <a:latin typeface="Aptos"/>
                </a:rPr>
                <a:pPr algn="l"/>
                <a:t> </a:t>
              </a:fld>
              <a:endParaRPr lang="en-US" sz="1600" b="1">
                <a:solidFill>
                  <a:schemeClr val="tx1">
                    <a:lumMod val="65000"/>
                    <a:lumOff val="35000"/>
                  </a:schemeClr>
                </a:solidFill>
                <a:latin typeface="Aptos" panose="020B0004020202020204" pitchFamily="34" charset="0"/>
              </a:endParaRPr>
            </a:p>
          </xdr:txBody>
        </xdr:sp>
      </xdr:grpSp>
      <xdr:sp macro="" textlink="">
        <xdr:nvSpPr>
          <xdr:cNvPr id="9" name="TextBox 1">
            <a:extLst>
              <a:ext uri="{FF2B5EF4-FFF2-40B4-BE49-F238E27FC236}">
                <a16:creationId xmlns:a16="http://schemas.microsoft.com/office/drawing/2014/main" id="{4CB92EA6-F297-BCA2-9641-6495E9459E30}"/>
              </a:ext>
            </a:extLst>
          </xdr:cNvPr>
          <xdr:cNvSpPr txBox="1"/>
        </xdr:nvSpPr>
        <xdr:spPr>
          <a:xfrm>
            <a:off x="19571070" y="14119411"/>
            <a:ext cx="2906090" cy="361867"/>
          </a:xfrm>
          <a:prstGeom prst="rect">
            <a:avLst/>
          </a:prstGeom>
        </xdr:spPr>
        <xdr:txBody>
          <a:bodyPr wrap="square" rtlCol="0"/>
          <a:lstStyle/>
          <a:p>
            <a:pPr algn="l"/>
            <a:r>
              <a:rPr lang="en-US" sz="1200" b="1" i="0" u="none" strike="noStrike">
                <a:solidFill>
                  <a:schemeClr val="tx1">
                    <a:lumMod val="65000"/>
                    <a:lumOff val="35000"/>
                  </a:schemeClr>
                </a:solidFill>
                <a:latin typeface="Aptos"/>
              </a:rPr>
              <a:t>Overall</a:t>
            </a:r>
            <a:r>
              <a:rPr lang="en-US" sz="1200" b="1" i="0" u="none" strike="noStrike" baseline="0">
                <a:solidFill>
                  <a:schemeClr val="tx1">
                    <a:lumMod val="65000"/>
                    <a:lumOff val="35000"/>
                  </a:schemeClr>
                </a:solidFill>
                <a:latin typeface="Aptos"/>
              </a:rPr>
              <a:t> </a:t>
            </a:r>
            <a:r>
              <a:rPr lang="en-US" sz="1200" b="1" i="0" u="none" strike="noStrike">
                <a:solidFill>
                  <a:schemeClr val="tx1">
                    <a:lumMod val="65000"/>
                    <a:lumOff val="35000"/>
                  </a:schemeClr>
                </a:solidFill>
                <a:latin typeface="Aptos"/>
              </a:rPr>
              <a:t>Cost</a:t>
            </a:r>
            <a:r>
              <a:rPr lang="en-US" sz="1200" b="1" i="0" u="none" strike="noStrike" baseline="0">
                <a:solidFill>
                  <a:schemeClr val="tx1">
                    <a:lumMod val="65000"/>
                    <a:lumOff val="35000"/>
                  </a:schemeClr>
                </a:solidFill>
                <a:latin typeface="Aptos"/>
              </a:rPr>
              <a:t> Savings</a:t>
            </a:r>
            <a:r>
              <a:rPr lang="en-US" sz="1200" b="1" i="0" u="none" strike="noStrike">
                <a:solidFill>
                  <a:schemeClr val="tx1">
                    <a:lumMod val="65000"/>
                    <a:lumOff val="35000"/>
                  </a:schemeClr>
                </a:solidFill>
                <a:latin typeface="Aptos"/>
              </a:rPr>
              <a:t> (Base year - 2049)</a:t>
            </a:r>
          </a:p>
        </xdr:txBody>
      </xdr:sp>
    </xdr:grpSp>
    <xdr:clientData/>
  </xdr:twoCellAnchor>
  <xdr:twoCellAnchor editAs="oneCell">
    <xdr:from>
      <xdr:col>5</xdr:col>
      <xdr:colOff>1043267</xdr:colOff>
      <xdr:row>1</xdr:row>
      <xdr:rowOff>12887</xdr:rowOff>
    </xdr:from>
    <xdr:to>
      <xdr:col>14</xdr:col>
      <xdr:colOff>215993</xdr:colOff>
      <xdr:row>4</xdr:row>
      <xdr:rowOff>87905</xdr:rowOff>
    </xdr:to>
    <xdr:sp macro="" textlink="">
      <xdr:nvSpPr>
        <xdr:cNvPr id="14" name="TextBox 13">
          <a:extLst>
            <a:ext uri="{FF2B5EF4-FFF2-40B4-BE49-F238E27FC236}">
              <a16:creationId xmlns:a16="http://schemas.microsoft.com/office/drawing/2014/main" id="{EBF10457-A762-4F24-AFA5-39331C589052}"/>
            </a:ext>
          </a:extLst>
        </xdr:cNvPr>
        <xdr:cNvSpPr txBox="1"/>
      </xdr:nvSpPr>
      <xdr:spPr>
        <a:xfrm>
          <a:off x="7177367" y="308162"/>
          <a:ext cx="7773801" cy="62746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2: </a:t>
          </a:r>
          <a:r>
            <a:rPr lang="en-US" sz="1100" b="1" baseline="0">
              <a:solidFill>
                <a:schemeClr val="accent2"/>
              </a:solidFill>
              <a:latin typeface="Aptos Narrow" panose="020B0004020202020204" pitchFamily="34" charset="0"/>
            </a:rPr>
            <a:t>Input the year and the energy usage information </a:t>
          </a:r>
          <a:r>
            <a:rPr lang="en-US" sz="1100" b="1" baseline="0">
              <a:solidFill>
                <a:schemeClr val="accent2"/>
              </a:solidFill>
              <a:effectLst/>
              <a:latin typeface="Aptos Narrow" panose="020B0004020202020204" pitchFamily="34" charset="0"/>
              <a:ea typeface="+mn-ea"/>
              <a:cs typeface="+mn-cs"/>
            </a:rPr>
            <a:t>in the </a:t>
          </a:r>
          <a:r>
            <a:rPr lang="en-US" sz="1100" b="1" baseline="0">
              <a:solidFill>
                <a:schemeClr val="accent1"/>
              </a:solidFill>
              <a:effectLst/>
              <a:latin typeface="Aptos Narrow" panose="020B0004020202020204" pitchFamily="34" charset="0"/>
              <a:ea typeface="+mn-ea"/>
              <a:cs typeface="+mn-cs"/>
            </a:rPr>
            <a:t>blue cells </a:t>
          </a:r>
          <a:r>
            <a:rPr lang="en-US" sz="1100" b="1" baseline="0">
              <a:solidFill>
                <a:schemeClr val="accent2"/>
              </a:solidFill>
              <a:effectLst/>
              <a:latin typeface="Aptos Narrow" panose="020B0004020202020204" pitchFamily="34" charset="0"/>
              <a:ea typeface="+mn-ea"/>
              <a:cs typeface="+mn-cs"/>
            </a:rPr>
            <a:t>below. </a:t>
          </a:r>
          <a:r>
            <a:rPr lang="en-US" sz="1100" b="0" baseline="0">
              <a:solidFill>
                <a:schemeClr val="accent2"/>
              </a:solidFill>
              <a:latin typeface="Aptos Narrow" panose="020B0004020202020204" pitchFamily="34" charset="0"/>
              <a:ea typeface="+mn-ea"/>
              <a:cs typeface="+mn-cs"/>
            </a:rPr>
            <a:t>Water Usage is not needed for LL97.</a:t>
          </a:r>
        </a:p>
        <a:p>
          <a:pPr algn="ctr">
            <a:lnSpc>
              <a:spcPct val="80000"/>
            </a:lnSpc>
          </a:pPr>
          <a:r>
            <a:rPr lang="en-US" sz="1100" b="0" baseline="0">
              <a:solidFill>
                <a:schemeClr val="accent2"/>
              </a:solidFill>
              <a:latin typeface="Aptos Narrow" panose="020B0004020202020204" pitchFamily="34" charset="0"/>
            </a:rPr>
            <a:t>It's recommended to input the latest year with complete energy data.</a:t>
          </a:r>
        </a:p>
        <a:p>
          <a:pPr algn="ctr">
            <a:lnSpc>
              <a:spcPct val="80000"/>
            </a:lnSpc>
          </a:pPr>
          <a:r>
            <a:rPr lang="en-US" sz="1100" b="0" baseline="0">
              <a:solidFill>
                <a:schemeClr val="accent2"/>
              </a:solidFill>
              <a:latin typeface="Aptos Narrow" panose="020B0004020202020204" pitchFamily="34" charset="0"/>
            </a:rPr>
            <a:t>This year will serve as the baseline year for the LL97 projections in this tool.</a:t>
          </a:r>
        </a:p>
      </xdr:txBody>
    </xdr:sp>
    <xdr:clientData/>
  </xdr:twoCellAnchor>
  <xdr:twoCellAnchor>
    <xdr:from>
      <xdr:col>3</xdr:col>
      <xdr:colOff>478491</xdr:colOff>
      <xdr:row>44</xdr:row>
      <xdr:rowOff>369793</xdr:rowOff>
    </xdr:from>
    <xdr:to>
      <xdr:col>3</xdr:col>
      <xdr:colOff>2577352</xdr:colOff>
      <xdr:row>45</xdr:row>
      <xdr:rowOff>142253</xdr:rowOff>
    </xdr:to>
    <xdr:sp macro="" textlink="">
      <xdr:nvSpPr>
        <xdr:cNvPr id="15" name="TextBox 14">
          <a:extLst>
            <a:ext uri="{FF2B5EF4-FFF2-40B4-BE49-F238E27FC236}">
              <a16:creationId xmlns:a16="http://schemas.microsoft.com/office/drawing/2014/main" id="{740B93B7-3C61-49C7-B610-F617FCDD6EA4}"/>
            </a:ext>
          </a:extLst>
        </xdr:cNvPr>
        <xdr:cNvSpPr txBox="1"/>
      </xdr:nvSpPr>
      <xdr:spPr>
        <a:xfrm>
          <a:off x="2316816" y="10210800"/>
          <a:ext cx="2098861" cy="0"/>
        </a:xfrm>
        <a:prstGeom prst="downArrowCallout">
          <a:avLst>
            <a:gd name="adj1" fmla="val 21164"/>
            <a:gd name="adj2" fmla="val 23116"/>
            <a:gd name="adj3" fmla="val 20790"/>
            <a:gd name="adj4" fmla="val 81091"/>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1" baseline="0">
              <a:solidFill>
                <a:schemeClr val="tx1">
                  <a:lumMod val="65000"/>
                  <a:lumOff val="35000"/>
                </a:schemeClr>
              </a:solidFill>
              <a:latin typeface="Aptos Narrow" panose="020B0004020202020204" pitchFamily="34" charset="0"/>
            </a:rPr>
            <a:t>DO NOT ALTER THIS TABLE.</a:t>
          </a:r>
          <a:endParaRPr lang="en-US" sz="1100" b="1" baseline="0">
            <a:solidFill>
              <a:schemeClr val="accent2"/>
            </a:solidFill>
            <a:latin typeface="Aptos Narrow" panose="020B0004020202020204" pitchFamily="34" charset="0"/>
          </a:endParaRPr>
        </a:p>
      </xdr:txBody>
    </xdr:sp>
    <xdr:clientData/>
  </xdr:twoCellAnchor>
  <xdr:twoCellAnchor editAs="oneCell">
    <xdr:from>
      <xdr:col>26</xdr:col>
      <xdr:colOff>19049</xdr:colOff>
      <xdr:row>16</xdr:row>
      <xdr:rowOff>214593</xdr:rowOff>
    </xdr:from>
    <xdr:to>
      <xdr:col>27</xdr:col>
      <xdr:colOff>2381249</xdr:colOff>
      <xdr:row>36</xdr:row>
      <xdr:rowOff>66675</xdr:rowOff>
    </xdr:to>
    <xdr:sp macro="" textlink="">
      <xdr:nvSpPr>
        <xdr:cNvPr id="16" name="TextBox 15">
          <a:extLst>
            <a:ext uri="{FF2B5EF4-FFF2-40B4-BE49-F238E27FC236}">
              <a16:creationId xmlns:a16="http://schemas.microsoft.com/office/drawing/2014/main" id="{57BEA609-706D-4213-A523-5C5AA41C6006}"/>
            </a:ext>
          </a:extLst>
        </xdr:cNvPr>
        <xdr:cNvSpPr txBox="1"/>
      </xdr:nvSpPr>
      <xdr:spPr>
        <a:xfrm>
          <a:off x="28027312" y="4500843"/>
          <a:ext cx="3057525" cy="4328832"/>
        </a:xfrm>
        <a:prstGeom prst="leftArrowCallout">
          <a:avLst>
            <a:gd name="adj1" fmla="val 14957"/>
            <a:gd name="adj2" fmla="val 8256"/>
            <a:gd name="adj3" fmla="val 15233"/>
            <a:gd name="adj4" fmla="val 91764"/>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200" b="1" i="0" baseline="0">
              <a:solidFill>
                <a:schemeClr val="tx1">
                  <a:lumMod val="65000"/>
                  <a:lumOff val="35000"/>
                </a:schemeClr>
              </a:solidFill>
              <a:latin typeface="Aptos Narrow" panose="020B0004020202020204" pitchFamily="34" charset="0"/>
            </a:rPr>
            <a:t>Building Decarbonization Pathway Design Tips</a:t>
          </a:r>
        </a:p>
        <a:p>
          <a:pPr algn="ctr">
            <a:lnSpc>
              <a:spcPct val="80000"/>
            </a:lnSpc>
          </a:pPr>
          <a:endParaRPr lang="en-US" sz="1100" b="1" i="0" baseline="0">
            <a:solidFill>
              <a:schemeClr val="tx1">
                <a:lumMod val="65000"/>
                <a:lumOff val="35000"/>
              </a:schemeClr>
            </a:solidFill>
            <a:latin typeface="Aptos Narrow" panose="020B0004020202020204" pitchFamily="34" charset="0"/>
          </a:endParaRPr>
        </a:p>
        <a:p>
          <a:pPr algn="ctr">
            <a:lnSpc>
              <a:spcPct val="80000"/>
            </a:lnSpc>
          </a:pPr>
          <a:r>
            <a:rPr lang="en-US" sz="1100" b="1" i="0" baseline="0">
              <a:solidFill>
                <a:schemeClr val="tx1">
                  <a:lumMod val="65000"/>
                  <a:lumOff val="35000"/>
                </a:schemeClr>
              </a:solidFill>
              <a:latin typeface="Aptos Narrow" panose="020B0004020202020204" pitchFamily="34" charset="0"/>
            </a:rPr>
            <a:t>As you include measures in the pathway and set implementation years in the left table, check the dynamic projections below in LL97 compliance status and cashflows.</a:t>
          </a:r>
        </a:p>
        <a:p>
          <a:pPr algn="ctr">
            <a:lnSpc>
              <a:spcPct val="80000"/>
            </a:lnSpc>
          </a:pPr>
          <a:endParaRPr lang="en-US" sz="1100" b="1" baseline="0">
            <a:solidFill>
              <a:schemeClr val="tx1">
                <a:lumMod val="65000"/>
                <a:lumOff val="35000"/>
              </a:schemeClr>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1. </a:t>
          </a:r>
          <a:r>
            <a:rPr lang="en-US" sz="1100" b="1" baseline="0">
              <a:solidFill>
                <a:schemeClr val="accent2"/>
              </a:solidFill>
              <a:latin typeface="Aptos Narrow" panose="020B0004020202020204" pitchFamily="34" charset="0"/>
              <a:ea typeface="+mn-ea"/>
              <a:cs typeface="+mn-cs"/>
            </a:rPr>
            <a:t>Implement low-</a:t>
          </a:r>
          <a:r>
            <a:rPr lang="en-US" sz="1100" b="1" baseline="0">
              <a:solidFill>
                <a:schemeClr val="accent2"/>
              </a:solidFill>
              <a:latin typeface="Aptos Narrow" panose="020B0004020202020204" pitchFamily="34" charset="0"/>
            </a:rPr>
            <a:t>cost measures with quick payback early on to recoup utility savings for positive cashflows.</a:t>
          </a:r>
        </a:p>
        <a:p>
          <a:pPr algn="l">
            <a:lnSpc>
              <a:spcPct val="100000"/>
            </a:lnSpc>
          </a:pPr>
          <a:endParaRPr lang="en-US" sz="1100" b="1" baseline="0">
            <a:solidFill>
              <a:schemeClr val="accent2"/>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2. Plan and implement higher-cost, emissions-reducing measures ahead of the LL97 milestone years (2035 and 2040) when compliance limits start and/or become more stringent.</a:t>
          </a:r>
        </a:p>
        <a:p>
          <a:pPr algn="l">
            <a:lnSpc>
              <a:spcPct val="100000"/>
            </a:lnSpc>
          </a:pPr>
          <a:endParaRPr lang="en-US" sz="1100" b="1" baseline="0">
            <a:solidFill>
              <a:schemeClr val="accent2"/>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3. Always consider electrification within the context of HPD's Electric Heating Policy and with regard to HPD's M&amp;O Standards for electric heating and hot water. Electrificiation should always be implemented along with efficiency to ensure utility costs do not rise.</a:t>
          </a:r>
        </a:p>
        <a:p>
          <a:pPr algn="l">
            <a:lnSpc>
              <a:spcPct val="100000"/>
            </a:lnSpc>
          </a:pPr>
          <a:endParaRPr lang="en-US" sz="1100" b="1" baseline="0">
            <a:solidFill>
              <a:schemeClr val="accent2"/>
            </a:solidFill>
            <a:latin typeface="Aptos Narrow" panose="020B0004020202020204" pitchFamily="34" charset="0"/>
          </a:endParaRPr>
        </a:p>
      </xdr:txBody>
    </xdr:sp>
    <xdr:clientData/>
  </xdr:twoCellAnchor>
  <xdr:twoCellAnchor editAs="oneCell">
    <xdr:from>
      <xdr:col>6</xdr:col>
      <xdr:colOff>56028</xdr:colOff>
      <xdr:row>10</xdr:row>
      <xdr:rowOff>145676</xdr:rowOff>
    </xdr:from>
    <xdr:to>
      <xdr:col>12</xdr:col>
      <xdr:colOff>840440</xdr:colOff>
      <xdr:row>15</xdr:row>
      <xdr:rowOff>156222</xdr:rowOff>
    </xdr:to>
    <xdr:sp macro="" textlink="">
      <xdr:nvSpPr>
        <xdr:cNvPr id="17" name="TextBox 16">
          <a:extLst>
            <a:ext uri="{FF2B5EF4-FFF2-40B4-BE49-F238E27FC236}">
              <a16:creationId xmlns:a16="http://schemas.microsoft.com/office/drawing/2014/main" id="{F3DF5CBD-0B23-435A-B27C-A2E7F4083A16}"/>
            </a:ext>
          </a:extLst>
        </xdr:cNvPr>
        <xdr:cNvSpPr txBox="1"/>
      </xdr:nvSpPr>
      <xdr:spPr>
        <a:xfrm>
          <a:off x="7247403" y="3107951"/>
          <a:ext cx="6470837" cy="1153546"/>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STEP 5: </a:t>
          </a:r>
        </a:p>
        <a:p>
          <a:pPr algn="ctr">
            <a:lnSpc>
              <a:spcPct val="80000"/>
            </a:lnSpc>
          </a:pPr>
          <a:r>
            <a:rPr lang="en-US" sz="1100" b="1" baseline="0">
              <a:solidFill>
                <a:schemeClr val="accent2"/>
              </a:solidFill>
              <a:latin typeface="Aptos Narrow" panose="020B0004020202020204" pitchFamily="34" charset="0"/>
            </a:rPr>
            <a:t>Input the energy or carbon reduction measure information in the </a:t>
          </a:r>
          <a:r>
            <a:rPr lang="en-US" sz="1100" b="1" baseline="0">
              <a:solidFill>
                <a:schemeClr val="tx2">
                  <a:lumMod val="60000"/>
                  <a:lumOff val="40000"/>
                </a:schemeClr>
              </a:solidFill>
              <a:latin typeface="Aptos Narrow" panose="020B0004020202020204" pitchFamily="34" charset="0"/>
            </a:rPr>
            <a:t>blue cells </a:t>
          </a:r>
          <a:r>
            <a:rPr lang="en-US" sz="1100" b="1" baseline="0">
              <a:solidFill>
                <a:schemeClr val="accent2"/>
              </a:solidFill>
              <a:latin typeface="Aptos Narrow" panose="020B0004020202020204" pitchFamily="34" charset="0"/>
            </a:rPr>
            <a:t>below.</a:t>
          </a:r>
          <a:endParaRPr lang="en-US" sz="1100" b="0" baseline="0">
            <a:solidFill>
              <a:schemeClr val="accent2"/>
            </a:solidFill>
            <a:latin typeface="Aptos Narrow" panose="020B0004020202020204" pitchFamily="34" charset="0"/>
          </a:endParaRPr>
        </a:p>
        <a:p>
          <a:pPr algn="ctr">
            <a:lnSpc>
              <a:spcPct val="80000"/>
            </a:lnSpc>
          </a:pPr>
          <a:r>
            <a:rPr lang="en-US" sz="1100" b="0" baseline="0">
              <a:solidFill>
                <a:schemeClr val="accent2"/>
              </a:solidFill>
              <a:latin typeface="Aptos Narrow" panose="020B0004020202020204" pitchFamily="34" charset="0"/>
            </a:rPr>
            <a:t>Typically this information can be found in energy audit reports or vendor assessments. If unsure, copy and send this table below to your building's consulting engineer or service provider.</a:t>
          </a:r>
        </a:p>
        <a:p>
          <a:pPr algn="ctr">
            <a:lnSpc>
              <a:spcPct val="80000"/>
            </a:lnSpc>
          </a:pPr>
          <a:r>
            <a:rPr lang="en-US" sz="1100" b="1" baseline="0">
              <a:solidFill>
                <a:schemeClr val="accent2"/>
              </a:solidFill>
              <a:latin typeface="Aptos Narrow" panose="020B0004020202020204" pitchFamily="34" charset="0"/>
            </a:rPr>
            <a:t>Input measures which haven't been implemented before the Usage Year entered above </a:t>
          </a:r>
          <a:r>
            <a:rPr lang="en-US" sz="1100" b="0" baseline="0">
              <a:solidFill>
                <a:schemeClr val="accent2"/>
              </a:solidFill>
              <a:latin typeface="Aptos Narrow" panose="020B0004020202020204" pitchFamily="34" charset="0"/>
            </a:rPr>
            <a:t>to avoid double counting savings in both the energy usage baseline and the projected savings.</a:t>
          </a:r>
          <a:endParaRPr lang="en-US" sz="1100" b="1" baseline="0">
            <a:solidFill>
              <a:schemeClr val="accent2"/>
            </a:solidFill>
            <a:latin typeface="Aptos Narrow" panose="020B0004020202020204" pitchFamily="34" charset="0"/>
          </a:endParaRPr>
        </a:p>
      </xdr:txBody>
    </xdr:sp>
    <xdr:clientData/>
  </xdr:twoCellAnchor>
  <xdr:twoCellAnchor editAs="oneCell">
    <xdr:from>
      <xdr:col>12</xdr:col>
      <xdr:colOff>941294</xdr:colOff>
      <xdr:row>10</xdr:row>
      <xdr:rowOff>156883</xdr:rowOff>
    </xdr:from>
    <xdr:to>
      <xdr:col>14</xdr:col>
      <xdr:colOff>355598</xdr:colOff>
      <xdr:row>16</xdr:row>
      <xdr:rowOff>7782</xdr:rowOff>
    </xdr:to>
    <xdr:sp macro="" textlink="">
      <xdr:nvSpPr>
        <xdr:cNvPr id="18" name="TextBox 17">
          <a:extLst>
            <a:ext uri="{FF2B5EF4-FFF2-40B4-BE49-F238E27FC236}">
              <a16:creationId xmlns:a16="http://schemas.microsoft.com/office/drawing/2014/main" id="{115CCD87-73D2-4060-8533-E6ED674FC5BA}"/>
            </a:ext>
          </a:extLst>
        </xdr:cNvPr>
        <xdr:cNvSpPr txBox="1"/>
      </xdr:nvSpPr>
      <xdr:spPr>
        <a:xfrm>
          <a:off x="13819094" y="3119158"/>
          <a:ext cx="1271679" cy="1174874"/>
        </a:xfrm>
        <a:prstGeom prst="downArrowCallout">
          <a:avLst>
            <a:gd name="adj1" fmla="val 22960"/>
            <a:gd name="adj2" fmla="val 14474"/>
            <a:gd name="adj3" fmla="val 13340"/>
            <a:gd name="adj4" fmla="val 88341"/>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0" baseline="0">
              <a:solidFill>
                <a:schemeClr val="accent2"/>
              </a:solidFill>
              <a:latin typeface="Aptos Narrow" panose="020B0004020202020204" pitchFamily="34" charset="0"/>
            </a:rPr>
            <a:t>Input utility savings from energy audit reports in </a:t>
          </a:r>
          <a:r>
            <a:rPr lang="en-US" sz="1100" b="1" baseline="0">
              <a:solidFill>
                <a:schemeClr val="accent2"/>
              </a:solidFill>
              <a:latin typeface="Aptos Narrow" panose="020B0004020202020204" pitchFamily="34" charset="0"/>
            </a:rPr>
            <a:t>Column N</a:t>
          </a:r>
          <a:r>
            <a:rPr lang="en-US" sz="1100" b="0" baseline="0">
              <a:solidFill>
                <a:schemeClr val="accent2"/>
              </a:solidFill>
              <a:latin typeface="Aptos Narrow" panose="020B0004020202020204" pitchFamily="34" charset="0"/>
            </a:rPr>
            <a:t>. Skip if N/A or outdated.</a:t>
          </a:r>
        </a:p>
      </xdr:txBody>
    </xdr:sp>
    <xdr:clientData/>
  </xdr:twoCellAnchor>
  <xdr:twoCellAnchor editAs="oneCell">
    <xdr:from>
      <xdr:col>20</xdr:col>
      <xdr:colOff>33618</xdr:colOff>
      <xdr:row>1</xdr:row>
      <xdr:rowOff>22411</xdr:rowOff>
    </xdr:from>
    <xdr:to>
      <xdr:col>26</xdr:col>
      <xdr:colOff>257713</xdr:colOff>
      <xdr:row>3</xdr:row>
      <xdr:rowOff>174811</xdr:rowOff>
    </xdr:to>
    <xdr:sp macro="" textlink="">
      <xdr:nvSpPr>
        <xdr:cNvPr id="19" name="TextBox 18">
          <a:extLst>
            <a:ext uri="{FF2B5EF4-FFF2-40B4-BE49-F238E27FC236}">
              <a16:creationId xmlns:a16="http://schemas.microsoft.com/office/drawing/2014/main" id="{70BB5167-1830-4548-95E0-9E8F60A9E3F6}"/>
            </a:ext>
          </a:extLst>
        </xdr:cNvPr>
        <xdr:cNvSpPr txBox="1"/>
      </xdr:nvSpPr>
      <xdr:spPr>
        <a:xfrm>
          <a:off x="22607868" y="317686"/>
          <a:ext cx="5658108" cy="514350"/>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4: </a:t>
          </a:r>
          <a:r>
            <a:rPr lang="en-US" sz="1100" b="1" baseline="0">
              <a:solidFill>
                <a:schemeClr val="accent2"/>
              </a:solidFill>
              <a:latin typeface="Aptos Narrow" panose="020B0004020202020204" pitchFamily="34" charset="0"/>
            </a:rPr>
            <a:t>Input utility rates to be used in this tool. HPD strongly recommends use of the standard rates, but user can overwrite if the adjusted rates can be justified. This ensures that assumptions from multiple sources are compatible.</a:t>
          </a:r>
        </a:p>
        <a:p>
          <a:pPr marL="0" marR="0" lvl="0" indent="0" algn="ctr" defTabSz="914400" eaLnBrk="1" fontAlgn="auto" latinLnBrk="0" hangingPunct="1">
            <a:lnSpc>
              <a:spcPct val="80000"/>
            </a:lnSpc>
            <a:spcBef>
              <a:spcPts val="0"/>
            </a:spcBef>
            <a:spcAft>
              <a:spcPts val="0"/>
            </a:spcAft>
            <a:buClrTx/>
            <a:buSzTx/>
            <a:buFontTx/>
            <a:buNone/>
            <a:tabLst/>
            <a:defRPr/>
          </a:pPr>
          <a:endParaRPr lang="en-US" sz="1100" b="0" baseline="0">
            <a:solidFill>
              <a:schemeClr val="accent2"/>
            </a:solidFill>
            <a:latin typeface="Aptos Narrow" panose="020B0004020202020204" pitchFamily="34" charset="0"/>
            <a:ea typeface="+mn-ea"/>
            <a:cs typeface="+mn-cs"/>
          </a:endParaRPr>
        </a:p>
      </xdr:txBody>
    </xdr:sp>
    <xdr:clientData/>
  </xdr:twoCellAnchor>
  <xdr:twoCellAnchor editAs="oneCell">
    <xdr:from>
      <xdr:col>15</xdr:col>
      <xdr:colOff>11208</xdr:colOff>
      <xdr:row>1</xdr:row>
      <xdr:rowOff>11205</xdr:rowOff>
    </xdr:from>
    <xdr:to>
      <xdr:col>19</xdr:col>
      <xdr:colOff>11207</xdr:colOff>
      <xdr:row>3</xdr:row>
      <xdr:rowOff>112058</xdr:rowOff>
    </xdr:to>
    <xdr:sp macro="" textlink="">
      <xdr:nvSpPr>
        <xdr:cNvPr id="20" name="TextBox 19">
          <a:extLst>
            <a:ext uri="{FF2B5EF4-FFF2-40B4-BE49-F238E27FC236}">
              <a16:creationId xmlns:a16="http://schemas.microsoft.com/office/drawing/2014/main" id="{A985142A-5A2C-44F7-B3F0-E319B405F5C2}"/>
            </a:ext>
          </a:extLst>
        </xdr:cNvPr>
        <xdr:cNvSpPr txBox="1"/>
      </xdr:nvSpPr>
      <xdr:spPr>
        <a:xfrm>
          <a:off x="15698883" y="306480"/>
          <a:ext cx="6400799" cy="462803"/>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3: </a:t>
          </a:r>
          <a:r>
            <a:rPr lang="en-US" sz="1100" b="1" baseline="0">
              <a:solidFill>
                <a:schemeClr val="accent2"/>
              </a:solidFill>
              <a:latin typeface="Aptos Narrow" panose="020B0004020202020204" pitchFamily="34" charset="0"/>
            </a:rPr>
            <a:t>Fill in HPD Project Information. Note that HPD projects must submit at least 2 Scope Scenarios.</a:t>
          </a:r>
        </a:p>
        <a:p>
          <a:pPr marL="0" marR="0" lvl="0" indent="0" algn="ctr" defTabSz="914400" eaLnBrk="1" fontAlgn="auto" latinLnBrk="0" hangingPunct="1">
            <a:lnSpc>
              <a:spcPct val="80000"/>
            </a:lnSpc>
            <a:spcBef>
              <a:spcPts val="0"/>
            </a:spcBef>
            <a:spcAft>
              <a:spcPts val="0"/>
            </a:spcAft>
            <a:buClrTx/>
            <a:buSzTx/>
            <a:buFontTx/>
            <a:buNone/>
            <a:tabLst/>
            <a:defRPr/>
          </a:pPr>
          <a:endParaRPr lang="en-US" sz="1100" b="1" baseline="0">
            <a:solidFill>
              <a:schemeClr val="accent2"/>
            </a:solidFill>
            <a:latin typeface="Aptos Narrow" panose="020B0004020202020204" pitchFamily="34" charset="0"/>
          </a:endParaRPr>
        </a:p>
        <a:p>
          <a:pPr marL="0" marR="0" lvl="0" indent="0" algn="ctr" defTabSz="914400" eaLnBrk="1" fontAlgn="auto" latinLnBrk="0" hangingPunct="1">
            <a:lnSpc>
              <a:spcPct val="80000"/>
            </a:lnSpc>
            <a:spcBef>
              <a:spcPts val="0"/>
            </a:spcBef>
            <a:spcAft>
              <a:spcPts val="0"/>
            </a:spcAft>
            <a:buClrTx/>
            <a:buSzTx/>
            <a:buFontTx/>
            <a:buNone/>
            <a:tabLst/>
            <a:defRPr/>
          </a:pPr>
          <a:endParaRPr lang="en-US" sz="1100" b="0" baseline="0">
            <a:solidFill>
              <a:schemeClr val="accent2"/>
            </a:solidFill>
            <a:latin typeface="Aptos Narrow" panose="020B0004020202020204" pitchFamily="34" charset="0"/>
            <a:ea typeface="+mn-ea"/>
            <a:cs typeface="+mn-cs"/>
          </a:endParaRPr>
        </a:p>
      </xdr:txBody>
    </xdr:sp>
    <xdr:clientData/>
  </xdr:twoCellAnchor>
  <xdr:twoCellAnchor editAs="oneCell">
    <xdr:from>
      <xdr:col>19</xdr:col>
      <xdr:colOff>437027</xdr:colOff>
      <xdr:row>12</xdr:row>
      <xdr:rowOff>224118</xdr:rowOff>
    </xdr:from>
    <xdr:to>
      <xdr:col>22</xdr:col>
      <xdr:colOff>795245</xdr:colOff>
      <xdr:row>16</xdr:row>
      <xdr:rowOff>115360</xdr:rowOff>
    </xdr:to>
    <xdr:sp macro="" textlink="">
      <xdr:nvSpPr>
        <xdr:cNvPr id="21" name="TextBox 20">
          <a:extLst>
            <a:ext uri="{FF2B5EF4-FFF2-40B4-BE49-F238E27FC236}">
              <a16:creationId xmlns:a16="http://schemas.microsoft.com/office/drawing/2014/main" id="{74B2C3B8-A8D3-433C-ADF0-01034408343D}"/>
            </a:ext>
          </a:extLst>
        </xdr:cNvPr>
        <xdr:cNvSpPr txBox="1"/>
      </xdr:nvSpPr>
      <xdr:spPr>
        <a:xfrm>
          <a:off x="22525502" y="3643593"/>
          <a:ext cx="2748993" cy="758017"/>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0" baseline="0">
              <a:solidFill>
                <a:schemeClr val="tx1">
                  <a:lumMod val="65000"/>
                  <a:lumOff val="35000"/>
                </a:schemeClr>
              </a:solidFill>
              <a:latin typeface="Aptos Narrow" panose="020B0004020202020204" pitchFamily="34" charset="0"/>
            </a:rPr>
            <a:t>STEP 7: </a:t>
          </a:r>
          <a:endParaRPr lang="en-US" sz="1100" b="1" baseline="0">
            <a:solidFill>
              <a:schemeClr val="tx1">
                <a:lumMod val="65000"/>
                <a:lumOff val="35000"/>
              </a:schemeClr>
            </a:solidFill>
            <a:latin typeface="Aptos Narrow" panose="020B0004020202020204" pitchFamily="34" charset="0"/>
          </a:endParaRPr>
        </a:p>
        <a:p>
          <a:pPr algn="ctr">
            <a:lnSpc>
              <a:spcPct val="80000"/>
            </a:lnSpc>
          </a:pPr>
          <a:r>
            <a:rPr lang="en-US" sz="1100" b="1" baseline="0">
              <a:solidFill>
                <a:schemeClr val="accent2"/>
              </a:solidFill>
              <a:latin typeface="Aptos Narrow" panose="020B0004020202020204" pitchFamily="34" charset="0"/>
            </a:rPr>
            <a:t>Choose the scope name in Column U from the dropdown list </a:t>
          </a:r>
          <a:r>
            <a:rPr lang="en-US" sz="1100" b="0" baseline="0">
              <a:solidFill>
                <a:schemeClr val="accent2"/>
              </a:solidFill>
              <a:latin typeface="Aptos Narrow" panose="020B0004020202020204" pitchFamily="34" charset="0"/>
            </a:rPr>
            <a:t>to generate aggregated Cost, Savings and Payback  by Scope</a:t>
          </a:r>
        </a:p>
      </xdr:txBody>
    </xdr:sp>
    <xdr:clientData/>
  </xdr:twoCellAnchor>
  <xdr:twoCellAnchor editAs="oneCell">
    <xdr:from>
      <xdr:col>15</xdr:col>
      <xdr:colOff>806823</xdr:colOff>
      <xdr:row>12</xdr:row>
      <xdr:rowOff>33618</xdr:rowOff>
    </xdr:from>
    <xdr:to>
      <xdr:col>18</xdr:col>
      <xdr:colOff>246530</xdr:colOff>
      <xdr:row>16</xdr:row>
      <xdr:rowOff>198281</xdr:rowOff>
    </xdr:to>
    <xdr:sp macro="" textlink="">
      <xdr:nvSpPr>
        <xdr:cNvPr id="22" name="TextBox 21">
          <a:extLst>
            <a:ext uri="{FF2B5EF4-FFF2-40B4-BE49-F238E27FC236}">
              <a16:creationId xmlns:a16="http://schemas.microsoft.com/office/drawing/2014/main" id="{4AFB8064-E099-4759-81A3-02B625E0944F}"/>
            </a:ext>
          </a:extLst>
        </xdr:cNvPr>
        <xdr:cNvSpPr txBox="1"/>
      </xdr:nvSpPr>
      <xdr:spPr>
        <a:xfrm>
          <a:off x="16494498" y="3453093"/>
          <a:ext cx="2859182" cy="103143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0" baseline="0">
              <a:solidFill>
                <a:schemeClr val="tx1">
                  <a:lumMod val="65000"/>
                  <a:lumOff val="35000"/>
                </a:schemeClr>
              </a:solidFill>
              <a:latin typeface="Aptos Narrow" panose="020B0004020202020204" pitchFamily="34" charset="0"/>
            </a:rPr>
            <a:t>STEP</a:t>
          </a:r>
          <a:r>
            <a:rPr lang="en-US" sz="1100" b="1" baseline="0">
              <a:solidFill>
                <a:schemeClr val="tx1">
                  <a:lumMod val="65000"/>
                  <a:lumOff val="35000"/>
                </a:schemeClr>
              </a:solidFill>
              <a:latin typeface="Aptos Narrow" panose="020B0004020202020204" pitchFamily="34" charset="0"/>
            </a:rPr>
            <a:t> 6: </a:t>
          </a:r>
        </a:p>
        <a:p>
          <a:pPr algn="ctr">
            <a:lnSpc>
              <a:spcPct val="80000"/>
            </a:lnSpc>
          </a:pPr>
          <a:r>
            <a:rPr lang="en-US" sz="1100" b="1" baseline="0">
              <a:solidFill>
                <a:schemeClr val="accent2"/>
              </a:solidFill>
              <a:latin typeface="Aptos Narrow" panose="020B0004020202020204" pitchFamily="34" charset="0"/>
            </a:rPr>
            <a:t>Check the boxes in column Q to include the measures in the Pathway. Uncheck to exclude.</a:t>
          </a:r>
        </a:p>
        <a:p>
          <a:pPr algn="ctr">
            <a:lnSpc>
              <a:spcPct val="80000"/>
            </a:lnSpc>
          </a:pPr>
          <a:endParaRPr lang="en-US" sz="1100" b="1" baseline="0">
            <a:solidFill>
              <a:schemeClr val="accent2"/>
            </a:solidFill>
            <a:latin typeface="Aptos Narrow" panose="020B0004020202020204" pitchFamily="34" charset="0"/>
          </a:endParaRPr>
        </a:p>
        <a:p>
          <a:pPr algn="ctr">
            <a:lnSpc>
              <a:spcPct val="80000"/>
            </a:lnSpc>
          </a:pPr>
          <a:r>
            <a:rPr lang="en-US" sz="1100" b="1" baseline="0">
              <a:solidFill>
                <a:schemeClr val="accent2"/>
              </a:solidFill>
              <a:latin typeface="Aptos Narrow" panose="020B0004020202020204" pitchFamily="34" charset="0"/>
            </a:rPr>
            <a:t>Enter the Implementation Year for each measure in column R.</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0.02483</cdr:x>
      <cdr:y>0.57085</cdr:y>
    </cdr:from>
    <cdr:to>
      <cdr:x>0.20798</cdr:x>
      <cdr:y>0.64954</cdr:y>
    </cdr:to>
    <cdr:sp macro="" textlink="">
      <cdr:nvSpPr>
        <cdr:cNvPr id="3" name="TextBox 1">
          <a:extLst xmlns:a="http://schemas.openxmlformats.org/drawingml/2006/main">
            <a:ext uri="{FF2B5EF4-FFF2-40B4-BE49-F238E27FC236}">
              <a16:creationId xmlns:a16="http://schemas.microsoft.com/office/drawing/2014/main" id="{13B0F3D2-5E1E-45F2-90BF-5D31EDFEC2A4}"/>
            </a:ext>
          </a:extLst>
        </cdr:cNvPr>
        <cdr:cNvSpPr txBox="1"/>
      </cdr:nvSpPr>
      <cdr:spPr>
        <a:xfrm xmlns:a="http://schemas.openxmlformats.org/drawingml/2006/main">
          <a:off x="230093" y="2314388"/>
          <a:ext cx="1697319" cy="3190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i="0" u="none" strike="noStrike">
              <a:solidFill>
                <a:srgbClr val="C00000"/>
              </a:solidFill>
              <a:latin typeface="Aptos Narrow" panose="020B0004020202020204" pitchFamily="34" charset="0"/>
            </a:rPr>
            <a:t>$ LL97 Annual</a:t>
          </a:r>
          <a:r>
            <a:rPr lang="en-US" sz="1100" b="1" i="0" u="none" strike="noStrike" baseline="0">
              <a:solidFill>
                <a:srgbClr val="C00000"/>
              </a:solidFill>
              <a:latin typeface="Aptos Narrow" panose="020B0004020202020204" pitchFamily="34" charset="0"/>
            </a:rPr>
            <a:t> </a:t>
          </a:r>
          <a:r>
            <a:rPr lang="en-US" sz="1100" b="1" i="0" u="none" strike="noStrike">
              <a:solidFill>
                <a:srgbClr val="C00000"/>
              </a:solidFill>
              <a:latin typeface="Aptos Narrow" panose="020B0004020202020204" pitchFamily="34" charset="0"/>
            </a:rPr>
            <a:t>Penalty</a:t>
          </a:r>
          <a:endParaRPr lang="en-US" sz="1400" b="1">
            <a:solidFill>
              <a:srgbClr val="C00000"/>
            </a:solidFill>
            <a:latin typeface="Aptos Narrow" panose="020B00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0.26023</cdr:x>
      <cdr:y>0.01084</cdr:y>
    </cdr:from>
    <cdr:to>
      <cdr:x>0.78337</cdr:x>
      <cdr:y>0.11115</cdr:y>
    </cdr:to>
    <cdr:sp macro="" textlink="">
      <cdr:nvSpPr>
        <cdr:cNvPr id="2" name="TextBox 1">
          <a:extLst xmlns:a="http://schemas.openxmlformats.org/drawingml/2006/main">
            <a:ext uri="{FF2B5EF4-FFF2-40B4-BE49-F238E27FC236}">
              <a16:creationId xmlns:a16="http://schemas.microsoft.com/office/drawing/2014/main" id="{2B1D1241-A2B8-C5C8-DD18-8BE2E68BD52D}"/>
            </a:ext>
          </a:extLst>
        </cdr:cNvPr>
        <cdr:cNvSpPr txBox="1"/>
      </cdr:nvSpPr>
      <cdr:spPr>
        <a:xfrm xmlns:a="http://schemas.openxmlformats.org/drawingml/2006/main">
          <a:off x="1716118" y="42116"/>
          <a:ext cx="3449932" cy="389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solidFill>
                <a:schemeClr val="tx1">
                  <a:lumMod val="65000"/>
                  <a:lumOff val="35000"/>
                </a:schemeClr>
              </a:solidFill>
              <a:effectLst/>
              <a:latin typeface="Aptos" panose="020B0004020202020204" pitchFamily="34" charset="0"/>
              <a:ea typeface="+mn-ea"/>
              <a:cs typeface="+mn-cs"/>
            </a:rPr>
            <a:t>Decarbonization Pathway</a:t>
          </a:r>
          <a:endParaRPr lang="en-US" sz="1400" b="1">
            <a:solidFill>
              <a:schemeClr val="tx1">
                <a:lumMod val="65000"/>
                <a:lumOff val="35000"/>
              </a:schemeClr>
            </a:solidFill>
            <a:latin typeface="Aptos" panose="020B00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9</xdr:col>
      <xdr:colOff>281747</xdr:colOff>
      <xdr:row>101</xdr:row>
      <xdr:rowOff>48025</xdr:rowOff>
    </xdr:from>
    <xdr:to>
      <xdr:col>18</xdr:col>
      <xdr:colOff>956664</xdr:colOff>
      <xdr:row>123</xdr:row>
      <xdr:rowOff>66755</xdr:rowOff>
    </xdr:to>
    <xdr:graphicFrame macro="">
      <xdr:nvGraphicFramePr>
        <xdr:cNvPr id="2" name="Chart 1">
          <a:extLst>
            <a:ext uri="{FF2B5EF4-FFF2-40B4-BE49-F238E27FC236}">
              <a16:creationId xmlns:a16="http://schemas.microsoft.com/office/drawing/2014/main" id="{D829F8F8-375B-2165-EDF9-002DA1F083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224116</xdr:colOff>
      <xdr:row>81</xdr:row>
      <xdr:rowOff>89649</xdr:rowOff>
    </xdr:from>
    <xdr:to>
      <xdr:col>18</xdr:col>
      <xdr:colOff>1154207</xdr:colOff>
      <xdr:row>101</xdr:row>
      <xdr:rowOff>8965</xdr:rowOff>
    </xdr:to>
    <xdr:graphicFrame macro="">
      <xdr:nvGraphicFramePr>
        <xdr:cNvPr id="10" name="Chart 9">
          <a:extLst>
            <a:ext uri="{FF2B5EF4-FFF2-40B4-BE49-F238E27FC236}">
              <a16:creationId xmlns:a16="http://schemas.microsoft.com/office/drawing/2014/main" id="{57CB1CB8-9C2A-43B4-B2C9-03662F25F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941296</xdr:colOff>
      <xdr:row>81</xdr:row>
      <xdr:rowOff>147749</xdr:rowOff>
    </xdr:from>
    <xdr:to>
      <xdr:col>9</xdr:col>
      <xdr:colOff>78444</xdr:colOff>
      <xdr:row>124</xdr:row>
      <xdr:rowOff>56028</xdr:rowOff>
    </xdr:to>
    <xdr:sp macro="" textlink="">
      <xdr:nvSpPr>
        <xdr:cNvPr id="5" name="TextBox 4">
          <a:extLst>
            <a:ext uri="{FF2B5EF4-FFF2-40B4-BE49-F238E27FC236}">
              <a16:creationId xmlns:a16="http://schemas.microsoft.com/office/drawing/2014/main" id="{D294D927-4E4B-4B07-9BAE-57972397A43F}"/>
            </a:ext>
          </a:extLst>
        </xdr:cNvPr>
        <xdr:cNvSpPr txBox="1"/>
      </xdr:nvSpPr>
      <xdr:spPr>
        <a:xfrm>
          <a:off x="1086972" y="11387249"/>
          <a:ext cx="9188825" cy="8637661"/>
        </a:xfrm>
        <a:prstGeom prst="rect">
          <a:avLst/>
        </a:prstGeom>
        <a:solidFill>
          <a:schemeClr val="accent1">
            <a:alpha val="5000"/>
          </a:schemeClr>
        </a:solidFill>
        <a:ln>
          <a:solidFill>
            <a:schemeClr val="accent1"/>
          </a:solidFill>
          <a:prstDash val="sysDash"/>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endParaRPr lang="en-US" sz="1100"/>
        </a:p>
      </xdr:txBody>
    </xdr:sp>
    <xdr:clientData/>
  </xdr:twoCellAnchor>
  <xdr:twoCellAnchor editAs="oneCell">
    <xdr:from>
      <xdr:col>3</xdr:col>
      <xdr:colOff>80681</xdr:colOff>
      <xdr:row>1</xdr:row>
      <xdr:rowOff>0</xdr:rowOff>
    </xdr:from>
    <xdr:to>
      <xdr:col>4</xdr:col>
      <xdr:colOff>1008530</xdr:colOff>
      <xdr:row>4</xdr:row>
      <xdr:rowOff>75018</xdr:rowOff>
    </xdr:to>
    <xdr:sp macro="" textlink="">
      <xdr:nvSpPr>
        <xdr:cNvPr id="8" name="TextBox 7">
          <a:extLst>
            <a:ext uri="{FF2B5EF4-FFF2-40B4-BE49-F238E27FC236}">
              <a16:creationId xmlns:a16="http://schemas.microsoft.com/office/drawing/2014/main" id="{D4226F16-A24F-4C87-8684-93B8DC3037AF}"/>
            </a:ext>
          </a:extLst>
        </xdr:cNvPr>
        <xdr:cNvSpPr txBox="1"/>
      </xdr:nvSpPr>
      <xdr:spPr>
        <a:xfrm>
          <a:off x="1929652" y="302559"/>
          <a:ext cx="4199966" cy="64651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STEP 1: </a:t>
          </a:r>
          <a:r>
            <a:rPr lang="en-US" sz="1100" b="1" baseline="0">
              <a:solidFill>
                <a:schemeClr val="accent2"/>
              </a:solidFill>
              <a:latin typeface="Aptos Narrow" panose="020B0004020202020204" pitchFamily="34" charset="0"/>
            </a:rPr>
            <a:t>Choose the applicable space types from the in-cell drop-down list. Then input the space size in Sq.Ft. </a:t>
          </a:r>
        </a:p>
        <a:p>
          <a:pPr algn="ctr"/>
          <a:r>
            <a:rPr lang="en-US" sz="1100" b="0" baseline="0">
              <a:solidFill>
                <a:schemeClr val="accent2"/>
              </a:solidFill>
              <a:latin typeface="Aptos Narrow" panose="020B0004020202020204" pitchFamily="34" charset="0"/>
              <a:ea typeface="+mn-ea"/>
              <a:cs typeface="+mn-cs"/>
            </a:rPr>
            <a:t>You may enter up to 8 unique space types.</a:t>
          </a:r>
        </a:p>
      </xdr:txBody>
    </xdr:sp>
    <xdr:clientData/>
  </xdr:twoCellAnchor>
  <xdr:twoCellAnchor editAs="oneCell">
    <xdr:from>
      <xdr:col>18</xdr:col>
      <xdr:colOff>1264584</xdr:colOff>
      <xdr:row>82</xdr:row>
      <xdr:rowOff>3921</xdr:rowOff>
    </xdr:from>
    <xdr:to>
      <xdr:col>24</xdr:col>
      <xdr:colOff>440951</xdr:colOff>
      <xdr:row>100</xdr:row>
      <xdr:rowOff>190499</xdr:rowOff>
    </xdr:to>
    <xdr:graphicFrame macro="">
      <xdr:nvGraphicFramePr>
        <xdr:cNvPr id="13" name="Chart 12">
          <a:extLst>
            <a:ext uri="{FF2B5EF4-FFF2-40B4-BE49-F238E27FC236}">
              <a16:creationId xmlns:a16="http://schemas.microsoft.com/office/drawing/2014/main" id="{2EDCC62D-C1E0-469F-9FA7-BF6EB4832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1255617</xdr:colOff>
      <xdr:row>101</xdr:row>
      <xdr:rowOff>123262</xdr:rowOff>
    </xdr:from>
    <xdr:to>
      <xdr:col>24</xdr:col>
      <xdr:colOff>566457</xdr:colOff>
      <xdr:row>123</xdr:row>
      <xdr:rowOff>56028</xdr:rowOff>
    </xdr:to>
    <xdr:grpSp>
      <xdr:nvGrpSpPr>
        <xdr:cNvPr id="17" name="Group 16">
          <a:extLst>
            <a:ext uri="{FF2B5EF4-FFF2-40B4-BE49-F238E27FC236}">
              <a16:creationId xmlns:a16="http://schemas.microsoft.com/office/drawing/2014/main" id="{8EC4799E-437A-8EAF-D769-EDDA25FAA761}"/>
            </a:ext>
          </a:extLst>
        </xdr:cNvPr>
        <xdr:cNvGrpSpPr/>
      </xdr:nvGrpSpPr>
      <xdr:grpSpPr>
        <a:xfrm>
          <a:off x="20372852" y="15021483"/>
          <a:ext cx="6874811" cy="4303060"/>
          <a:chOff x="19571070" y="14108205"/>
          <a:chExt cx="6729136" cy="4157383"/>
        </a:xfrm>
      </xdr:grpSpPr>
      <xdr:grpSp>
        <xdr:nvGrpSpPr>
          <xdr:cNvPr id="14" name="Group 13">
            <a:extLst>
              <a:ext uri="{FF2B5EF4-FFF2-40B4-BE49-F238E27FC236}">
                <a16:creationId xmlns:a16="http://schemas.microsoft.com/office/drawing/2014/main" id="{DB781B2B-43F5-1E1D-EC6B-543A88BA9254}"/>
              </a:ext>
            </a:extLst>
          </xdr:cNvPr>
          <xdr:cNvGrpSpPr/>
        </xdr:nvGrpSpPr>
        <xdr:grpSpPr>
          <a:xfrm>
            <a:off x="19571071" y="14108205"/>
            <a:ext cx="6729135" cy="4157383"/>
            <a:chOff x="19571071" y="14108205"/>
            <a:chExt cx="6729135" cy="4157383"/>
          </a:xfrm>
        </xdr:grpSpPr>
        <xdr:grpSp>
          <xdr:nvGrpSpPr>
            <xdr:cNvPr id="4" name="Group 3">
              <a:extLst>
                <a:ext uri="{FF2B5EF4-FFF2-40B4-BE49-F238E27FC236}">
                  <a16:creationId xmlns:a16="http://schemas.microsoft.com/office/drawing/2014/main" id="{B939E276-88AD-FE8D-37B0-DDE1FAA03F45}"/>
                </a:ext>
              </a:extLst>
            </xdr:cNvPr>
            <xdr:cNvGrpSpPr/>
          </xdr:nvGrpSpPr>
          <xdr:grpSpPr>
            <a:xfrm>
              <a:off x="19571071" y="14108205"/>
              <a:ext cx="6729135" cy="4157383"/>
              <a:chOff x="19178866" y="17559617"/>
              <a:chExt cx="6729135" cy="4101354"/>
            </a:xfrm>
          </xdr:grpSpPr>
          <mc:AlternateContent xmlns:mc="http://schemas.openxmlformats.org/markup-compatibility/2006">
            <mc:Choice xmlns:cx1="http://schemas.microsoft.com/office/drawing/2015/9/8/chartex" Requires="cx1">
              <xdr:graphicFrame macro="">
                <xdr:nvGraphicFramePr>
                  <xdr:cNvPr id="15" name="Chart 15">
                    <a:extLst>
                      <a:ext uri="{FF2B5EF4-FFF2-40B4-BE49-F238E27FC236}">
                        <a16:creationId xmlns:a16="http://schemas.microsoft.com/office/drawing/2014/main" id="{02F14E9E-0209-6DBD-F33E-63FF6911C971}"/>
                      </a:ext>
                    </a:extLst>
                  </xdr:cNvPr>
                  <xdr:cNvGraphicFramePr/>
                </xdr:nvGraphicFramePr>
                <xdr:xfrm>
                  <a:off x="19178866" y="17869738"/>
                  <a:ext cx="6729135" cy="3791233"/>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178866" y="17869738"/>
                    <a:ext cx="6729135" cy="379123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sp macro="" textlink="#REF!">
            <xdr:nvSpPr>
              <xdr:cNvPr id="11" name="TextBox 1">
                <a:extLst>
                  <a:ext uri="{FF2B5EF4-FFF2-40B4-BE49-F238E27FC236}">
                    <a16:creationId xmlns:a16="http://schemas.microsoft.com/office/drawing/2014/main" id="{4F13CCF8-F8CE-A13F-5404-63AC0F05E371}"/>
                  </a:ext>
                </a:extLst>
              </xdr:cNvPr>
              <xdr:cNvSpPr txBox="1"/>
            </xdr:nvSpPr>
            <xdr:spPr>
              <a:xfrm>
                <a:off x="19250879" y="17559617"/>
                <a:ext cx="5264887" cy="4111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fld id="{53C3EFD8-A1E8-4896-B408-61AF9AED7453}" type="TxLink">
                  <a:rPr lang="en-US" sz="1400" b="1" i="0" u="none" strike="noStrike">
                    <a:solidFill>
                      <a:sysClr val="windowText" lastClr="000000"/>
                    </a:solidFill>
                    <a:latin typeface="Aptos"/>
                  </a:rPr>
                  <a:pPr algn="l"/>
                  <a:t> </a:t>
                </a:fld>
                <a:endParaRPr lang="en-US" sz="1600" b="1">
                  <a:solidFill>
                    <a:sysClr val="windowText" lastClr="000000"/>
                  </a:solidFill>
                  <a:latin typeface="Aptos" panose="020B0004020202020204" pitchFamily="34" charset="0"/>
                </a:endParaRPr>
              </a:p>
            </xdr:txBody>
          </xdr:sp>
        </xdr:grpSp>
        <xdr:sp macro="" textlink="#REF!">
          <xdr:nvSpPr>
            <xdr:cNvPr id="12" name="TextBox 1">
              <a:extLst>
                <a:ext uri="{FF2B5EF4-FFF2-40B4-BE49-F238E27FC236}">
                  <a16:creationId xmlns:a16="http://schemas.microsoft.com/office/drawing/2014/main" id="{13B0F3D2-5E1E-45F2-90BF-5D31EDFEC2A4}"/>
                </a:ext>
              </a:extLst>
            </xdr:cNvPr>
            <xdr:cNvSpPr txBox="1"/>
          </xdr:nvSpPr>
          <xdr:spPr>
            <a:xfrm>
              <a:off x="21498484" y="14119412"/>
              <a:ext cx="1339104" cy="3058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fld id="{B4A24ADB-7EE0-4326-8317-F0B445F10F28}" type="TxLink">
                <a:rPr lang="en-US" sz="1200" b="1" i="0" u="none" strike="noStrike">
                  <a:solidFill>
                    <a:schemeClr val="tx1">
                      <a:lumMod val="65000"/>
                      <a:lumOff val="35000"/>
                    </a:schemeClr>
                  </a:solidFill>
                  <a:latin typeface="Aptos"/>
                </a:rPr>
                <a:pPr algn="l"/>
                <a:t> </a:t>
              </a:fld>
              <a:endParaRPr lang="en-US" sz="1600" b="1">
                <a:solidFill>
                  <a:schemeClr val="tx1">
                    <a:lumMod val="65000"/>
                    <a:lumOff val="35000"/>
                  </a:schemeClr>
                </a:solidFill>
                <a:latin typeface="Aptos" panose="020B0004020202020204" pitchFamily="34" charset="0"/>
              </a:endParaRPr>
            </a:p>
          </xdr:txBody>
        </xdr:sp>
      </xdr:grpSp>
      <xdr:sp macro="" textlink="">
        <xdr:nvSpPr>
          <xdr:cNvPr id="16" name="TextBox 1">
            <a:extLst>
              <a:ext uri="{FF2B5EF4-FFF2-40B4-BE49-F238E27FC236}">
                <a16:creationId xmlns:a16="http://schemas.microsoft.com/office/drawing/2014/main" id="{22B5A5E4-0367-4C6C-9C57-3A22A0157912}"/>
              </a:ext>
            </a:extLst>
          </xdr:cNvPr>
          <xdr:cNvSpPr txBox="1"/>
        </xdr:nvSpPr>
        <xdr:spPr>
          <a:xfrm>
            <a:off x="19571070" y="14119411"/>
            <a:ext cx="2906090" cy="361867"/>
          </a:xfrm>
          <a:prstGeom prst="rect">
            <a:avLst/>
          </a:prstGeom>
        </xdr:spPr>
        <xdr:txBody>
          <a:bodyPr wrap="square" rtlCol="0"/>
          <a:lstStyle/>
          <a:p>
            <a:pPr algn="l"/>
            <a:r>
              <a:rPr lang="en-US" sz="1200" b="1" i="0" u="none" strike="noStrike">
                <a:solidFill>
                  <a:schemeClr val="tx1">
                    <a:lumMod val="65000"/>
                    <a:lumOff val="35000"/>
                  </a:schemeClr>
                </a:solidFill>
                <a:latin typeface="Aptos"/>
              </a:rPr>
              <a:t>Overall</a:t>
            </a:r>
            <a:r>
              <a:rPr lang="en-US" sz="1200" b="1" i="0" u="none" strike="noStrike" baseline="0">
                <a:solidFill>
                  <a:schemeClr val="tx1">
                    <a:lumMod val="65000"/>
                    <a:lumOff val="35000"/>
                  </a:schemeClr>
                </a:solidFill>
                <a:latin typeface="Aptos"/>
              </a:rPr>
              <a:t> </a:t>
            </a:r>
            <a:r>
              <a:rPr lang="en-US" sz="1200" b="1" i="0" u="none" strike="noStrike">
                <a:solidFill>
                  <a:schemeClr val="tx1">
                    <a:lumMod val="65000"/>
                    <a:lumOff val="35000"/>
                  </a:schemeClr>
                </a:solidFill>
                <a:latin typeface="Aptos"/>
              </a:rPr>
              <a:t>Cost</a:t>
            </a:r>
            <a:r>
              <a:rPr lang="en-US" sz="1200" b="1" i="0" u="none" strike="noStrike" baseline="0">
                <a:solidFill>
                  <a:schemeClr val="tx1">
                    <a:lumMod val="65000"/>
                    <a:lumOff val="35000"/>
                  </a:schemeClr>
                </a:solidFill>
                <a:latin typeface="Aptos"/>
              </a:rPr>
              <a:t> Savings</a:t>
            </a:r>
            <a:r>
              <a:rPr lang="en-US" sz="1200" b="1" i="0" u="none" strike="noStrike">
                <a:solidFill>
                  <a:schemeClr val="tx1">
                    <a:lumMod val="65000"/>
                    <a:lumOff val="35000"/>
                  </a:schemeClr>
                </a:solidFill>
                <a:latin typeface="Aptos"/>
              </a:rPr>
              <a:t> (Base year - 2049)</a:t>
            </a:r>
          </a:p>
        </xdr:txBody>
      </xdr:sp>
    </xdr:grpSp>
    <xdr:clientData/>
  </xdr:twoCellAnchor>
  <xdr:twoCellAnchor editAs="oneCell">
    <xdr:from>
      <xdr:col>5</xdr:col>
      <xdr:colOff>1043267</xdr:colOff>
      <xdr:row>1</xdr:row>
      <xdr:rowOff>12887</xdr:rowOff>
    </xdr:from>
    <xdr:to>
      <xdr:col>14</xdr:col>
      <xdr:colOff>303679</xdr:colOff>
      <xdr:row>4</xdr:row>
      <xdr:rowOff>87905</xdr:rowOff>
    </xdr:to>
    <xdr:sp macro="" textlink="">
      <xdr:nvSpPr>
        <xdr:cNvPr id="20" name="TextBox 19">
          <a:extLst>
            <a:ext uri="{FF2B5EF4-FFF2-40B4-BE49-F238E27FC236}">
              <a16:creationId xmlns:a16="http://schemas.microsoft.com/office/drawing/2014/main" id="{C45AD031-6EE6-447B-AB9E-942A3E16C82C}"/>
            </a:ext>
          </a:extLst>
        </xdr:cNvPr>
        <xdr:cNvSpPr txBox="1"/>
      </xdr:nvSpPr>
      <xdr:spPr>
        <a:xfrm>
          <a:off x="7415492" y="317687"/>
          <a:ext cx="7845239" cy="646518"/>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2: </a:t>
          </a:r>
          <a:r>
            <a:rPr lang="en-US" sz="1100" b="1" baseline="0">
              <a:solidFill>
                <a:schemeClr val="accent2"/>
              </a:solidFill>
              <a:latin typeface="Aptos Narrow" panose="020B0004020202020204" pitchFamily="34" charset="0"/>
            </a:rPr>
            <a:t>Input the year and the energy usage information </a:t>
          </a:r>
          <a:r>
            <a:rPr lang="en-US" sz="1100" b="1" baseline="0">
              <a:solidFill>
                <a:schemeClr val="accent2"/>
              </a:solidFill>
              <a:effectLst/>
              <a:latin typeface="Aptos Narrow" panose="020B0004020202020204" pitchFamily="34" charset="0"/>
              <a:ea typeface="+mn-ea"/>
              <a:cs typeface="+mn-cs"/>
            </a:rPr>
            <a:t>in the </a:t>
          </a:r>
          <a:r>
            <a:rPr lang="en-US" sz="1100" b="1" baseline="0">
              <a:solidFill>
                <a:schemeClr val="accent1"/>
              </a:solidFill>
              <a:effectLst/>
              <a:latin typeface="Aptos Narrow" panose="020B0004020202020204" pitchFamily="34" charset="0"/>
              <a:ea typeface="+mn-ea"/>
              <a:cs typeface="+mn-cs"/>
            </a:rPr>
            <a:t>blue cells </a:t>
          </a:r>
          <a:r>
            <a:rPr lang="en-US" sz="1100" b="1" baseline="0">
              <a:solidFill>
                <a:schemeClr val="accent2"/>
              </a:solidFill>
              <a:effectLst/>
              <a:latin typeface="Aptos Narrow" panose="020B0004020202020204" pitchFamily="34" charset="0"/>
              <a:ea typeface="+mn-ea"/>
              <a:cs typeface="+mn-cs"/>
            </a:rPr>
            <a:t>below. </a:t>
          </a:r>
          <a:r>
            <a:rPr lang="en-US" sz="1100" b="0" baseline="0">
              <a:solidFill>
                <a:schemeClr val="accent2"/>
              </a:solidFill>
              <a:latin typeface="Aptos Narrow" panose="020B0004020202020204" pitchFamily="34" charset="0"/>
              <a:ea typeface="+mn-ea"/>
              <a:cs typeface="+mn-cs"/>
            </a:rPr>
            <a:t>Water Usage is not needed for LL97.</a:t>
          </a:r>
        </a:p>
        <a:p>
          <a:pPr algn="ctr">
            <a:lnSpc>
              <a:spcPct val="80000"/>
            </a:lnSpc>
          </a:pPr>
          <a:r>
            <a:rPr lang="en-US" sz="1100" b="0" baseline="0">
              <a:solidFill>
                <a:schemeClr val="accent2"/>
              </a:solidFill>
              <a:latin typeface="Aptos Narrow" panose="020B0004020202020204" pitchFamily="34" charset="0"/>
            </a:rPr>
            <a:t>It's recommended to input the latest year with complete energy data.</a:t>
          </a:r>
        </a:p>
        <a:p>
          <a:pPr algn="ctr">
            <a:lnSpc>
              <a:spcPct val="80000"/>
            </a:lnSpc>
          </a:pPr>
          <a:r>
            <a:rPr lang="en-US" sz="1100" b="0" baseline="0">
              <a:solidFill>
                <a:schemeClr val="accent2"/>
              </a:solidFill>
              <a:latin typeface="Aptos Narrow" panose="020B0004020202020204" pitchFamily="34" charset="0"/>
            </a:rPr>
            <a:t>This year will serve as the baseline year for the LL97 projections in this tool.</a:t>
          </a:r>
        </a:p>
      </xdr:txBody>
    </xdr:sp>
    <xdr:clientData/>
  </xdr:twoCellAnchor>
  <xdr:twoCellAnchor>
    <xdr:from>
      <xdr:col>3</xdr:col>
      <xdr:colOff>478491</xdr:colOff>
      <xdr:row>44</xdr:row>
      <xdr:rowOff>369793</xdr:rowOff>
    </xdr:from>
    <xdr:to>
      <xdr:col>3</xdr:col>
      <xdr:colOff>2577352</xdr:colOff>
      <xdr:row>45</xdr:row>
      <xdr:rowOff>142253</xdr:rowOff>
    </xdr:to>
    <xdr:sp macro="" textlink="">
      <xdr:nvSpPr>
        <xdr:cNvPr id="23" name="TextBox 22">
          <a:extLst>
            <a:ext uri="{FF2B5EF4-FFF2-40B4-BE49-F238E27FC236}">
              <a16:creationId xmlns:a16="http://schemas.microsoft.com/office/drawing/2014/main" id="{86DBC650-346F-44A7-B786-53DE7740F77A}"/>
            </a:ext>
          </a:extLst>
        </xdr:cNvPr>
        <xdr:cNvSpPr txBox="1"/>
      </xdr:nvSpPr>
      <xdr:spPr>
        <a:xfrm>
          <a:off x="2181785" y="10275793"/>
          <a:ext cx="2098861" cy="343960"/>
        </a:xfrm>
        <a:prstGeom prst="downArrowCallout">
          <a:avLst>
            <a:gd name="adj1" fmla="val 21164"/>
            <a:gd name="adj2" fmla="val 23116"/>
            <a:gd name="adj3" fmla="val 20790"/>
            <a:gd name="adj4" fmla="val 81091"/>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1" baseline="0">
              <a:solidFill>
                <a:schemeClr val="tx1">
                  <a:lumMod val="65000"/>
                  <a:lumOff val="35000"/>
                </a:schemeClr>
              </a:solidFill>
              <a:latin typeface="Aptos Narrow" panose="020B0004020202020204" pitchFamily="34" charset="0"/>
            </a:rPr>
            <a:t>DO NOT ALTER THIS TABLE.</a:t>
          </a:r>
          <a:endParaRPr lang="en-US" sz="1100" b="1" baseline="0">
            <a:solidFill>
              <a:schemeClr val="accent2"/>
            </a:solidFill>
            <a:latin typeface="Aptos Narrow" panose="020B0004020202020204" pitchFamily="34" charset="0"/>
          </a:endParaRPr>
        </a:p>
      </xdr:txBody>
    </xdr:sp>
    <xdr:clientData/>
  </xdr:twoCellAnchor>
  <xdr:twoCellAnchor editAs="oneCell">
    <xdr:from>
      <xdr:col>26</xdr:col>
      <xdr:colOff>190498</xdr:colOff>
      <xdr:row>16</xdr:row>
      <xdr:rowOff>224118</xdr:rowOff>
    </xdr:from>
    <xdr:to>
      <xdr:col>32</xdr:col>
      <xdr:colOff>113361</xdr:colOff>
      <xdr:row>27</xdr:row>
      <xdr:rowOff>169956</xdr:rowOff>
    </xdr:to>
    <xdr:sp macro="" textlink="">
      <xdr:nvSpPr>
        <xdr:cNvPr id="3" name="TextBox 2">
          <a:extLst>
            <a:ext uri="{FF2B5EF4-FFF2-40B4-BE49-F238E27FC236}">
              <a16:creationId xmlns:a16="http://schemas.microsoft.com/office/drawing/2014/main" id="{43314CFF-121F-495E-BD4F-7FD77DABF519}"/>
            </a:ext>
          </a:extLst>
        </xdr:cNvPr>
        <xdr:cNvSpPr txBox="1"/>
      </xdr:nvSpPr>
      <xdr:spPr>
        <a:xfrm>
          <a:off x="28070733" y="4605618"/>
          <a:ext cx="4472451" cy="2881779"/>
        </a:xfrm>
        <a:prstGeom prst="leftArrowCallout">
          <a:avLst>
            <a:gd name="adj1" fmla="val 14957"/>
            <a:gd name="adj2" fmla="val 8256"/>
            <a:gd name="adj3" fmla="val 15233"/>
            <a:gd name="adj4" fmla="val 91764"/>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200" b="1" i="0" baseline="0">
              <a:solidFill>
                <a:schemeClr val="tx1">
                  <a:lumMod val="65000"/>
                  <a:lumOff val="35000"/>
                </a:schemeClr>
              </a:solidFill>
              <a:latin typeface="Aptos Narrow" panose="020B0004020202020204" pitchFamily="34" charset="0"/>
            </a:rPr>
            <a:t>Building Decarbonization Pathway Design Tips</a:t>
          </a:r>
        </a:p>
        <a:p>
          <a:pPr algn="ctr">
            <a:lnSpc>
              <a:spcPct val="80000"/>
            </a:lnSpc>
          </a:pPr>
          <a:endParaRPr lang="en-US" sz="1100" b="1" i="0" baseline="0">
            <a:solidFill>
              <a:schemeClr val="tx1">
                <a:lumMod val="65000"/>
                <a:lumOff val="35000"/>
              </a:schemeClr>
            </a:solidFill>
            <a:latin typeface="Aptos Narrow" panose="020B0004020202020204" pitchFamily="34" charset="0"/>
          </a:endParaRPr>
        </a:p>
        <a:p>
          <a:pPr algn="ctr">
            <a:lnSpc>
              <a:spcPct val="80000"/>
            </a:lnSpc>
          </a:pPr>
          <a:r>
            <a:rPr lang="en-US" sz="1100" b="1" i="0" baseline="0">
              <a:solidFill>
                <a:schemeClr val="tx1">
                  <a:lumMod val="65000"/>
                  <a:lumOff val="35000"/>
                </a:schemeClr>
              </a:solidFill>
              <a:latin typeface="Aptos Narrow" panose="020B0004020202020204" pitchFamily="34" charset="0"/>
            </a:rPr>
            <a:t>As you include measures in the pathway and set implementation years in the left table, check the dynamic projections below in LL97 compliance status and cashflows.</a:t>
          </a:r>
        </a:p>
        <a:p>
          <a:pPr algn="ctr">
            <a:lnSpc>
              <a:spcPct val="80000"/>
            </a:lnSpc>
          </a:pPr>
          <a:endParaRPr lang="en-US" sz="1100" b="1" baseline="0">
            <a:solidFill>
              <a:schemeClr val="tx1">
                <a:lumMod val="65000"/>
                <a:lumOff val="35000"/>
              </a:schemeClr>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1. </a:t>
          </a:r>
          <a:r>
            <a:rPr lang="en-US" sz="1100" b="1" baseline="0">
              <a:solidFill>
                <a:schemeClr val="accent2"/>
              </a:solidFill>
              <a:latin typeface="Aptos Narrow" panose="020B0004020202020204" pitchFamily="34" charset="0"/>
              <a:ea typeface="+mn-ea"/>
              <a:cs typeface="+mn-cs"/>
            </a:rPr>
            <a:t>Implement low-</a:t>
          </a:r>
          <a:r>
            <a:rPr lang="en-US" sz="1100" b="1" baseline="0">
              <a:solidFill>
                <a:schemeClr val="accent2"/>
              </a:solidFill>
              <a:latin typeface="Aptos Narrow" panose="020B0004020202020204" pitchFamily="34" charset="0"/>
            </a:rPr>
            <a:t>cost measures with quick payback early on to recoup utility savings for positive cashflows.</a:t>
          </a:r>
        </a:p>
        <a:p>
          <a:pPr algn="l">
            <a:lnSpc>
              <a:spcPct val="100000"/>
            </a:lnSpc>
          </a:pPr>
          <a:endParaRPr lang="en-US" sz="1100" b="1" baseline="0">
            <a:solidFill>
              <a:schemeClr val="accent2"/>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2. Plan and implement higher-cost, emissions-reducing measures ahead of the LL97 milestone years (2030 and 2040) when compliance limits become more stringent.</a:t>
          </a:r>
        </a:p>
        <a:p>
          <a:pPr algn="l">
            <a:lnSpc>
              <a:spcPct val="100000"/>
            </a:lnSpc>
          </a:pPr>
          <a:endParaRPr lang="en-US" sz="1100" b="1" baseline="0">
            <a:solidFill>
              <a:schemeClr val="accent2"/>
            </a:solidFill>
            <a:latin typeface="Aptos Narrow" panose="020B0004020202020204" pitchFamily="34" charset="0"/>
          </a:endParaRPr>
        </a:p>
        <a:p>
          <a:pPr algn="l">
            <a:lnSpc>
              <a:spcPct val="100000"/>
            </a:lnSpc>
          </a:pPr>
          <a:r>
            <a:rPr lang="en-US" sz="1100" b="1" baseline="0">
              <a:solidFill>
                <a:schemeClr val="accent2"/>
              </a:solidFill>
              <a:latin typeface="Aptos Narrow" panose="020B0004020202020204" pitchFamily="34" charset="0"/>
            </a:rPr>
            <a:t>3. If LL97 compliance is the #1 priority, incorporate electrification measures helps to ensure compliance in the long run as the grid becomes cleaner.</a:t>
          </a:r>
        </a:p>
      </xdr:txBody>
    </xdr:sp>
    <xdr:clientData/>
  </xdr:twoCellAnchor>
  <xdr:twoCellAnchor editAs="oneCell">
    <xdr:from>
      <xdr:col>6</xdr:col>
      <xdr:colOff>56029</xdr:colOff>
      <xdr:row>10</xdr:row>
      <xdr:rowOff>145676</xdr:rowOff>
    </xdr:from>
    <xdr:to>
      <xdr:col>12</xdr:col>
      <xdr:colOff>795617</xdr:colOff>
      <xdr:row>15</xdr:row>
      <xdr:rowOff>156222</xdr:rowOff>
    </xdr:to>
    <xdr:sp macro="" textlink="">
      <xdr:nvSpPr>
        <xdr:cNvPr id="7" name="TextBox 6">
          <a:extLst>
            <a:ext uri="{FF2B5EF4-FFF2-40B4-BE49-F238E27FC236}">
              <a16:creationId xmlns:a16="http://schemas.microsoft.com/office/drawing/2014/main" id="{39969D92-8F2C-4E87-A3BF-67E04A226F11}"/>
            </a:ext>
          </a:extLst>
        </xdr:cNvPr>
        <xdr:cNvSpPr txBox="1"/>
      </xdr:nvSpPr>
      <xdr:spPr>
        <a:xfrm>
          <a:off x="7642411" y="3160058"/>
          <a:ext cx="6432177" cy="1187164"/>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STEP 5: </a:t>
          </a:r>
        </a:p>
        <a:p>
          <a:pPr algn="ctr">
            <a:lnSpc>
              <a:spcPct val="80000"/>
            </a:lnSpc>
          </a:pPr>
          <a:r>
            <a:rPr lang="en-US" sz="1100" b="1" baseline="0">
              <a:solidFill>
                <a:schemeClr val="accent2"/>
              </a:solidFill>
              <a:latin typeface="Aptos Narrow" panose="020B0004020202020204" pitchFamily="34" charset="0"/>
            </a:rPr>
            <a:t>Input the energy or carbon reduction measure information in the </a:t>
          </a:r>
          <a:r>
            <a:rPr lang="en-US" sz="1100" b="1" baseline="0">
              <a:solidFill>
                <a:schemeClr val="tx2">
                  <a:lumMod val="60000"/>
                  <a:lumOff val="40000"/>
                </a:schemeClr>
              </a:solidFill>
              <a:latin typeface="Aptos Narrow" panose="020B0004020202020204" pitchFamily="34" charset="0"/>
            </a:rPr>
            <a:t>blue cells </a:t>
          </a:r>
          <a:r>
            <a:rPr lang="en-US" sz="1100" b="1" baseline="0">
              <a:solidFill>
                <a:schemeClr val="accent2"/>
              </a:solidFill>
              <a:latin typeface="Aptos Narrow" panose="020B0004020202020204" pitchFamily="34" charset="0"/>
            </a:rPr>
            <a:t>below.</a:t>
          </a:r>
          <a:endParaRPr lang="en-US" sz="1100" b="0" baseline="0">
            <a:solidFill>
              <a:schemeClr val="accent2"/>
            </a:solidFill>
            <a:latin typeface="Aptos Narrow" panose="020B0004020202020204" pitchFamily="34" charset="0"/>
          </a:endParaRPr>
        </a:p>
        <a:p>
          <a:pPr algn="ctr">
            <a:lnSpc>
              <a:spcPct val="80000"/>
            </a:lnSpc>
          </a:pPr>
          <a:r>
            <a:rPr lang="en-US" sz="1100" b="0" baseline="0">
              <a:solidFill>
                <a:schemeClr val="accent2"/>
              </a:solidFill>
              <a:latin typeface="Aptos Narrow" panose="020B0004020202020204" pitchFamily="34" charset="0"/>
            </a:rPr>
            <a:t>Typically this information can be found in energy audit reports or vendor assessments. If unsure, copy and send this table below to your building's consulting engineer or service provider.</a:t>
          </a:r>
        </a:p>
        <a:p>
          <a:pPr algn="ctr">
            <a:lnSpc>
              <a:spcPct val="80000"/>
            </a:lnSpc>
          </a:pPr>
          <a:r>
            <a:rPr lang="en-US" sz="1100" b="1" baseline="0">
              <a:solidFill>
                <a:schemeClr val="accent2"/>
              </a:solidFill>
              <a:latin typeface="Aptos Narrow" panose="020B0004020202020204" pitchFamily="34" charset="0"/>
            </a:rPr>
            <a:t>Input measures which haven't been implemented before the Usage Year entered above </a:t>
          </a:r>
          <a:r>
            <a:rPr lang="en-US" sz="1100" b="0" baseline="0">
              <a:solidFill>
                <a:schemeClr val="accent2"/>
              </a:solidFill>
              <a:latin typeface="Aptos Narrow" panose="020B0004020202020204" pitchFamily="34" charset="0"/>
            </a:rPr>
            <a:t>to avoid double counting savings in both the energy usage baseline and the projected savings.</a:t>
          </a:r>
          <a:endParaRPr lang="en-US" sz="1100" b="1" baseline="0">
            <a:solidFill>
              <a:schemeClr val="accent2"/>
            </a:solidFill>
            <a:latin typeface="Aptos Narrow" panose="020B0004020202020204" pitchFamily="34" charset="0"/>
          </a:endParaRPr>
        </a:p>
      </xdr:txBody>
    </xdr:sp>
    <xdr:clientData/>
  </xdr:twoCellAnchor>
  <xdr:twoCellAnchor editAs="oneCell">
    <xdr:from>
      <xdr:col>12</xdr:col>
      <xdr:colOff>918882</xdr:colOff>
      <xdr:row>10</xdr:row>
      <xdr:rowOff>145677</xdr:rowOff>
    </xdr:from>
    <xdr:to>
      <xdr:col>14</xdr:col>
      <xdr:colOff>134470</xdr:colOff>
      <xdr:row>15</xdr:row>
      <xdr:rowOff>187076</xdr:rowOff>
    </xdr:to>
    <xdr:sp macro="" textlink="">
      <xdr:nvSpPr>
        <xdr:cNvPr id="6" name="TextBox 5">
          <a:extLst>
            <a:ext uri="{FF2B5EF4-FFF2-40B4-BE49-F238E27FC236}">
              <a16:creationId xmlns:a16="http://schemas.microsoft.com/office/drawing/2014/main" id="{CC7458B5-76FC-49C0-ADA4-47B86EC33CC6}"/>
            </a:ext>
          </a:extLst>
        </xdr:cNvPr>
        <xdr:cNvSpPr txBox="1"/>
      </xdr:nvSpPr>
      <xdr:spPr>
        <a:xfrm>
          <a:off x="13816853" y="3160059"/>
          <a:ext cx="1064558" cy="1218017"/>
        </a:xfrm>
        <a:prstGeom prst="downArrowCallout">
          <a:avLst>
            <a:gd name="adj1" fmla="val 22960"/>
            <a:gd name="adj2" fmla="val 14474"/>
            <a:gd name="adj3" fmla="val 13340"/>
            <a:gd name="adj4" fmla="val 88341"/>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0" baseline="0">
              <a:solidFill>
                <a:schemeClr val="accent2"/>
              </a:solidFill>
              <a:latin typeface="Aptos Narrow" panose="020B0004020202020204" pitchFamily="34" charset="0"/>
            </a:rPr>
            <a:t>Input utility savings from energy audit reports in </a:t>
          </a:r>
          <a:r>
            <a:rPr lang="en-US" sz="1100" b="1" baseline="0">
              <a:solidFill>
                <a:schemeClr val="accent2"/>
              </a:solidFill>
              <a:latin typeface="Aptos Narrow" panose="020B0004020202020204" pitchFamily="34" charset="0"/>
            </a:rPr>
            <a:t>Column N</a:t>
          </a:r>
          <a:r>
            <a:rPr lang="en-US" sz="1100" b="0" baseline="0">
              <a:solidFill>
                <a:schemeClr val="accent2"/>
              </a:solidFill>
              <a:latin typeface="Aptos Narrow" panose="020B0004020202020204" pitchFamily="34" charset="0"/>
            </a:rPr>
            <a:t>. Skip if N/A or outdated.</a:t>
          </a:r>
        </a:p>
      </xdr:txBody>
    </xdr:sp>
    <xdr:clientData/>
  </xdr:twoCellAnchor>
  <xdr:twoCellAnchor editAs="oneCell">
    <xdr:from>
      <xdr:col>20</xdr:col>
      <xdr:colOff>22411</xdr:colOff>
      <xdr:row>0</xdr:row>
      <xdr:rowOff>302558</xdr:rowOff>
    </xdr:from>
    <xdr:to>
      <xdr:col>25</xdr:col>
      <xdr:colOff>610908</xdr:colOff>
      <xdr:row>3</xdr:row>
      <xdr:rowOff>152399</xdr:rowOff>
    </xdr:to>
    <xdr:sp macro="" textlink="">
      <xdr:nvSpPr>
        <xdr:cNvPr id="21" name="TextBox 20">
          <a:extLst>
            <a:ext uri="{FF2B5EF4-FFF2-40B4-BE49-F238E27FC236}">
              <a16:creationId xmlns:a16="http://schemas.microsoft.com/office/drawing/2014/main" id="{7AD56603-FE07-470A-A4F0-A7C542EF1AE8}"/>
            </a:ext>
          </a:extLst>
        </xdr:cNvPr>
        <xdr:cNvSpPr txBox="1"/>
      </xdr:nvSpPr>
      <xdr:spPr>
        <a:xfrm>
          <a:off x="22602264" y="302558"/>
          <a:ext cx="5429438" cy="533400"/>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4: </a:t>
          </a:r>
          <a:r>
            <a:rPr lang="en-US" sz="1100" b="1" baseline="0">
              <a:solidFill>
                <a:schemeClr val="accent2"/>
              </a:solidFill>
              <a:latin typeface="Aptos Narrow" panose="020B0004020202020204" pitchFamily="34" charset="0"/>
            </a:rPr>
            <a:t>Input utility rates to be used in this tool. HPD strongly recommends use of the standard rates, but user can overwrite if the adjusted rates can be justified.</a:t>
          </a:r>
        </a:p>
        <a:p>
          <a:pPr marL="0" marR="0" lvl="0" indent="0" algn="ctr" defTabSz="914400" eaLnBrk="1" fontAlgn="auto" latinLnBrk="0" hangingPunct="1">
            <a:lnSpc>
              <a:spcPct val="80000"/>
            </a:lnSpc>
            <a:spcBef>
              <a:spcPts val="0"/>
            </a:spcBef>
            <a:spcAft>
              <a:spcPts val="0"/>
            </a:spcAft>
            <a:buClrTx/>
            <a:buSzTx/>
            <a:buFontTx/>
            <a:buNone/>
            <a:tabLst/>
            <a:defRPr/>
          </a:pPr>
          <a:endParaRPr lang="en-US" sz="1100" b="0" baseline="0">
            <a:solidFill>
              <a:schemeClr val="accent2"/>
            </a:solidFill>
            <a:latin typeface="Aptos Narrow" panose="020B0004020202020204" pitchFamily="34" charset="0"/>
            <a:ea typeface="+mn-ea"/>
            <a:cs typeface="+mn-cs"/>
          </a:endParaRPr>
        </a:p>
      </xdr:txBody>
    </xdr:sp>
    <xdr:clientData/>
  </xdr:twoCellAnchor>
  <xdr:twoCellAnchor editAs="oneCell">
    <xdr:from>
      <xdr:col>15</xdr:col>
      <xdr:colOff>11207</xdr:colOff>
      <xdr:row>1</xdr:row>
      <xdr:rowOff>11205</xdr:rowOff>
    </xdr:from>
    <xdr:to>
      <xdr:col>18</xdr:col>
      <xdr:colOff>2958353</xdr:colOff>
      <xdr:row>3</xdr:row>
      <xdr:rowOff>112058</xdr:rowOff>
    </xdr:to>
    <xdr:sp macro="" textlink="">
      <xdr:nvSpPr>
        <xdr:cNvPr id="24" name="TextBox 23">
          <a:extLst>
            <a:ext uri="{FF2B5EF4-FFF2-40B4-BE49-F238E27FC236}">
              <a16:creationId xmlns:a16="http://schemas.microsoft.com/office/drawing/2014/main" id="{8F38E184-C439-4E33-BB7E-7E73DBF6D9B9}"/>
            </a:ext>
          </a:extLst>
        </xdr:cNvPr>
        <xdr:cNvSpPr txBox="1"/>
      </xdr:nvSpPr>
      <xdr:spPr>
        <a:xfrm>
          <a:off x="15710648" y="313764"/>
          <a:ext cx="6364940" cy="481853"/>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marL="0" marR="0" lvl="0" indent="0" algn="ctr" defTabSz="914400" eaLnBrk="1" fontAlgn="auto" latinLnBrk="0" hangingPunct="1">
            <a:lnSpc>
              <a:spcPct val="80000"/>
            </a:lnSpc>
            <a:spcBef>
              <a:spcPts val="0"/>
            </a:spcBef>
            <a:spcAft>
              <a:spcPts val="0"/>
            </a:spcAft>
            <a:buClrTx/>
            <a:buSzTx/>
            <a:buFontTx/>
            <a:buNone/>
            <a:tabLst/>
            <a:defRPr/>
          </a:pPr>
          <a:r>
            <a:rPr lang="en-US" sz="1100" b="1" baseline="0">
              <a:solidFill>
                <a:schemeClr val="tx1">
                  <a:lumMod val="65000"/>
                  <a:lumOff val="35000"/>
                </a:schemeClr>
              </a:solidFill>
              <a:latin typeface="Aptos Narrow" panose="020B0004020202020204" pitchFamily="34" charset="0"/>
            </a:rPr>
            <a:t>STEP 3: </a:t>
          </a:r>
          <a:r>
            <a:rPr lang="en-US" sz="1100" b="1" baseline="0">
              <a:solidFill>
                <a:schemeClr val="accent2"/>
              </a:solidFill>
              <a:latin typeface="Aptos Narrow" panose="020B0004020202020204" pitchFamily="34" charset="0"/>
            </a:rPr>
            <a:t>Fill in HPD Project Information. Note that HPD projects must submit at least 2 Scope Scenarios.</a:t>
          </a:r>
        </a:p>
        <a:p>
          <a:pPr marL="0" marR="0" lvl="0" indent="0" algn="ctr" defTabSz="914400" eaLnBrk="1" fontAlgn="auto" latinLnBrk="0" hangingPunct="1">
            <a:lnSpc>
              <a:spcPct val="80000"/>
            </a:lnSpc>
            <a:spcBef>
              <a:spcPts val="0"/>
            </a:spcBef>
            <a:spcAft>
              <a:spcPts val="0"/>
            </a:spcAft>
            <a:buClrTx/>
            <a:buSzTx/>
            <a:buFontTx/>
            <a:buNone/>
            <a:tabLst/>
            <a:defRPr/>
          </a:pPr>
          <a:endParaRPr lang="en-US" sz="1100" b="1" baseline="0">
            <a:solidFill>
              <a:schemeClr val="accent2"/>
            </a:solidFill>
            <a:latin typeface="Aptos Narrow" panose="020B0004020202020204" pitchFamily="34" charset="0"/>
          </a:endParaRPr>
        </a:p>
        <a:p>
          <a:pPr marL="0" marR="0" lvl="0" indent="0" algn="ctr" defTabSz="914400" eaLnBrk="1" fontAlgn="auto" latinLnBrk="0" hangingPunct="1">
            <a:lnSpc>
              <a:spcPct val="80000"/>
            </a:lnSpc>
            <a:spcBef>
              <a:spcPts val="0"/>
            </a:spcBef>
            <a:spcAft>
              <a:spcPts val="0"/>
            </a:spcAft>
            <a:buClrTx/>
            <a:buSzTx/>
            <a:buFontTx/>
            <a:buNone/>
            <a:tabLst/>
            <a:defRPr/>
          </a:pPr>
          <a:endParaRPr lang="en-US" sz="1100" b="0" baseline="0">
            <a:solidFill>
              <a:schemeClr val="accent2"/>
            </a:solidFill>
            <a:latin typeface="Aptos Narrow" panose="020B0004020202020204" pitchFamily="34" charset="0"/>
            <a:ea typeface="+mn-ea"/>
            <a:cs typeface="+mn-cs"/>
          </a:endParaRPr>
        </a:p>
      </xdr:txBody>
    </xdr:sp>
    <xdr:clientData/>
  </xdr:twoCellAnchor>
  <xdr:twoCellAnchor editAs="oneCell">
    <xdr:from>
      <xdr:col>19</xdr:col>
      <xdr:colOff>437029</xdr:colOff>
      <xdr:row>12</xdr:row>
      <xdr:rowOff>224118</xdr:rowOff>
    </xdr:from>
    <xdr:to>
      <xdr:col>22</xdr:col>
      <xdr:colOff>448236</xdr:colOff>
      <xdr:row>16</xdr:row>
      <xdr:rowOff>115360</xdr:rowOff>
    </xdr:to>
    <xdr:sp macro="" textlink="">
      <xdr:nvSpPr>
        <xdr:cNvPr id="25" name="TextBox 24">
          <a:extLst>
            <a:ext uri="{FF2B5EF4-FFF2-40B4-BE49-F238E27FC236}">
              <a16:creationId xmlns:a16="http://schemas.microsoft.com/office/drawing/2014/main" id="{9CEDF8C1-1360-441E-B0A4-FA14F37C66DC}"/>
            </a:ext>
          </a:extLst>
        </xdr:cNvPr>
        <xdr:cNvSpPr txBox="1"/>
      </xdr:nvSpPr>
      <xdr:spPr>
        <a:xfrm>
          <a:off x="22535029" y="3709147"/>
          <a:ext cx="2633383" cy="787713"/>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0" baseline="0">
              <a:solidFill>
                <a:schemeClr val="tx1">
                  <a:lumMod val="65000"/>
                  <a:lumOff val="35000"/>
                </a:schemeClr>
              </a:solidFill>
              <a:latin typeface="Aptos Narrow" panose="020B0004020202020204" pitchFamily="34" charset="0"/>
            </a:rPr>
            <a:t>STEP 7: </a:t>
          </a:r>
          <a:endParaRPr lang="en-US" sz="1100" b="1" baseline="0">
            <a:solidFill>
              <a:schemeClr val="tx1">
                <a:lumMod val="65000"/>
                <a:lumOff val="35000"/>
              </a:schemeClr>
            </a:solidFill>
            <a:latin typeface="Aptos Narrow" panose="020B0004020202020204" pitchFamily="34" charset="0"/>
          </a:endParaRPr>
        </a:p>
        <a:p>
          <a:pPr algn="ctr">
            <a:lnSpc>
              <a:spcPct val="80000"/>
            </a:lnSpc>
          </a:pPr>
          <a:r>
            <a:rPr lang="en-US" sz="1100" b="1" baseline="0">
              <a:solidFill>
                <a:schemeClr val="accent2"/>
              </a:solidFill>
              <a:latin typeface="Aptos Narrow" panose="020B0004020202020204" pitchFamily="34" charset="0"/>
            </a:rPr>
            <a:t>Choose the scope name in Column U from the dropdown list </a:t>
          </a:r>
          <a:r>
            <a:rPr lang="en-US" sz="1100" b="0" baseline="0">
              <a:solidFill>
                <a:schemeClr val="accent2"/>
              </a:solidFill>
              <a:latin typeface="Aptos Narrow" panose="020B0004020202020204" pitchFamily="34" charset="0"/>
            </a:rPr>
            <a:t>to generate aggregated Cost, Savings and Payback  by Scope</a:t>
          </a:r>
        </a:p>
      </xdr:txBody>
    </xdr:sp>
    <xdr:clientData/>
  </xdr:twoCellAnchor>
  <xdr:twoCellAnchor editAs="oneCell">
    <xdr:from>
      <xdr:col>15</xdr:col>
      <xdr:colOff>840441</xdr:colOff>
      <xdr:row>12</xdr:row>
      <xdr:rowOff>78442</xdr:rowOff>
    </xdr:from>
    <xdr:to>
      <xdr:col>18</xdr:col>
      <xdr:colOff>280148</xdr:colOff>
      <xdr:row>17</xdr:row>
      <xdr:rowOff>7781</xdr:rowOff>
    </xdr:to>
    <xdr:sp macro="" textlink="">
      <xdr:nvSpPr>
        <xdr:cNvPr id="26" name="TextBox 25">
          <a:extLst>
            <a:ext uri="{FF2B5EF4-FFF2-40B4-BE49-F238E27FC236}">
              <a16:creationId xmlns:a16="http://schemas.microsoft.com/office/drawing/2014/main" id="{12CEB9CE-6F23-405C-93D4-3800B6E8281A}"/>
            </a:ext>
          </a:extLst>
        </xdr:cNvPr>
        <xdr:cNvSpPr txBox="1"/>
      </xdr:nvSpPr>
      <xdr:spPr>
        <a:xfrm>
          <a:off x="16539882" y="3563471"/>
          <a:ext cx="2857501" cy="1061134"/>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i="0" baseline="0">
              <a:solidFill>
                <a:schemeClr val="tx1">
                  <a:lumMod val="65000"/>
                  <a:lumOff val="35000"/>
                </a:schemeClr>
              </a:solidFill>
              <a:latin typeface="Aptos Narrow" panose="020B0004020202020204" pitchFamily="34" charset="0"/>
            </a:rPr>
            <a:t>STEP</a:t>
          </a:r>
          <a:r>
            <a:rPr lang="en-US" sz="1100" b="1" baseline="0">
              <a:solidFill>
                <a:schemeClr val="tx1">
                  <a:lumMod val="65000"/>
                  <a:lumOff val="35000"/>
                </a:schemeClr>
              </a:solidFill>
              <a:latin typeface="Aptos Narrow" panose="020B0004020202020204" pitchFamily="34" charset="0"/>
            </a:rPr>
            <a:t> 6: </a:t>
          </a:r>
        </a:p>
        <a:p>
          <a:pPr algn="ctr">
            <a:lnSpc>
              <a:spcPct val="80000"/>
            </a:lnSpc>
          </a:pPr>
          <a:r>
            <a:rPr lang="en-US" sz="1100" b="1" baseline="0">
              <a:solidFill>
                <a:schemeClr val="accent2"/>
              </a:solidFill>
              <a:latin typeface="Aptos Narrow" panose="020B0004020202020204" pitchFamily="34" charset="0"/>
            </a:rPr>
            <a:t>Check the boxes in column Q to include the measures in the Pathway. Uncheck to exclude.</a:t>
          </a:r>
        </a:p>
        <a:p>
          <a:pPr algn="ctr">
            <a:lnSpc>
              <a:spcPct val="80000"/>
            </a:lnSpc>
          </a:pPr>
          <a:endParaRPr lang="en-US" sz="1100" b="1" baseline="0">
            <a:solidFill>
              <a:schemeClr val="accent2"/>
            </a:solidFill>
            <a:latin typeface="Aptos Narrow" panose="020B0004020202020204" pitchFamily="34" charset="0"/>
          </a:endParaRPr>
        </a:p>
        <a:p>
          <a:pPr algn="ctr">
            <a:lnSpc>
              <a:spcPct val="80000"/>
            </a:lnSpc>
          </a:pPr>
          <a:r>
            <a:rPr lang="en-US" sz="1100" b="1" baseline="0">
              <a:solidFill>
                <a:schemeClr val="accent2"/>
              </a:solidFill>
              <a:latin typeface="Aptos Narrow" panose="020B0004020202020204" pitchFamily="34" charset="0"/>
            </a:rPr>
            <a:t>Enter the Implementation Year for each measure in column R.</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0.02483</cdr:x>
      <cdr:y>0.57085</cdr:y>
    </cdr:from>
    <cdr:to>
      <cdr:x>0.20798</cdr:x>
      <cdr:y>0.64954</cdr:y>
    </cdr:to>
    <cdr:sp macro="" textlink="">
      <cdr:nvSpPr>
        <cdr:cNvPr id="3" name="TextBox 1">
          <a:extLst xmlns:a="http://schemas.openxmlformats.org/drawingml/2006/main">
            <a:ext uri="{FF2B5EF4-FFF2-40B4-BE49-F238E27FC236}">
              <a16:creationId xmlns:a16="http://schemas.microsoft.com/office/drawing/2014/main" id="{13B0F3D2-5E1E-45F2-90BF-5D31EDFEC2A4}"/>
            </a:ext>
          </a:extLst>
        </cdr:cNvPr>
        <cdr:cNvSpPr txBox="1"/>
      </cdr:nvSpPr>
      <cdr:spPr>
        <a:xfrm xmlns:a="http://schemas.openxmlformats.org/drawingml/2006/main">
          <a:off x="230093" y="2314388"/>
          <a:ext cx="1697319" cy="3190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i="0" u="none" strike="noStrike">
              <a:solidFill>
                <a:srgbClr val="C00000"/>
              </a:solidFill>
              <a:latin typeface="Aptos Narrow" panose="020B0004020202020204" pitchFamily="34" charset="0"/>
            </a:rPr>
            <a:t>$ LL97 Annual</a:t>
          </a:r>
          <a:r>
            <a:rPr lang="en-US" sz="1100" b="1" i="0" u="none" strike="noStrike" baseline="0">
              <a:solidFill>
                <a:srgbClr val="C00000"/>
              </a:solidFill>
              <a:latin typeface="Aptos Narrow" panose="020B0004020202020204" pitchFamily="34" charset="0"/>
            </a:rPr>
            <a:t> </a:t>
          </a:r>
          <a:r>
            <a:rPr lang="en-US" sz="1100" b="1" i="0" u="none" strike="noStrike">
              <a:solidFill>
                <a:srgbClr val="C00000"/>
              </a:solidFill>
              <a:latin typeface="Aptos Narrow" panose="020B0004020202020204" pitchFamily="34" charset="0"/>
            </a:rPr>
            <a:t>Penalty</a:t>
          </a:r>
          <a:endParaRPr lang="en-US" sz="1400" b="1">
            <a:solidFill>
              <a:srgbClr val="C00000"/>
            </a:solidFill>
            <a:latin typeface="Aptos Narrow" panose="020B00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0.26023</cdr:x>
      <cdr:y>0.01084</cdr:y>
    </cdr:from>
    <cdr:to>
      <cdr:x>0.78337</cdr:x>
      <cdr:y>0.11115</cdr:y>
    </cdr:to>
    <cdr:sp macro="" textlink="">
      <cdr:nvSpPr>
        <cdr:cNvPr id="2" name="TextBox 1">
          <a:extLst xmlns:a="http://schemas.openxmlformats.org/drawingml/2006/main">
            <a:ext uri="{FF2B5EF4-FFF2-40B4-BE49-F238E27FC236}">
              <a16:creationId xmlns:a16="http://schemas.microsoft.com/office/drawing/2014/main" id="{2B1D1241-A2B8-C5C8-DD18-8BE2E68BD52D}"/>
            </a:ext>
          </a:extLst>
        </cdr:cNvPr>
        <cdr:cNvSpPr txBox="1"/>
      </cdr:nvSpPr>
      <cdr:spPr>
        <a:xfrm xmlns:a="http://schemas.openxmlformats.org/drawingml/2006/main">
          <a:off x="1716118" y="42116"/>
          <a:ext cx="3449932" cy="389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solidFill>
                <a:schemeClr val="tx1">
                  <a:lumMod val="65000"/>
                  <a:lumOff val="35000"/>
                </a:schemeClr>
              </a:solidFill>
              <a:effectLst/>
              <a:latin typeface="Aptos" panose="020B0004020202020204" pitchFamily="34" charset="0"/>
              <a:ea typeface="+mn-ea"/>
              <a:cs typeface="+mn-cs"/>
            </a:rPr>
            <a:t>Decarbonization Pathway</a:t>
          </a:r>
          <a:endParaRPr lang="en-US" sz="1400" b="1">
            <a:solidFill>
              <a:schemeClr val="tx1">
                <a:lumMod val="65000"/>
                <a:lumOff val="35000"/>
              </a:schemeClr>
            </a:solidFill>
            <a:latin typeface="Aptos" panose="020B00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4</xdr:col>
      <xdr:colOff>1</xdr:colOff>
      <xdr:row>1</xdr:row>
      <xdr:rowOff>95249</xdr:rowOff>
    </xdr:from>
    <xdr:to>
      <xdr:col>6</xdr:col>
      <xdr:colOff>870858</xdr:colOff>
      <xdr:row>4</xdr:row>
      <xdr:rowOff>48024</xdr:rowOff>
    </xdr:to>
    <xdr:sp macro="" textlink="">
      <xdr:nvSpPr>
        <xdr:cNvPr id="2" name="TextBox 1">
          <a:extLst>
            <a:ext uri="{FF2B5EF4-FFF2-40B4-BE49-F238E27FC236}">
              <a16:creationId xmlns:a16="http://schemas.microsoft.com/office/drawing/2014/main" id="{8DD37F9D-30CD-4551-99AA-85CC98382BAB}"/>
            </a:ext>
          </a:extLst>
        </xdr:cNvPr>
        <xdr:cNvSpPr txBox="1"/>
      </xdr:nvSpPr>
      <xdr:spPr>
        <a:xfrm>
          <a:off x="4531180" y="272142"/>
          <a:ext cx="2871107" cy="517071"/>
        </a:xfrm>
        <a:prstGeom prst="downArrowCallout">
          <a:avLst>
            <a:gd name="adj1" fmla="val 18750"/>
            <a:gd name="adj2" fmla="val 14474"/>
            <a:gd name="adj3" fmla="val 13340"/>
            <a:gd name="adj4" fmla="val 86660"/>
          </a:avLst>
        </a:prstGeom>
        <a:solidFill>
          <a:schemeClr val="accent2">
            <a:alpha val="2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lnSpc>
              <a:spcPct val="80000"/>
            </a:lnSpc>
          </a:pPr>
          <a:r>
            <a:rPr lang="en-US" sz="1100" b="1" baseline="0">
              <a:solidFill>
                <a:schemeClr val="tx1">
                  <a:lumMod val="65000"/>
                  <a:lumOff val="35000"/>
                </a:schemeClr>
              </a:solidFill>
              <a:latin typeface="Aptos Narrow" panose="020B0004020202020204" pitchFamily="34" charset="0"/>
            </a:rPr>
            <a:t>Optional: </a:t>
          </a:r>
        </a:p>
        <a:p>
          <a:pPr algn="ctr">
            <a:lnSpc>
              <a:spcPct val="80000"/>
            </a:lnSpc>
          </a:pPr>
          <a:r>
            <a:rPr lang="en-US" sz="1100" b="1" baseline="0">
              <a:solidFill>
                <a:schemeClr val="accent2"/>
              </a:solidFill>
              <a:latin typeface="Aptos Narrow" panose="020B0004020202020204" pitchFamily="34" charset="0"/>
            </a:rPr>
            <a:t>Adjust Fuel Carbon Intensity in column F</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Leone, Jennifer (HPD)" id="{23C6E314-5A0F-42AA-B1BE-9F779BEE37D6}" userId="S::leonej@hpd.nyc.gov::9a5ce7cc-dc7c-4a56-a1ca-675bac914b7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6F6A1F-F3BC-4012-A5EC-EE222A08826C}" name="Table_Perf" displayName="Table_Perf" ref="C47:AJ78" totalsRowCount="1" headerRowDxfId="446" dataDxfId="445" totalsRowDxfId="443" tableBorderDxfId="444">
  <tableColumns count="34">
    <tableColumn id="48" xr3:uid="{6C49FE11-4A0B-4D7F-9222-12F7DFA1CAD4}" name="#" totalsRowLabel="2050 Totals" dataDxfId="442" totalsRowDxfId="441" dataCellStyle="Comma"/>
    <tableColumn id="12" xr3:uid="{90DC64BC-FC8F-42FC-B55C-597F6D055DBD}" name="Year" dataDxfId="440" totalsRowDxfId="439">
      <calculatedColumnFormula>IF(BaseYr+Table_Perf[[#This Row],['#]]&gt;EndYr,NA(),BaseYr+Table_Perf[[#This Row],['#]])</calculatedColumnFormula>
    </tableColumn>
    <tableColumn id="7" xr3:uid="{FECA85B8-9A50-44E9-BDAF-D2299B138BFF}" name="Electricity (kBtu)" dataDxfId="438" totalsRowDxfId="437" dataCellStyle="Comma">
      <calculatedColumnFormula array="1">MAX(0,IF(Table_Perf[[#This Row],[Year]]=BaseYr,IFERROR(Table_UtilityInput[Annual Electricity 
(kWh)]*3.412,0),
(E47-3.412*SUMIFS(Table_ECM[Annual Electricity Savings
(kWh)],Table_ECM[When will the measure installation be complete and operational?],Table_Perf[[#This Row],[Year]],Table_ECM[Would you like to Include this measure in the decarbonization pathway?],TRUE))))</calculatedColumnFormula>
    </tableColumn>
    <tableColumn id="9" xr3:uid="{73A7C625-EB28-486B-86A0-7BD005984082}" name="Natural Gas (kBtu)" dataDxfId="436" totalsRowDxfId="435" dataCellStyle="Comma">
      <calculatedColumnFormula array="1">MAX(0,IF(Table_Perf[[#This Row],[Year]]=BaseYr,IFERROR(Table_UtilityInput[Annual Natural Gas  
(therm)]*100,0),
(F47-100*SUMIFS(Table_ECM[Annual Natural Gas Savings
(therm)],Table_ECM[When will the measure installation be complete and operational?],Table_Perf[[#This Row],[Year]],Table_ECM[Would you like to Include this measure in the decarbonization pathway?],TRUE))))</calculatedColumnFormula>
    </tableColumn>
    <tableColumn id="10" xr3:uid="{A695DAE5-9999-421D-AFFB-92F11115B038}" name="Fuel Oil#2 (kBtu)" dataDxfId="434" totalsRowDxfId="433" dataCellStyle="Comma">
      <calculatedColumnFormula array="1">MAX(0,IF(Table_Perf[[#This Row],[Year]]=BaseYr,IFERROR(Table_UtilityInput[Annual Fuel Oil'#2
(Gallon)]*138,0),
(G47-138*SUMIFS(Table_ECM[Annual Fuel Oil'#2 Savings
(Gallon)],Table_ECM[When will the measure installation be complete and operational?],Table_Perf[[#This Row],[Year]],Table_ECM[Would you like to Include this measure in the decarbonization pathway?],TRUE))))</calculatedColumnFormula>
    </tableColumn>
    <tableColumn id="11" xr3:uid="{9B27BAA2-193C-47F8-880C-D5838458297B}" name="District Steam (kBtu)" dataDxfId="432" totalsRowDxfId="431" dataCellStyle="Comma">
      <calculatedColumnFormula array="1">MAX(0,IF(Table_Perf[[#This Row],[Year]]=BaseYr,IFERROR(Table_UtilityInput[Annual District Steam  
(Mlb for ConEd, kLb for others)]*1194,0),
(H47-1194*SUMIFS(Table_ECM[Annual District Steam Savings
(Mlb for ConEd, klb for others)],Table_ECM[When will the measure installation be complete and operational?],Table_Perf[[#This Row],[Year]],Table_ECM[Would you like to Include this measure in the decarbonization pathway?],TRUE))))</calculatedColumnFormula>
    </tableColumn>
    <tableColumn id="8" xr3:uid="{F5ADB0DA-17D7-4608-8AA7-02B5FD73C7C7}" name="Other Fuel 1 (kBtu)" dataDxfId="430" totalsRowDxfId="429" dataCellStyle="Comma">
      <calculatedColumnFormula array="1">MAX(0,IF(Table_Perf[[#This Row],[Year]]=BaseYr,IFERROR(Table_UtilityInput[Annual Other Fuel 1
(kBtu)],0),
(I47-SUMIFS(Table_ECM[Annual Other Fuel 1 Savings
(kBtu)],Table_ECM[When will the measure installation be complete and operational?],Table_Perf[[#This Row],[Year]],Table_ECM[Would you like to Include this measure in the decarbonization pathway?],TRUE))))</calculatedColumnFormula>
    </tableColumn>
    <tableColumn id="18" xr3:uid="{E1427020-CF48-4D0B-A22D-5948CDE05E51}" name="Other Fuel 2 (kBtu)" dataDxfId="428" totalsRowDxfId="427" dataCellStyle="Comma">
      <calculatedColumnFormula array="1">MAX(0,IF(Table_Perf[[#This Row],[Year]]=BaseYr,IFERROR(Table_UtilityInput[Annual Other Fuel 2
(kBtu)],0),
(J47-SUMIFS(Table_ECM[Annual Other Fuel 2 Savings
(kBtu)],Table_ECM[When will the measure installation be complete and operational?],Table_Perf[[#This Row],[Year]],Table_ECM[Would you like to Include this measure in the decarbonization pathway?],TRUE))))</calculatedColumnFormula>
    </tableColumn>
    <tableColumn id="35" xr3:uid="{53CD036A-F9F3-4692-BF55-7EC66ABD86A2}" name="Measure Cost ($)" totalsRowFunction="custom" dataDxfId="426" totalsRowDxfId="425" dataCellStyle="Comma">
      <calculatedColumnFormula>-SUMIFS(Table_ECM[Cost to Install Measures ($)],Table_ECM[When will the measure installation be complete and operational?],Table_Perf[[#This Row],[Year]],Table_ECM[Would you like to Include this measure in the decarbonization pathway?],TRUE)</calculatedColumnFormula>
      <totalsRowFormula>_xlfn.AGGREGATE(9,6,Table_Perf[Measure Cost ($)])</totalsRowFormula>
    </tableColumn>
    <tableColumn id="34" xr3:uid="{20CFE9DC-926E-42A6-A899-5EF843DE031B}" name="Utility Savings ($)" totalsRowFunction="custom" dataDxfId="424" totalsRowDxfId="423" dataCellStyle="Comma">
      <calculatedColumnFormula array="1">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calculatedColumnFormula>
      <totalsRowFormula>_xlfn.AGGREGATE(9,6,Table_Perf[Utility Savings ($)])</totalsRowFormula>
    </tableColumn>
    <tableColumn id="47" xr3:uid="{E318A778-6429-4CE6-83B8-CC29256215DF}" name="LL97" dataDxfId="422" totalsRowDxfId="421" dataCellStyle="Comma"/>
    <tableColumn id="20" xr3:uid="{DC727BD5-CF97-4B13-B1EC-07B85D5539DE}" name="LL97 Electricity (tCO2e)" dataDxfId="420" totalsRowDxfId="419" dataCellStyle="Comma">
      <calculatedColumnFormula array="1">Table_Perf[[#This Row],[Electricity (kBtu)]]*INDEX(Table_UtilityDecarb[Carbon Intensity (tCO2e/kBtu)],MATCH(N$46&amp;Table_Perf[[#This Row],[Year]],Table_UtilityDecarb[Fuel Type]&amp;Table_UtilityDecarb[Year],0))</calculatedColumnFormula>
    </tableColumn>
    <tableColumn id="23" xr3:uid="{BD9C693B-80BA-4FEB-A441-5830B21628DD}" name="LL97 Natural Gas (tCO2e)" dataDxfId="418" totalsRowDxfId="417" dataCellStyle="Comma">
      <calculatedColumnFormula>Table_Perf[[#This Row],[Natural Gas (kBtu)]]*INDEX(Table_UtilityDecarb[Carbon Intensity (tCO2e/kBtu)],MATCH(O$46,Table_UtilityDecarb[Fuel Type],0))</calculatedColumnFormula>
    </tableColumn>
    <tableColumn id="24" xr3:uid="{5B185DEE-AC8D-4C7C-9C59-4E7D19472A96}" name="LL97 Fuel Oil#2 (tCO2e)" dataDxfId="416" totalsRowDxfId="415" dataCellStyle="Comma">
      <calculatedColumnFormula>Table_Perf[[#This Row],[Fuel Oil'#2 (kBtu)]]*INDEX(Table_UtilityDecarb[Carbon Intensity (tCO2e/kBtu)],MATCH(P$46,Table_UtilityDecarb[Fuel Type],0))</calculatedColumnFormula>
    </tableColumn>
    <tableColumn id="25" xr3:uid="{262E2DB3-ED97-4DB4-B16A-8D4A933B943F}" name="LL97 District Steam (tCO2e)" dataDxfId="414" totalsRowDxfId="413" dataCellStyle="Comma">
      <calculatedColumnFormula array="1">Table_Perf[[#This Row],[District Steam (kBtu)]]*INDEX(Table_UtilityDecarb[Carbon Intensity (tCO2e/kBtu)],MATCH(Q$46&amp;Table_Perf[[#This Row],[Year]],Table_UtilityDecarb[Fuel Type]&amp;Table_UtilityDecarb[Year],0))</calculatedColumnFormula>
    </tableColumn>
    <tableColumn id="21" xr3:uid="{5DE56F20-41EC-40DA-B328-3C49C9133779}" name="LL97 Other Fuel 1 (tCO2e)" dataDxfId="412" totalsRowDxfId="411" dataCellStyle="Comma">
      <calculatedColumnFormula array="1">IF(OR(Table_UtilityInput[Annual Other Fuel 1
(kBtu)]="",NOT(ISNUMBER(Table_UtilityInput[Annual Other Fuel 1
(kBtu)]))),0,Table_Perf[[#This Row],[Other Fuel 1 (kBtu)]]*INDEX(Table_UtilityDecarb[Carbon Intensity (tCO2e/kBtu)],MATCH(R$46,Table_UtilityDecarb[Fuel Type],0)))</calculatedColumnFormula>
    </tableColumn>
    <tableColumn id="22" xr3:uid="{2E5D4FDE-AD79-4167-991A-8D928BBA5DAF}" name="LL97 Other Fuel 2 (tCO2e)" dataDxfId="410" totalsRowDxfId="409" dataCellStyle="Comma">
      <calculatedColumnFormula array="1">IF(OR(Table_UtilityInput[Annual Other Fuel 2
(kBtu)]="",NOT(ISNUMBER(Table_UtilityInput[Annual Other Fuel 2
(kBtu)]))),0,Table_Perf[[#This Row],[Other Fuel 2 (kBtu)]]*INDEX(Table_UtilityDecarb[Carbon Intensity (tCO2e/kBtu)],MATCH(S$46,Table_UtilityDecarb[Fuel Type],0)))</calculatedColumnFormula>
    </tableColumn>
    <tableColumn id="26" xr3:uid="{29CE56FA-B812-4EDD-9163-3684EA01FB0F}" name="LL97 Emissions After Measures" dataDxfId="408" totalsRowDxfId="407" dataCellStyle="Comma">
      <calculatedColumnFormula>IF(Table_Perf[[#This Row],[Year]]&gt;2050,NA(),_xlfn.AGGREGATE(9,6,Table_Perf[[#This Row],[LL97 Electricity (tCO2e)]:[LL97 Other Fuel 2 (tCO2e)]]))</calculatedColumnFormula>
    </tableColumn>
    <tableColumn id="41" xr3:uid="{1763E27D-FDFE-4D51-B493-3CF49B82A0E8}" name="LL97 Emissions Limit (tCO2e)" dataDxfId="406" totalsRowDxfId="405" dataCellStyle="Comma">
      <calculatedColumnFormula>IF(Table_Perf[[#This Row],[Year]]&lt;2035,NA(),INDEX(Table_LimitsCalc_Sample1[Total Limits (tCO2e)],MATCH(Table_Perf[[#This Row],[Year]],Table_LimitsCalc_Sample1[Year],0)))</calculatedColumnFormula>
    </tableColumn>
    <tableColumn id="65" xr3:uid="{8B510CF7-2D06-4C73-81B2-1AC40BDE7F8D}" name="LL97 Business-As-Usual Emissions" dataDxfId="404" totalsRowDxfId="403" dataCellStyle="Comma">
      <calculatedColumnFormula array="1">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calculatedColumnFormula>
    </tableColumn>
    <tableColumn id="64" xr3:uid="{13029499-16D3-4164-BFBC-69D74BD6A778}" name="LL97 BAU Excess Emissions" dataDxfId="402" totalsRowDxfId="401" dataCellStyle="Comma">
      <calculatedColumnFormula>IF(Table_Perf[[#This Row],[LL97 Emissions Limit (tCO2e)]]="",0,MAX(0,Table_Perf[[#This Row],[LL97 Business-As-Usual Emissions]]-Table_Perf[[#This Row],[LL97 Emissions Limit (tCO2e)]]))</calculatedColumnFormula>
    </tableColumn>
    <tableColumn id="62" xr3:uid="{AA81C90E-7D29-4093-9A4A-9240E30ECF59}" name="LL97 Excess Emissions After Measures" dataDxfId="400" totalsRowDxfId="399" dataCellStyle="Comma">
      <calculatedColumnFormula>IF(Table_Perf[[#This Row],[LL97 Emissions Limit (tCO2e)]]="",0,MAX(0,Table_Perf[[#This Row],[LL97 Emissions After Measures]]-Table_Perf[[#This Row],[LL97 Emissions Limit (tCO2e)]]))</calculatedColumnFormula>
    </tableColumn>
    <tableColumn id="66" xr3:uid="{7123C7E0-F916-45AD-8CF7-15DE94FF81CA}" name="LL97 Emissions Reduced by Measures" totalsRowFunction="custom" dataDxfId="398" totalsRowDxfId="397" dataCellStyle="Comma">
      <calculatedColumnFormula>Table_Perf[[#This Row],[LL97 Business-As-Usual Emissions]]-Table_Perf[[#This Row],[LL97 Emissions After Measures]]</calculatedColumnFormula>
      <totalsRowFormula>_xlfn.AGGREGATE(9,6,Table_Perf[LL97 Emissions Reduced by Measures])</totalsRowFormula>
    </tableColumn>
    <tableColumn id="52" xr3:uid="{479F20A7-9584-4A0C-9D41-C07375120173}" name="LL97 Compliance Status" dataDxfId="396" totalsRowDxfId="395" dataCellStyle="Comma">
      <calculatedColumnFormula>IF(Table_Perf[[#This Row],[Year]]&lt;2024,"Not in enforcement period",IF(Table_Perf[[#This Row],[LL97 Excess Emissions After Measures]]=0,"Compliant","Not-Compliant"))</calculatedColumnFormula>
    </tableColumn>
    <tableColumn id="45" xr3:uid="{910361AD-074F-4D11-996B-7F5AD16B2EEC}" name="LL97 Adjusted Penalty After Measures" totalsRowFunction="custom" dataDxfId="394" totalsRowDxfId="393" dataCellStyle="Comma">
      <calculatedColumnFormula>IFERROR(-268*Table_Perf[[#This Row],[LL97 Excess Emissions After Measures]],0)</calculatedColumnFormula>
      <totalsRowFormula>_xlfn.AGGREGATE(9,6,Table_Perf[LL97 Adjusted Penalty After Measures])</totalsRowFormula>
    </tableColumn>
    <tableColumn id="44" xr3:uid="{40687C87-7A1B-4DD3-8BBA-DC980E8C07FE}" name="LL97 Penalty Avoided by Measures ($)" totalsRowFunction="custom" dataDxfId="392" totalsRowDxfId="391" dataCellStyle="Comma">
      <calculatedColumnFormula>IFERROR(268*MIN(Table_Perf[[#This Row],[LL97 BAU Excess Emissions]],Table_Perf[[#This Row],[LL97 Emissions Reduced by Measures]]),0)</calculatedColumnFormula>
      <totalsRowFormula>_xlfn.AGGREGATE(9,6,Table_Perf[LL97 Penalty Avoided by Measures ($)])</totalsRowFormula>
    </tableColumn>
    <tableColumn id="56" xr3:uid="{581E6BB4-68F5-44EF-AB02-39E4BC2F9C41}" name="LL97 Compliance Mark" dataDxfId="390" totalsRowDxfId="389" dataCellStyle="Comma">
      <calculatedColumnFormula>IF(OR(Table_Perf[[#This Row],[Year]]&lt;2024,Table_Perf[[#This Row],[Year]]&gt;2050,ISERROR(Table_Perf[[#This Row],[LL97 Adjusted Penalty After Measures]])),"",Table_Perf[[#This Row],[LL97 Adjusted Penalty After Measures]])</calculatedColumnFormula>
    </tableColumn>
    <tableColumn id="46" xr3:uid="{561681CA-A15B-4959-BCD0-B7E6CAAB630A}" name="Annual Total Cash Flow ($)" totalsRowFunction="custom" dataDxfId="388" totalsRowDxfId="387" dataCellStyle="Comma">
      <calculatedColumnFormula>IF(Table_Perf[[#This Row],[Year]]&gt;2050,NA(),_xlfn.AGGREGATE(9,6,Table_Perf[[#This Row],[Measure Cost ($)]],Table_Perf[[#This Row],[Utility Savings ($)]],Table_Perf[[#This Row],[LL97 Penalty Avoided by Measures ($)]]))</calculatedColumnFormula>
      <totalsRowFormula>_xlfn.AGGREGATE(9,6,Table_Perf[Annual Total Cash Flow ($)])</totalsRowFormula>
    </tableColumn>
    <tableColumn id="58" xr3:uid="{9926095C-7371-48E5-8E1B-54E94132A73F}" name="Cumulative Total Cash Flow ($)" dataDxfId="386" totalsRowDxfId="385" dataCellStyle="Comma">
      <calculatedColumnFormula>SUM($AD$48:AD48)</calculatedColumnFormula>
    </tableColumn>
    <tableColumn id="60" xr3:uid="{8335F4EA-7A3B-4555-B327-2A37F45FB9BE}" name="Annual Total Out-of-Pocket Cost ($)" totalsRowFunction="custom" dataDxfId="384" totalsRowDxfId="383" dataCellStyle="Comma">
      <calculatedColumnFormula>IF(Table_Perf[[#This Row],[Year]]&gt;2050,NA(),_xlfn.AGGREGATE(9,6,Table_Perf[[#This Row],[Measure Cost ($)]],Table_Perf[[#This Row],[LL97 Adjusted Penalty After Measures]]))</calculatedColumnFormula>
      <totalsRowFormula>_xlfn.AGGREGATE(9,6,Table_Perf[Annual Total Out-of-Pocket Cost ($)])</totalsRowFormula>
    </tableColumn>
    <tableColumn id="53" xr3:uid="{1DC64010-54DE-4040-92CE-AB3A13FF9309}" name="Yr" dataDxfId="382" totalsRowDxfId="381" dataCellStyle="Comma">
      <calculatedColumnFormula>Table_Perf[[#This Row],[Year]]</calculatedColumnFormula>
    </tableColumn>
    <tableColumn id="1" xr3:uid="{AAD9987B-683C-4BF7-94DE-567B495B28FE}" name="Measure Qty" dataDxfId="380" totalsRowDxfId="379">
      <calculatedColumnFormula>COUNTIFS(Table_ECM[When will the measure installation be complete and operational?],"&lt;="&amp;Table_Perf[[#This Row],[Yr]],Table_ECM[Would you like to Include this measure in the decarbonization pathway?],TRUE)</calculatedColumnFormula>
    </tableColumn>
    <tableColumn id="2" xr3:uid="{BE786FC6-0A63-43DF-A889-3C9BEF1AC5ED}" name="Measure Label" dataDxfId="378" totalsRowDxfId="377">
      <calculatedColumnFormula>IF(Table_Perf[[#This Row],[Measure Qty]]=AH47,"",_xlfn.CONCAT(Table_Perf[[#This Row],[Measure Qty]], " Measures Done"))</calculatedColumnFormula>
    </tableColumn>
    <tableColumn id="3" xr3:uid="{904D7AE0-4240-461F-9385-E59673595174}" name="Measure Y Axis" dataDxfId="376" totalsRowDxfId="375">
      <calculatedColumnFormula>IF(Table_Perf[[#This Row],[Measure Label]]="",NA(),Table_Perf[[#This Row],[LL97 Emissions After Measures]])</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74E12E6-3DFF-4661-A251-A3B5B69DF620}" name="Table_ECM" displayName="Table_ECM" ref="B18:S42" totalsRowShown="0" headerRowDxfId="374" dataDxfId="373">
  <autoFilter ref="B18:S42" xr:uid="{F64EACFB-D2D8-4D04-A867-BBB3C3F14B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9" xr3:uid="{04B08231-4228-411C-8382-888407695334}" name="Scope Name" dataDxfId="372"/>
    <tableColumn id="22" xr3:uid="{B82714E7-9824-4EB4-99EF-074B3CF19C76}" name="Measure ID" dataDxfId="371"/>
    <tableColumn id="2" xr3:uid="{FA43FF7F-FE22-4EB3-80B6-F654A7C9A893}" name="Measure Name" dataDxfId="370"/>
    <tableColumn id="3" xr3:uid="{B66E5F97-3DBC-4D27-B386-7FFA56AFD218}" name="Cost to Install Measures ($)" dataDxfId="369"/>
    <tableColumn id="18" xr3:uid="{FEF4A69F-C489-4EF2-844D-AAE39631D05F}" name="Incentives &amp; Rebates ($)" dataDxfId="368"/>
    <tableColumn id="4" xr3:uid="{85F9AEC4-0AF9-477D-846A-27EC86BAF8EE}" name="Annual Electricity Savings_x000a_(kWh)" dataDxfId="367" dataCellStyle="Comma"/>
    <tableColumn id="5" xr3:uid="{3F44BED8-01C6-46E9-9F12-CA3F5FEA5F61}" name="Annual Natural Gas Savings_x000a_(therm)" dataDxfId="366" dataCellStyle="Comma"/>
    <tableColumn id="6" xr3:uid="{A2DE7229-2CEC-4DE7-8C4B-4E7CFA893D56}" name="Annual District Steam Savings_x000a_(Mlb for ConEd, klb for others)" dataDxfId="365" dataCellStyle="Comma"/>
    <tableColumn id="7" xr3:uid="{E3EDFD5C-B5F6-497E-966D-2162F19767C6}" name="Annual Fuel Oil#2 Savings_x000a_(Gallon)" dataDxfId="364" dataCellStyle="Comma"/>
    <tableColumn id="14" xr3:uid="{2F3990F9-6E1A-453F-9B50-64C0F3BC9F79}" name="Annual Other Fuel 1 Savings_x000a_(kBtu)" dataDxfId="363" dataCellStyle="Comma"/>
    <tableColumn id="16" xr3:uid="{D1294000-C0AD-402A-A600-3AA88C4AF93E}" name="Annual Other Fuel 2 Savings_x000a_(kBtu)" dataDxfId="362" dataCellStyle="Comma"/>
    <tableColumn id="8" xr3:uid="{3770269B-52CC-4F97-A780-BBFD414C94B9}" name="Total Annual Energy Savings_x000a_(kBtu)" dataDxfId="361">
      <calculatedColumnFormula>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calculatedColumnFormula>
    </tableColumn>
    <tableColumn id="13" xr3:uid="{770911B5-2581-4E0A-A5ED-FC2049E23EB9}" name="Total Annual Utility Savings from Audit (for reference )_x000a_($)" dataDxfId="360"/>
    <tableColumn id="10" xr3:uid="{CDF3CA47-9207-4D0C-B7D0-BDC5DAD99170}" name="Total Annual Utility Savings using Rates in Column W_x000a_($)" dataDxfId="359">
      <calculatedColumnFormula array="1">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calculatedColumnFormula>
    </tableColumn>
    <tableColumn id="19" xr3:uid="{3A8F72B3-E8C9-4203-81B0-DF3CD6041A70}" name="Simple Payback using Utility Rates in Column W_x000a_(Yr)" dataDxfId="358">
      <calculatedColumnFormula>IF(Table_ECM[[#This Row],[Total Annual Utility Savings using Rates in Column W
($)]]=0,"",(Table_ECM[[#This Row],[Cost to Install Measures ($)]]-Table_ECM[[#This Row],[Incentives &amp; Rebates ($)]])/Table_ECM[[#This Row],[Total Annual Utility Savings using Rates in Column W
($)]])</calculatedColumnFormula>
    </tableColumn>
    <tableColumn id="20" xr3:uid="{D7386ED2-50E9-462B-8B92-49DAB09A69A3}" name="Would you like to Include this measure in the decarbonization pathway?" dataDxfId="357"/>
    <tableColumn id="21" xr3:uid="{5C1098C3-92B8-4594-8230-58A8BB413941}" name="When will the measure installation be complete and operational?" dataDxfId="356"/>
    <tableColumn id="1" xr3:uid="{300B941B-F7DE-4713-8AAD-2E98A6A3F1CD}" name="Notes" dataDxfId="355"/>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DD5B14E-383F-4C98-9A8F-0E1207C1D9C6}" name="Table_AreaInput" displayName="Table_AreaInput" ref="D6:E14" totalsRowShown="0" headerRowDxfId="354" dataDxfId="353" dataCellStyle="Input">
  <autoFilter ref="D6:E14" xr:uid="{7F6C7A45-62F4-43F1-ABC4-6BE61C3AC1BC}">
    <filterColumn colId="0" hiddenButton="1"/>
    <filterColumn colId="1" hiddenButton="1"/>
  </autoFilter>
  <tableColumns count="2">
    <tableColumn id="1" xr3:uid="{90957204-F32C-40B5-87CC-3051E9F64001}" name="Space Type" dataDxfId="352" dataCellStyle="Input"/>
    <tableColumn id="2" xr3:uid="{11DF7A01-EA62-4317-8EF9-15C86592BAE9}" name="Sq.Ft." dataDxfId="351" dataCellStyle="Inpu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9DB3A84-8FEF-46AD-ABAE-618A4FBD0122}" name="Table_UtilityInput" displayName="Table_UtilityInput" ref="G6:N7" totalsRowShown="0" headerRowDxfId="350" dataDxfId="349">
  <autoFilter ref="G6:N7" xr:uid="{9538BC96-4145-4279-8318-A379CD8FEA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79F1B97-D780-4751-B2A3-170DEC60CF99}" name="Usage Year" dataDxfId="348" dataCellStyle="Input"/>
    <tableColumn id="2" xr3:uid="{2BEE7663-CB63-445E-BEB8-BB2496820407}" name="Annual Electricity _x000a_(kWh)" dataDxfId="347" dataCellStyle="Input"/>
    <tableColumn id="3" xr3:uid="{02D27FC2-EC06-4335-9D20-E41F9346526E}" name="Annual Natural Gas  _x000a_(therm)" dataDxfId="346" dataCellStyle="Input"/>
    <tableColumn id="4" xr3:uid="{761BCB19-D267-402F-BE27-A2716AE745FB}" name="Annual District Steam  _x000a_(Mlb for ConEd, kLb for others)" dataDxfId="345" dataCellStyle="Input"/>
    <tableColumn id="5" xr3:uid="{BE4DACEE-7DE1-423D-816C-72F22E7AC877}" name="Annual Fuel Oil#2_x000a_(Gallon)" dataDxfId="344" dataCellStyle="Input"/>
    <tableColumn id="6" xr3:uid="{F06D69FA-568F-4ADF-B879-5D75D0108420}" name="Annual Other Fuel 1_x000a_(kBtu)" dataDxfId="343" dataCellStyle="Input"/>
    <tableColumn id="7" xr3:uid="{D0803A3B-D4B0-40AA-867B-F0570B8784C2}" name="Annual Other Fuel 2_x000a_(kBtu)" dataDxfId="342" dataCellStyle="Input"/>
    <tableColumn id="8" xr3:uid="{87E51624-1011-4CF5-A2BA-637E68258190}" name="Total Emissions (tCO2e)" dataDxfId="0">
      <calculatedColumnFormula array="1">Table_UtilityInput[[#This Row],[Annual Electricity 
(kWh)]]*3.412*INDEX(Table_UtilityDecarb[Carbon Intensity (tCO2e/kBtu)],MATCH("Electricity"&amp;Table_UtilityInput[[#This Row],[Usage Year]],Table_UtilityDecarb[Fuel Type]&amp;Table_UtilityDecarb[Year],0))+
Table_UtilityInput[[#This Row],[Annual Natural Gas  
(therm)]]*100*INDEX(Table_UtilityDecarb[Carbon Intensity (tCO2e/kBtu)],MATCH("Natural Gas",Table_UtilityDecarb[Fuel Type],0))+
Table_UtilityInput[[#This Row],[Annual District Steam  
(Mlb for ConEd, kLb for others)]]*1194*INDEX(Table_UtilityDecarb[Carbon Intensity (tCO2e/kBtu)],MATCH("District Steam"&amp;Table_UtilityInput[[#This Row],[Usage Year]],Table_UtilityDecarb[Fuel Type]&amp;Table_UtilityDecarb[Year],0))+
Table_UtilityInput[[#This Row],[Annual Fuel Oil'#2
(Gallon)]]*138*INDEX(Table_UtilityDecarb[Carbon Intensity (tCO2e/kBtu)],MATCH("Fuel Oil #2",Table_UtilityDecarb[Fuel Type],0))+
IF(ISNUMBER(Table_UtilityInput[[#This Row],[Annual Other Fuel 1
(kBtu)]]),Table_UtilityInput[[#This Row],[Annual Other Fuel 1
(kBtu)]]*INDEX(Table_UtilityDecarb[Carbon Intensity (tCO2e/kBtu)],MATCH($L$8,Table_UtilityDecarb[Fuel Type],0)),0)+
IF(ISNUMBER(Table_UtilityInput[[#This Row],[Annual Other Fuel 2
(kBtu)]]),Table_UtilityInput[[#This Row],[Annual Other Fuel 2
(kBtu)]]*INDEX(Table_UtilityDecarb[Carbon Intensity (tCO2e/kBtu)],MATCH($M$8,Table_UtilityDecarb[Fuel Type],0)),0)</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CC3F603-3358-4217-911F-C3456BF74878}" name="Table_SummaryByScope" displayName="Table_SummaryByScope" ref="U18:Z42" totalsRowShown="0" headerRowDxfId="341" dataDxfId="340">
  <autoFilter ref="U18:Z42" xr:uid="{300EB69B-22D0-4D80-BFC0-3CE9E4FC124D}"/>
  <tableColumns count="6">
    <tableColumn id="1" xr3:uid="{4D8C008E-362D-4A0A-BB42-DC89F6771BD7}" name="Scope Name" dataDxfId="339"/>
    <tableColumn id="2" xr3:uid="{541F7718-B515-4697-9335-FA79A77562FC}" name="Cost to Install Measures ($)" dataDxfId="338" dataCellStyle="Currency">
      <calculatedColumnFormula>IF(Table_SummaryByScope[[#This Row],[Scope Name]]="","",SUMIFS(Table_ECM[Cost to Install Measures ($)],Table_ECM[Scope Name],Table_SummaryByScope[[#This Row],[Scope Name]]))</calculatedColumnFormula>
    </tableColumn>
    <tableColumn id="6" xr3:uid="{328B0DAA-F031-4E84-B7D3-E6A00DAFB18B}" name="Incentives &amp; Rebates ($)" dataDxfId="337" dataCellStyle="Currency">
      <calculatedColumnFormula>IF(Table_SummaryByScope[[#This Row],[Scope Name]]="","",SUMIFS(Table_ECM[Incentives &amp; Rebates ($)],Table_ECM[Scope Name],Table_SummaryByScope[[#This Row],[Scope Name]]))</calculatedColumnFormula>
    </tableColumn>
    <tableColumn id="3" xr3:uid="{5D433E6A-A146-4287-AFC3-092599FEFD58}" name="Annual Energy Savings_x000a_(kBtu)" dataDxfId="336">
      <calculatedColumnFormula>IF(Table_SummaryByScope[[#This Row],[Scope Name]]="","",SUMIFS(Table_ECM[Total Annual Energy Savings
(kBtu)],Table_ECM[Scope Name],Table_SummaryByScope[[#This Row],[Scope Name]]))</calculatedColumnFormula>
    </tableColumn>
    <tableColumn id="4" xr3:uid="{0F2E7C79-0524-44A6-BFC1-49D53F8A6A23}" name="Annual Utility Savings_x000a_($)" dataDxfId="335">
      <calculatedColumnFormula>IF(Table_SummaryByScope[[#This Row],[Scope Name]]="","",SUMIFS(Table_ECM[Total Annual Utility Savings using Rates in Column W
($)],Table_ECM[Scope Name],Table_SummaryByScope[[#This Row],[Scope Name]]))</calculatedColumnFormula>
    </tableColumn>
    <tableColumn id="5" xr3:uid="{BA963F77-3021-4398-834F-EDB6F5587E5F}" name="Simple Payback_x000a_(Yr)" dataDxfId="334">
      <calculatedColumnFormula>IF(OR(Table_SummaryByScope[[#This Row],[Scope Name]]="",Table_SummaryByScope[[#This Row],[Annual Utility Savings
($)]]=0),"",(Table_SummaryByScope[[#This Row],[Cost to Install Measures ($)]]-Table_SummaryByScope[[#This Row],[Incentives &amp; Rebates ($)]])/Table_SummaryByScope[[#This Row],[Annual Utility Savings
($)]])</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824D8BC-B692-41AD-9800-4AB339CD02F7}" name="Table_Perf6" displayName="Table_Perf6" ref="C47:AJ78" totalsRowCount="1" headerRowDxfId="114" dataDxfId="113" totalsRowDxfId="112" tableBorderDxfId="111">
  <tableColumns count="34">
    <tableColumn id="48" xr3:uid="{1D2509F1-B1CD-4ACC-9B20-43D57FA44126}" name="#" totalsRowLabel="2050 Totals" dataDxfId="109" totalsRowDxfId="110" dataCellStyle="Comma"/>
    <tableColumn id="12" xr3:uid="{1D39D078-36EA-4F15-9E87-F079949DBF1B}" name="Year" dataDxfId="107" totalsRowDxfId="108">
      <calculatedColumnFormula>IF(BaseYr+Table_Perf6[[#This Row],['#]]&gt;EndYr,NA(),BaseYr+Table_Perf6[[#This Row],['#]])</calculatedColumnFormula>
    </tableColumn>
    <tableColumn id="7" xr3:uid="{1E95612E-3574-4559-B510-09B5E4182EC6}" name="Electricity (kBtu)" dataDxfId="105" totalsRowDxfId="106" dataCellStyle="Comma">
      <calculatedColumnFormula array="1">MAX(0,IF(Table_Perf6[[#This Row],[Year]]=BaseYr,IFERROR(Table_UtilityInput9[Annual Electricity 
(kWh)]*3.412,0),
(E47-3.412*SUMIFS(Table_ECM7[Annual Electricity Savings
(kWh)],Table_ECM7[When will the measure installation be complete and operational?],Table_Perf6[[#This Row],[Year]],Table_ECM7[Would you like to Include this measure in the decarbonization pathway?],TRUE))))</calculatedColumnFormula>
    </tableColumn>
    <tableColumn id="9" xr3:uid="{6E2662F1-9A15-445C-B075-A7E48F1E0E61}" name="Natural Gas (kBtu)" dataDxfId="103" totalsRowDxfId="104" dataCellStyle="Comma">
      <calculatedColumnFormula array="1">MAX(0,IF(Table_Perf6[[#This Row],[Year]]=BaseYr,IFERROR(Table_UtilityInput9[Annual Natural Gas  
(therm)]*100,0),
(F47-100*SUMIFS(Table_ECM7[Annual Natural Gas Savings
(therm)],Table_ECM7[When will the measure installation be complete and operational?],Table_Perf6[[#This Row],[Year]],Table_ECM7[Would you like to Include this measure in the decarbonization pathway?],TRUE))))</calculatedColumnFormula>
    </tableColumn>
    <tableColumn id="10" xr3:uid="{B547E24A-6106-411A-970E-330D15377EA8}" name="Fuel Oil#2 (kBtu)" dataDxfId="101" totalsRowDxfId="102" dataCellStyle="Comma">
      <calculatedColumnFormula array="1">MAX(0,IF(Table_Perf6[[#This Row],[Year]]=BaseYr,IFERROR(Table_UtilityInput9[Annual Fuel Oil'#2
(Gallon)]*138,0),
(G47-138*SUMIFS(Table_ECM7[Annual Fuel Oil'#2 Savings
(Gallon)],Table_ECM7[When will the measure installation be complete and operational?],Table_Perf6[[#This Row],[Year]],Table_ECM7[Would you like to Include this measure in the decarbonization pathway?],TRUE))))</calculatedColumnFormula>
    </tableColumn>
    <tableColumn id="11" xr3:uid="{3BC74D8F-DDAB-4B1B-8DD4-794F4E75676E}" name="District Steam (kBtu)" dataDxfId="99" totalsRowDxfId="100" dataCellStyle="Comma">
      <calculatedColumnFormula array="1">MAX(0,IF(Table_Perf6[[#This Row],[Year]]=BaseYr,IFERROR(Table_UtilityInput9[Annual District Steam  
(Mlb for ConEd, kLb for others)]*1194,0),
(H47-1194*SUMIFS(Table_ECM7[Annual District Steam Savings
(Mlb for ConEd, klb for others)],Table_ECM7[When will the measure installation be complete and operational?],Table_Perf6[[#This Row],[Year]],Table_ECM7[Would you like to Include this measure in the decarbonization pathway?],TRUE))))</calculatedColumnFormula>
    </tableColumn>
    <tableColumn id="8" xr3:uid="{BB1F3959-5F02-4C8C-BE55-77316DF24B21}" name="Other Fuel 1 (kBtu)" dataDxfId="97" totalsRowDxfId="98" dataCellStyle="Comma">
      <calculatedColumnFormula array="1">MAX(0,IF(Table_Perf6[[#This Row],[Year]]=BaseYr,IFERROR(Table_UtilityInput9[Annual Other Fuel 1
(kBtu)],0),
(I47-SUMIFS(Table_ECM7[Annual Other Fuel 1 Savings
(kBtu)],Table_ECM7[When will the measure installation be complete and operational?],Table_Perf6[[#This Row],[Year]],Table_ECM7[Would you like to Include this measure in the decarbonization pathway?],TRUE))))</calculatedColumnFormula>
    </tableColumn>
    <tableColumn id="18" xr3:uid="{1E58CC55-6838-43FA-91D4-58CE5FDB4B14}" name="Other Fuel 2 (kBtu)" dataDxfId="95" totalsRowDxfId="96" dataCellStyle="Comma">
      <calculatedColumnFormula array="1">MAX(0,IF(Table_Perf6[[#This Row],[Year]]=BaseYr,IFERROR(Table_UtilityInput9[Annual Other Fuel 2
(kBtu)],0),
(J47-SUMIFS(Table_ECM7[Annual Other Fuel 2 Savings
(kBtu)],Table_ECM7[When will the measure installation be complete and operational?],Table_Perf6[[#This Row],[Year]],Table_ECM7[Would you like to Include this measure in the decarbonization pathway?],TRUE))))</calculatedColumnFormula>
    </tableColumn>
    <tableColumn id="35" xr3:uid="{ED7320A6-F45C-4B56-B674-1A09216B4BBE}" name="Measure Cost ($)" totalsRowFunction="custom" dataDxfId="93" totalsRowDxfId="94" dataCellStyle="Comma">
      <calculatedColumnFormula>-SUMIFS(Table_ECM7[Cost to Install Measures ($)],Table_ECM7[When will the measure installation be complete and operational?],Table_Perf6[[#This Row],[Year]],Table_ECM7[Would you like to Include this measure in the decarbonization pathway?],TRUE)</calculatedColumnFormula>
      <totalsRowFormula>_xlfn.AGGREGATE(9,6,Table_Perf6[Measure Cost ($)])</totalsRowFormula>
    </tableColumn>
    <tableColumn id="34" xr3:uid="{950143E6-622C-4F54-AC8C-6634AE89CDAA}" name="Utility Savings ($)" totalsRowFunction="custom" dataDxfId="91" totalsRowDxfId="92" dataCellStyle="Comma">
      <calculatedColumnFormula array="1">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calculatedColumnFormula>
      <totalsRowFormula>_xlfn.AGGREGATE(9,6,Table_Perf6[Utility Savings ($)])</totalsRowFormula>
    </tableColumn>
    <tableColumn id="47" xr3:uid="{BAB20C1C-1662-4B96-8E17-4A124EF9D409}" name="LL97" dataDxfId="89" totalsRowDxfId="90" dataCellStyle="Comma"/>
    <tableColumn id="20" xr3:uid="{8286782D-74F4-4790-88C6-3F9FE660CC0A}" name="LL97 Electricity (tCO2e)" dataDxfId="87" totalsRowDxfId="88" dataCellStyle="Comma">
      <calculatedColumnFormula array="1">Table_Perf6[[#This Row],[Electricity (kBtu)]]*INDEX(Table_UtilityDecarb[Carbon Intensity (tCO2e/kBtu)],MATCH(N$46&amp;Table_Perf6[[#This Row],[Year]],Table_UtilityDecarb[Fuel Type]&amp;Table_UtilityDecarb[Year],0))</calculatedColumnFormula>
    </tableColumn>
    <tableColumn id="23" xr3:uid="{FD77E604-2E86-4B03-9B2D-31E98C02EE7F}" name="LL97 Natural Gas (tCO2e)" dataDxfId="85" totalsRowDxfId="86" dataCellStyle="Comma">
      <calculatedColumnFormula>Table_Perf6[[#This Row],[Natural Gas (kBtu)]]*INDEX(Table_UtilityDecarb[Carbon Intensity (tCO2e/kBtu)],MATCH(O$46,Table_UtilityDecarb[Fuel Type],0))</calculatedColumnFormula>
    </tableColumn>
    <tableColumn id="24" xr3:uid="{3AE68CB7-A0D1-48B0-8724-89502A85BFD0}" name="LL97 Fuel Oil#2 (tCO2e)" dataDxfId="83" totalsRowDxfId="84" dataCellStyle="Comma">
      <calculatedColumnFormula>Table_Perf6[[#This Row],[Fuel Oil'#2 (kBtu)]]*INDEX(Table_UtilityDecarb[Carbon Intensity (tCO2e/kBtu)],MATCH(P$46,Table_UtilityDecarb[Fuel Type],0))</calculatedColumnFormula>
    </tableColumn>
    <tableColumn id="25" xr3:uid="{B280E07D-464B-4893-81FD-A49FC54D95FC}" name="LL97 District Steam (tCO2e)" dataDxfId="81" totalsRowDxfId="82" dataCellStyle="Comma">
      <calculatedColumnFormula array="1">Table_Perf6[[#This Row],[District Steam (kBtu)]]*INDEX(Table_UtilityDecarb[Carbon Intensity (tCO2e/kBtu)],MATCH(Q$46&amp;Table_Perf6[[#This Row],[Year]],Table_UtilityDecarb[Fuel Type]&amp;Table_UtilityDecarb[Year],0))</calculatedColumnFormula>
    </tableColumn>
    <tableColumn id="21" xr3:uid="{6D53CCC3-46EC-447D-BC74-FEBCE0B053E0}" name="LL97 Other Fuel 1 (tCO2e)" dataDxfId="79" totalsRowDxfId="80" dataCellStyle="Comma">
      <calculatedColumnFormula array="1">IF(OR(Table_UtilityInput9[Annual Other Fuel 1
(kBtu)]="",NOT(ISNUMBER(Table_UtilityInput9[Annual Other Fuel 1
(kBtu)]))),0,Table_Perf6[[#This Row],[Other Fuel 1 (kBtu)]]*INDEX(Table_UtilityDecarb[Carbon Intensity (tCO2e/kBtu)],MATCH(R$46,Table_UtilityDecarb[Fuel Type],0)))</calculatedColumnFormula>
    </tableColumn>
    <tableColumn id="22" xr3:uid="{3A08AE03-22E6-468F-8E3D-6F12154CB7DE}" name="LL97 Other Fuel 2 (tCO2e)" dataDxfId="77" totalsRowDxfId="78" dataCellStyle="Comma">
      <calculatedColumnFormula array="1">IF(OR(Table_UtilityInput9[Annual Other Fuel 2
(kBtu)]="",NOT(ISNUMBER(Table_UtilityInput9[Annual Other Fuel 2
(kBtu)]))),0,Table_Perf6[[#This Row],[Other Fuel 2 (kBtu)]]*INDEX(Table_UtilityDecarb[Carbon Intensity (tCO2e/kBtu)],MATCH(S$46,Table_UtilityDecarb[Fuel Type],0)))</calculatedColumnFormula>
    </tableColumn>
    <tableColumn id="26" xr3:uid="{9057A535-0F92-4D53-A8B8-5FEA22BA1ECA}" name="LL97 Emissions After Measures" dataDxfId="75" totalsRowDxfId="76" dataCellStyle="Comma">
      <calculatedColumnFormula>IF(Table_Perf6[[#This Row],[Year]]&gt;2050,NA(),_xlfn.AGGREGATE(9,6,Table_Perf6[[#This Row],[LL97 Electricity (tCO2e)]:[LL97 Other Fuel 2 (tCO2e)]]))</calculatedColumnFormula>
    </tableColumn>
    <tableColumn id="41" xr3:uid="{DBA42331-9A11-4C54-A47C-4258B356E725}" name="LL97 Emissions Limit (tCO2e)" dataDxfId="73" totalsRowDxfId="74" dataCellStyle="Comma">
      <calculatedColumnFormula>IF(Table_Perf6[[#This Row],[Year]]&lt;2035,NA(),INDEX(Table_LimitsCalc_Sample1[Total Limits (tCO2e)],MATCH(Table_Perf6[[#This Row],[Year]],Table_LimitsCalc_Sample1[Year],0)))</calculatedColumnFormula>
    </tableColumn>
    <tableColumn id="65" xr3:uid="{153C7B7C-750A-4707-9217-1C9004EAE54C}" name="LL97 Business-As-Usual Emissions" dataDxfId="71" totalsRowDxfId="72" dataCellStyle="Comma">
      <calculatedColumnFormula array="1">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calculatedColumnFormula>
    </tableColumn>
    <tableColumn id="64" xr3:uid="{926F8902-E8F5-441A-B04E-D9CD7BE61309}" name="LL97 BAU Excess Emissions" dataDxfId="69" totalsRowDxfId="70" dataCellStyle="Comma">
      <calculatedColumnFormula>IF(Table_Perf6[[#This Row],[LL97 Emissions Limit (tCO2e)]]="",0,MAX(0,Table_Perf6[[#This Row],[LL97 Business-As-Usual Emissions]]-Table_Perf6[[#This Row],[LL97 Emissions Limit (tCO2e)]]))</calculatedColumnFormula>
    </tableColumn>
    <tableColumn id="62" xr3:uid="{FA709A48-81D8-4F94-AA0D-6B6E66F5247D}" name="LL97 Excess Emissions After Measures" dataDxfId="67" totalsRowDxfId="68" dataCellStyle="Comma">
      <calculatedColumnFormula>IF(Table_Perf6[[#This Row],[LL97 Emissions Limit (tCO2e)]]="",0,MAX(0,Table_Perf6[[#This Row],[LL97 Emissions After Measures]]-Table_Perf6[[#This Row],[LL97 Emissions Limit (tCO2e)]]))</calculatedColumnFormula>
    </tableColumn>
    <tableColumn id="66" xr3:uid="{F1670244-5D71-4A28-8135-01755A2AF778}" name="LL97 Emissions Reduced by Measures" totalsRowFunction="custom" dataDxfId="65" totalsRowDxfId="66" dataCellStyle="Comma">
      <calculatedColumnFormula>Table_Perf6[[#This Row],[LL97 Business-As-Usual Emissions]]-Table_Perf6[[#This Row],[LL97 Emissions After Measures]]</calculatedColumnFormula>
      <totalsRowFormula>_xlfn.AGGREGATE(9,6,Table_Perf6[LL97 Emissions Reduced by Measures])</totalsRowFormula>
    </tableColumn>
    <tableColumn id="52" xr3:uid="{4E81C885-34A6-4361-A517-BDEEF84A03E8}" name="LL97 Compliance Status" dataDxfId="63" totalsRowDxfId="64" dataCellStyle="Comma">
      <calculatedColumnFormula>IF(Table_Perf6[[#This Row],[Year]]&lt;2024,"Not in enforcement period",IF(Table_Perf6[[#This Row],[LL97 Excess Emissions After Measures]]=0,"Compliant","Not-Compliant"))</calculatedColumnFormula>
    </tableColumn>
    <tableColumn id="45" xr3:uid="{45089EBE-1EB2-45E2-A058-06D8B2B9D1B8}" name="LL97 Adjusted Penalty After Measures" totalsRowFunction="custom" dataDxfId="61" totalsRowDxfId="62" dataCellStyle="Comma">
      <calculatedColumnFormula>IFERROR(-268*Table_Perf6[[#This Row],[LL97 Excess Emissions After Measures]],0)</calculatedColumnFormula>
      <totalsRowFormula>_xlfn.AGGREGATE(9,6,Table_Perf6[LL97 Adjusted Penalty After Measures])</totalsRowFormula>
    </tableColumn>
    <tableColumn id="44" xr3:uid="{88046A53-3B13-497A-9A60-FB38F1F55FAA}" name="LL97 Penalty Avoided by Measures ($)" totalsRowFunction="custom" dataDxfId="59" totalsRowDxfId="60" dataCellStyle="Comma">
      <calculatedColumnFormula>IFERROR(268*MIN(Table_Perf6[[#This Row],[LL97 BAU Excess Emissions]],Table_Perf6[[#This Row],[LL97 Emissions Reduced by Measures]]),0)</calculatedColumnFormula>
      <totalsRowFormula>_xlfn.AGGREGATE(9,6,Table_Perf6[LL97 Penalty Avoided by Measures ($)])</totalsRowFormula>
    </tableColumn>
    <tableColumn id="56" xr3:uid="{DF656DAB-9FC4-4143-8C62-B0E75DD2BC78}" name="LL97 Compliance Mark" dataDxfId="57" totalsRowDxfId="58" dataCellStyle="Comma">
      <calculatedColumnFormula>IF(OR(Table_Perf6[[#This Row],[Year]]&lt;2024,Table_Perf6[[#This Row],[Year]]&gt;2050,ISERROR(Table_Perf6[[#This Row],[LL97 Adjusted Penalty After Measures]])),"",Table_Perf6[[#This Row],[LL97 Adjusted Penalty After Measures]])</calculatedColumnFormula>
    </tableColumn>
    <tableColumn id="46" xr3:uid="{EB29AB30-9ED8-4222-AECD-A7FD6CCE4C74}" name="Annual Total Cash Flow ($)" totalsRowFunction="custom" dataDxfId="55" totalsRowDxfId="56" dataCellStyle="Comma">
      <calculatedColumnFormula>IF(Table_Perf6[[#This Row],[Year]]&gt;2050,NA(),_xlfn.AGGREGATE(9,6,Table_Perf6[[#This Row],[Measure Cost ($)]],Table_Perf6[[#This Row],[Utility Savings ($)]],Table_Perf6[[#This Row],[LL97 Penalty Avoided by Measures ($)]]))</calculatedColumnFormula>
      <totalsRowFormula>_xlfn.AGGREGATE(9,6,Table_Perf6[Annual Total Cash Flow ($)])</totalsRowFormula>
    </tableColumn>
    <tableColumn id="58" xr3:uid="{359BC9D2-E840-422A-98E1-8E0C1399AD34}" name="Cumulative Total Cash Flow ($)" dataDxfId="53" totalsRowDxfId="54" dataCellStyle="Comma">
      <calculatedColumnFormula>SUM($AD$48:AD48)</calculatedColumnFormula>
    </tableColumn>
    <tableColumn id="60" xr3:uid="{FD47B28D-8B9F-4E4E-9CFC-B55CB297FE19}" name="Annual Total Out-of-Pocket Cost ($)" totalsRowFunction="custom" dataDxfId="51" totalsRowDxfId="52" dataCellStyle="Comma">
      <calculatedColumnFormula>IF(Table_Perf6[[#This Row],[Year]]&gt;2050,NA(),_xlfn.AGGREGATE(9,6,Table_Perf6[[#This Row],[Measure Cost ($)]],Table_Perf6[[#This Row],[LL97 Adjusted Penalty After Measures]]))</calculatedColumnFormula>
      <totalsRowFormula>_xlfn.AGGREGATE(9,6,Table_Perf6[Annual Total Out-of-Pocket Cost ($)])</totalsRowFormula>
    </tableColumn>
    <tableColumn id="53" xr3:uid="{2D019C81-32C1-4073-A993-3DCD34AAF763}" name="Yr" dataDxfId="49" totalsRowDxfId="50" dataCellStyle="Comma">
      <calculatedColumnFormula>Table_Perf6[[#This Row],[Year]]</calculatedColumnFormula>
    </tableColumn>
    <tableColumn id="1" xr3:uid="{2E0DBC18-0D91-42EA-BC6A-8E85966BC84D}" name="Measure Qty" dataDxfId="47" totalsRowDxfId="48">
      <calculatedColumnFormula>COUNTIFS(Table_ECM7[When will the measure installation be complete and operational?],"&lt;="&amp;Table_Perf6[[#This Row],[Yr]],Table_ECM7[Would you like to Include this measure in the decarbonization pathway?],TRUE)</calculatedColumnFormula>
    </tableColumn>
    <tableColumn id="2" xr3:uid="{C98C02E9-8F57-488C-86C0-CDB654E7EDA2}" name="Measure Label" dataDxfId="45" totalsRowDxfId="46">
      <calculatedColumnFormula>IF(Table_Perf6[[#This Row],[Measure Qty]]=AH47,"",_xlfn.CONCAT(Table_Perf6[[#This Row],[Measure Qty]], " Measures Done"))</calculatedColumnFormula>
    </tableColumn>
    <tableColumn id="3" xr3:uid="{1EBE5949-65EF-429A-A2CE-57D5623FA899}" name="Measure Y Axis" dataDxfId="43" totalsRowDxfId="44">
      <calculatedColumnFormula>IF(Table_Perf6[[#This Row],[Measure Label]]="",NA(),Table_Perf6[[#This Row],[LL97 Emissions After Measures]])</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F8ABA4-296C-4C13-B021-6AD0E1E6B237}" name="Table_ECM7" displayName="Table_ECM7" ref="B18:S42" totalsRowShown="0" headerRowDxfId="42" dataDxfId="41">
  <autoFilter ref="B18:S42" xr:uid="{F64EACFB-D2D8-4D04-A867-BBB3C3F14B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9" xr3:uid="{E92C136E-5429-4C6A-93A7-9D2D2130104B}" name="Scope Name" dataDxfId="40"/>
    <tableColumn id="22" xr3:uid="{FA487305-CF64-4EE6-9F7A-92A2B4160CD2}" name="Measure ID" dataDxfId="39"/>
    <tableColumn id="2" xr3:uid="{07758712-19C8-4314-B60D-0E925B15E8D0}" name="Measure Name" dataDxfId="38"/>
    <tableColumn id="3" xr3:uid="{98A09168-B1B9-4337-AEDD-6D4D994C69E9}" name="Cost to Install Measures ($)" dataDxfId="37"/>
    <tableColumn id="18" xr3:uid="{6C373142-4D58-4FD5-9E81-BD51F2C9E6F6}" name="Incentives &amp; Rebates ($)" dataDxfId="36"/>
    <tableColumn id="4" xr3:uid="{A509E7BF-57B7-4464-A84E-24F862FCC612}" name="Annual Electricity Savings_x000a_(kWh)" dataDxfId="35" dataCellStyle="Comma"/>
    <tableColumn id="5" xr3:uid="{FEA7306C-809C-4F50-A3FB-F1534FEBFC10}" name="Annual Natural Gas Savings_x000a_(therm)" dataDxfId="34" dataCellStyle="Comma"/>
    <tableColumn id="6" xr3:uid="{65DD187C-D897-4D24-8F1E-122933752916}" name="Annual District Steam Savings_x000a_(Mlb for ConEd, klb for others)" dataDxfId="33" dataCellStyle="Comma"/>
    <tableColumn id="7" xr3:uid="{E340E702-47E6-472C-83E3-709F5BDE67B6}" name="Annual Fuel Oil#2 Savings_x000a_(Gallon)" dataDxfId="32" dataCellStyle="Comma"/>
    <tableColumn id="14" xr3:uid="{B81298A2-2D08-4C10-9BE4-2B19FA1BB9DE}" name="Annual Other Fuel 1 Savings_x000a_(kBtu)" dataDxfId="31" dataCellStyle="Comma"/>
    <tableColumn id="16" xr3:uid="{1B373D8F-561A-407C-A07A-F492AF0EEB51}" name="Annual Other Fuel 2 Savings_x000a_(kBtu)" dataDxfId="30" dataCellStyle="Comma"/>
    <tableColumn id="8" xr3:uid="{1D53EDE8-7473-4C0E-811B-DB62899E70C9}" name="Total Annual Energy Savings_x000a_(kBtu)" dataDxfId="29">
      <calculatedColumnFormula>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calculatedColumnFormula>
    </tableColumn>
    <tableColumn id="13" xr3:uid="{2EDC2786-0FD3-4702-9F68-7153E38E0136}" name="Total Annual Utility Savings from Audit (for reference )_x000a_($)" dataDxfId="28"/>
    <tableColumn id="10" xr3:uid="{8A54ACEB-F298-459F-A26A-E8A15ACF9274}" name="Total Annual Utility Savings using Rates in Column W_x000a_($)" dataDxfId="27">
      <calculatedColumnFormula array="1">SUMPRODUCT(Table_ECM7[[#This Row],[Annual Electricity Savings
(kWh)]:[Annual Fuel Oil'#2 Savings
(Gallon)]],TRANSPOSE($W$7:$W$10)+
IF(Table_UtilityInput[Annual Other Fuel 1
(kBtu)]="",0,Table_UtilityInput[Annual Other Fuel 1
(kBtu)]*$W$11)+
IF(Table_UtilityInput[Annual Other Fuel 2
(kBtu)]="",0,Table_UtilityInput[Annual Other Fuel 2
(kBtu)]*#REF!))</calculatedColumnFormula>
    </tableColumn>
    <tableColumn id="19" xr3:uid="{534C0C89-4347-438A-98F3-D1E005B91C64}" name="Simple Payback using Utility Rates in Column W_x000a_(Yr)" dataDxfId="26">
      <calculatedColumnFormula>IF(Table_ECM7[[#This Row],[Total Annual Utility Savings using Rates in Column W
($)]]=0,"",(Table_ECM7[[#This Row],[Cost to Install Measures ($)]]-Table_ECM7[[#This Row],[Incentives &amp; Rebates ($)]])/Table_ECM7[[#This Row],[Total Annual Utility Savings using Rates in Column W
($)]])</calculatedColumnFormula>
    </tableColumn>
    <tableColumn id="20" xr3:uid="{7A7CA979-F7B3-41DE-B84F-F7EDFA09D633}" name="Would you like to Include this measure in the decarbonization pathway?" dataDxfId="25"/>
    <tableColumn id="21" xr3:uid="{E1054110-5189-4DB5-AE69-81F4A3DE034D}" name="When will the measure installation be complete and operational?" dataDxfId="24"/>
    <tableColumn id="1" xr3:uid="{AE431AEE-92B2-43A1-98D8-6D98B768D4A4}" name="Notes" dataDxfId="23"/>
  </tableColumns>
  <tableStyleInfo name="TableStyleLight1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8A4DE28-7B73-44B1-9383-046DCE7DB937}" name="Table_AreaInput8" displayName="Table_AreaInput8" ref="D6:E14" totalsRowShown="0" headerRowDxfId="22" dataDxfId="21" dataCellStyle="Input">
  <autoFilter ref="D6:E14" xr:uid="{7F6C7A45-62F4-43F1-ABC4-6BE61C3AC1BC}">
    <filterColumn colId="0" hiddenButton="1"/>
    <filterColumn colId="1" hiddenButton="1"/>
  </autoFilter>
  <tableColumns count="2">
    <tableColumn id="1" xr3:uid="{57953193-432C-47DD-97E8-830C0DC3557F}" name="Space Type" dataDxfId="20" dataCellStyle="Input"/>
    <tableColumn id="2" xr3:uid="{28C8DB37-8E41-40D0-8218-1CA868A89396}" name="Sq.Ft." dataDxfId="19" dataCellStyle="Inpu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237EC8-EA84-44AD-AB2D-0EDE8B7CDB29}" name="Table_UtilityInput9" displayName="Table_UtilityInput9" ref="G6:N7" totalsRowShown="0" headerRowDxfId="18" dataDxfId="17">
  <autoFilter ref="G6:N7" xr:uid="{9538BC96-4145-4279-8318-A379CD8FEA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787578E-384F-4D2C-98E4-1885C4FAB491}" name="Usage Year" dataDxfId="16" dataCellStyle="Input"/>
    <tableColumn id="2" xr3:uid="{A5B153C9-1E9A-48E5-BFAF-DD07793D27DB}" name="Annual Electricity _x000a_(kWh)" dataDxfId="15" dataCellStyle="Input"/>
    <tableColumn id="3" xr3:uid="{0D2C3656-3396-4BAF-BF0F-5E85BDF2118E}" name="Annual Natural Gas  _x000a_(therm)" dataDxfId="14" dataCellStyle="Input"/>
    <tableColumn id="4" xr3:uid="{07752E0C-0C6D-48C2-8A79-8E35EA71AA2C}" name="Annual District Steam  _x000a_(Mlb for ConEd, kLb for others)" dataDxfId="13" dataCellStyle="Input"/>
    <tableColumn id="5" xr3:uid="{36B608A5-499E-4193-B92C-52D9EC157598}" name="Annual Fuel Oil#2_x000a_(Gallon)" dataDxfId="12" dataCellStyle="Input"/>
    <tableColumn id="6" xr3:uid="{04DAF521-5A95-4009-891B-225823CD3002}" name="Annual Other Fuel 1_x000a_(kBtu)" dataDxfId="11" dataCellStyle="Input"/>
    <tableColumn id="7" xr3:uid="{55803488-126E-4A96-9A8D-7C02EE675191}" name="Annual Other Fuel 2_x000a_(kBtu)" dataDxfId="10" dataCellStyle="Input"/>
    <tableColumn id="8" xr3:uid="{D5CA4C68-C4AA-4CC6-882D-A8E2071958CF}" name="Total Emissions (tCO2e)" dataDxfId="9">
      <calculatedColumnFormula array="1">Table_UtilityInput9[[#This Row],[Annual Electricity 
(kWh)]]*3.412*INDEX(Table_UtilityDecarb[Carbon Intensity (tCO2e/kBtu)],MATCH("Electricity"&amp;Table_UtilityInput9[[#This Row],[Usage Year]],Table_UtilityDecarb[Fuel Type]&amp;Table_UtilityDecarb[Year],0))+
Table_UtilityInput9[[#This Row],[Annual Natural Gas  
(therm)]]*100*INDEX(Table_UtilityDecarb[Carbon Intensity (tCO2e/kBtu)],MATCH("Natural Gas",Table_UtilityDecarb[Fuel Type],0))+
Table_UtilityInput9[[#This Row],[Annual District Steam  
(Mlb for ConEd, kLb for others)]]*1194*INDEX(Table_UtilityDecarb[Carbon Intensity (tCO2e/kBtu)],MATCH("District Steam"&amp;Table_UtilityInput9[[#This Row],[Usage Year]],Table_UtilityDecarb[Fuel Type]&amp;Table_UtilityDecarb[Year],0))+
Table_UtilityInput9[[#This Row],[Annual Fuel Oil'#2
(Gallon)]]*138*INDEX(Table_UtilityDecarb[Carbon Intensity (tCO2e/kBtu)],MATCH("Fuel Oil #2",Table_UtilityDecarb[Fuel Type],0))+
IF(ISNUMBER(Table_UtilityInput9[[#This Row],[Annual Other Fuel 1
(kBtu)]]),Table_UtilityInput9[[#This Row],[Annual Other Fuel 1
(kBtu)]]*INDEX(Table_UtilityDecarb[Carbon Intensity (tCO2e/kBtu)],MATCH($L$8,Table_UtilityDecarb[Fuel Type],0)),0)+
IF(ISNUMBER(Table_UtilityInput9[[#This Row],[Annual Other Fuel 2
(kBtu)]]),Table_UtilityInput9[[#This Row],[Annual Other Fuel 2
(kBtu)]]*INDEX(Table_UtilityDecarb[Carbon Intensity (tCO2e/kBtu)],MATCH($M$8,Table_UtilityDecarb[Fuel Type],0)),0)</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9E3FD64-AF5B-4A42-B53D-66692899789F}" name="Table_SummaryByScope12" displayName="Table_SummaryByScope12" ref="U18:Z42" totalsRowShown="0" headerRowDxfId="8" dataDxfId="7">
  <autoFilter ref="U18:Z42" xr:uid="{300EB69B-22D0-4D80-BFC0-3CE9E4FC124D}"/>
  <tableColumns count="6">
    <tableColumn id="1" xr3:uid="{F7ED937C-E6F7-42CC-B9CE-B35023517F7E}" name="Scope Name" dataDxfId="6"/>
    <tableColumn id="2" xr3:uid="{6EE099BD-119D-496F-83E2-96CBBCD13F52}" name="Cost to Install Measures ($)" dataDxfId="5" dataCellStyle="Currency">
      <calculatedColumnFormula>IF(Table_SummaryByScope12[[#This Row],[Scope Name]]="","",SUMIFS(Table_ECM7[Cost to Install Measures ($)],Table_ECM7[Scope Name],Table_SummaryByScope12[[#This Row],[Scope Name]]))</calculatedColumnFormula>
    </tableColumn>
    <tableColumn id="6" xr3:uid="{5152CE5F-0F7F-4779-A6CE-678A0BE27727}" name="Incentives &amp; Rebates ($)" dataDxfId="4" dataCellStyle="Currency">
      <calculatedColumnFormula>IF(Table_SummaryByScope12[[#This Row],[Scope Name]]="","",SUMIFS(Table_ECM7[Incentives &amp; Rebates ($)],Table_ECM7[Scope Name],Table_SummaryByScope12[[#This Row],[Scope Name]]))</calculatedColumnFormula>
    </tableColumn>
    <tableColumn id="3" xr3:uid="{96C1CB39-E05F-4D4D-9C63-7B72F16E8599}" name="Annual Energy Savings_x000a_(kBtu)" dataDxfId="3">
      <calculatedColumnFormula>IF(Table_SummaryByScope12[[#This Row],[Scope Name]]="","",SUMIFS(Table_ECM7[Total Annual Energy Savings
(kBtu)],Table_ECM7[Scope Name],Table_SummaryByScope12[[#This Row],[Scope Name]]))</calculatedColumnFormula>
    </tableColumn>
    <tableColumn id="4" xr3:uid="{0F309E00-1D1B-4C7A-BF98-21E8938B64C3}" name="Annual Utility Savings_x000a_($)" dataDxfId="2">
      <calculatedColumnFormula>IF(Table_SummaryByScope12[[#This Row],[Scope Name]]="","",SUMIFS(Table_ECM7[Total Annual Utility Savings using Rates in Column W
($)],Table_ECM7[Scope Name],Table_SummaryByScope12[[#This Row],[Scope Name]]))</calculatedColumnFormula>
    </tableColumn>
    <tableColumn id="5" xr3:uid="{43E0B18A-8288-4596-A078-AC070EA3B0F8}" name="Simple Payback_x000a_(Yr)" dataDxfId="1">
      <calculatedColumnFormula>IF(OR(Table_SummaryByScope12[[#This Row],[Scope Name]]="",Table_SummaryByScope12[[#This Row],[Annual Utility Savings
($)]]=0),"",(Table_SummaryByScope12[[#This Row],[Cost to Install Measures ($)]]-Table_SummaryByScope12[[#This Row],[Incentives &amp; Rebates ($)]])/Table_SummaryByScope12[[#This Row],[Annual Utility Savings
($)]])</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7CF0FB-3483-4742-A907-F64837DBFE24}" name="Table_Perf_S01" displayName="Table_Perf_S01" ref="C47:AJ78" totalsRowCount="1" headerRowDxfId="333" dataDxfId="332" totalsRowDxfId="330" tableBorderDxfId="331">
  <tableColumns count="34">
    <tableColumn id="48" xr3:uid="{401BD35C-5046-47BB-8649-AAE2F91D725E}" name="#" totalsRowLabel="2050 Totals" dataDxfId="329" totalsRowDxfId="328" dataCellStyle="Comma"/>
    <tableColumn id="12" xr3:uid="{E595CCD7-255C-4DE8-803E-DD7592CBCE36}" name="Year" dataDxfId="327" totalsRowDxfId="326">
      <calculatedColumnFormula>IF(BaseYr+Table_Perf_S01[[#This Row],['#]]&gt;EndYr,NA(),BaseYr+Table_Perf_S01[[#This Row],['#]])</calculatedColumnFormula>
    </tableColumn>
    <tableColumn id="7" xr3:uid="{DA64C549-A08B-42C9-8FD8-966D10D01161}" name="Electricity (kBtu)" dataDxfId="325" totalsRowDxfId="324" dataCellStyle="Comma">
      <calculatedColumnFormula array="1">MAX(0,IF(Table_Perf_S01[[#This Row],[Year]]=BaseYr,IFERROR(Table_UtilityInputS1[Annual Electricity 
(kWh)]*3.412,0),
(E47-3.412*SUMIFS(Table_ECM_S01[Annual Electricity Savings
(kWh)],Table_ECM_S01[When will the measure installation be complete and operational?],Table_Perf_S01[[#This Row],[Year]],Table_ECM_S01[Would you like to Include this measure in the decarbonization pathway?],TRUE))))</calculatedColumnFormula>
    </tableColumn>
    <tableColumn id="9" xr3:uid="{5BD98918-9BA4-468A-BB57-6474369D8CE6}" name="Natural Gas (kBtu)" dataDxfId="323" totalsRowDxfId="322" dataCellStyle="Comma">
      <calculatedColumnFormula array="1">MAX(0,IF(Table_Perf_S01[[#This Row],[Year]]=BaseYr,IFERROR(Table_UtilityInputS1[Annual Natural Gas  
(therm)]*100,0),
(F47-100*SUMIFS(Table_ECM_S01[Annual Natural Gas Savings
(therm)],Table_ECM_S01[When will the measure installation be complete and operational?],Table_Perf_S01[[#This Row],[Year]],Table_ECM_S01[Would you like to Include this measure in the decarbonization pathway?],TRUE))))</calculatedColumnFormula>
    </tableColumn>
    <tableColumn id="10" xr3:uid="{9B1DB273-9921-4AE5-ACFB-F25F88F595C1}" name="Fuel Oil#2 (kBtu)" dataDxfId="321" totalsRowDxfId="320" dataCellStyle="Comma">
      <calculatedColumnFormula array="1">MAX(0,IF(Table_Perf_S01[[#This Row],[Year]]=BaseYr,IFERROR(Table_UtilityInputS1[Annual Fuel Oil'#2
(Gallon)]*138,0),
(G47-138*SUMIFS(Table_ECM_S01[Annual Fuel Oil'#2 Savings
(Gallon)],Table_ECM_S01[When will the measure installation be complete and operational?],Table_Perf_S01[[#This Row],[Year]],Table_ECM_S01[Would you like to Include this measure in the decarbonization pathway?],TRUE))))</calculatedColumnFormula>
    </tableColumn>
    <tableColumn id="11" xr3:uid="{C6BC776D-7F6F-4BC0-8207-1873A58FA8F4}" name="District Steam (kBtu)" dataDxfId="319" totalsRowDxfId="318" dataCellStyle="Comma">
      <calculatedColumnFormula array="1">MAX(0,IF(Table_Perf_S01[[#This Row],[Year]]=BaseYr,IFERROR(Table_UtilityInputS1[Annual District Steam  
(Mlb for ConEd, kLb for others)]*1194,0),
(H47-1194*SUMIFS(Table_ECM_S01[Annual District Steam Savings
(Mlb for ConEd, klb for others)],Table_ECM_S01[When will the measure installation be complete and operational?],Table_Perf_S01[[#This Row],[Year]],Table_ECM_S01[Would you like to Include this measure in the decarbonization pathway?],TRUE))))</calculatedColumnFormula>
    </tableColumn>
    <tableColumn id="8" xr3:uid="{418EDC16-3C02-4FDC-811B-845A7F89676C}" name="Other Fuel 1 (kBtu)" dataDxfId="317" totalsRowDxfId="316" dataCellStyle="Comma">
      <calculatedColumnFormula array="1">MAX(0,IF(Table_Perf_S01[[#This Row],[Year]]=BaseYr,IFERROR(Table_UtilityInputS1[Annual Other Fuel 1
(kBtu)],0),
(I47-SUMIFS(Table_ECM_S01[Annual Other Fuel 1 Savings
(kBtu)],Table_ECM_S01[When will the measure installation be complete and operational?],Table_Perf_S01[[#This Row],[Year]],Table_ECM_S01[Would you like to Include this measure in the decarbonization pathway?],TRUE))))</calculatedColumnFormula>
    </tableColumn>
    <tableColumn id="18" xr3:uid="{B9F3DC6E-06F6-4AE0-A4A2-1D6E1F858A27}" name="Other Fuel 2 (kBtu)" dataDxfId="315" totalsRowDxfId="314" dataCellStyle="Comma">
      <calculatedColumnFormula array="1">MAX(0,IF(Table_Perf_S01[[#This Row],[Year]]=BaseYr,IFERROR(Table_UtilityInputS1[Annual Other Fuel 2
(kBtu)],0),
(J47-SUMIFS(Table_ECM_S01[Annual Other Fuel 2 Savings
(kBtu)],Table_ECM_S01[When will the measure installation be complete and operational?],Table_Perf_S01[[#This Row],[Year]],Table_ECM_S01[Would you like to Include this measure in the decarbonization pathway?],TRUE))))</calculatedColumnFormula>
    </tableColumn>
    <tableColumn id="35" xr3:uid="{4195B19A-639A-4B47-9681-8333C3CA6EFC}" name="Measure Cost ($)" totalsRowFunction="custom" dataDxfId="313" totalsRowDxfId="312" dataCellStyle="Comma">
      <calculatedColumnFormula>-SUMIFS(Table_ECM_S01[Cost to Install Measures ($)],Table_ECM_S01[When will the measure installation be complete and operational?],Table_Perf_S01[[#This Row],[Year]],Table_ECM_S01[Would you like to Include this measure in the decarbonization pathway?],TRUE)</calculatedColumnFormula>
      <totalsRowFormula>_xlfn.AGGREGATE(9,6,Table_Perf_S01[Measure Cost ($)])</totalsRowFormula>
    </tableColumn>
    <tableColumn id="34" xr3:uid="{06893E9E-F06E-46F6-AA31-9FAEC27982B7}" name="Utility Savings ($)" totalsRowFunction="custom" dataDxfId="311" totalsRowDxfId="310" dataCellStyle="Comma">
      <calculatedColumnFormula array="1">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calculatedColumnFormula>
      <totalsRowFormula>_xlfn.AGGREGATE(9,6,Table_Perf_S01[Utility Savings ($)])</totalsRowFormula>
    </tableColumn>
    <tableColumn id="47" xr3:uid="{4BCCC658-3701-42B0-8B4E-94AC57CCE1C5}" name="LL97" dataDxfId="309" totalsRowDxfId="308" dataCellStyle="Comma"/>
    <tableColumn id="20" xr3:uid="{3F844331-14D8-4798-9D30-23380253D1C9}" name="LL97 Electricity (tCO2e)" dataDxfId="307" totalsRowDxfId="306" dataCellStyle="Comma">
      <calculatedColumnFormula array="1">Table_Perf_S01[[#This Row],[Electricity (kBtu)]]*INDEX(Table_UtilityDecarb[Carbon Intensity (tCO2e/kBtu)],MATCH(N$46&amp;Table_Perf_S01[[#This Row],[Year]],Table_UtilityDecarb[Fuel Type]&amp;Table_UtilityDecarb[Year],0))</calculatedColumnFormula>
    </tableColumn>
    <tableColumn id="23" xr3:uid="{A89A2395-0440-4994-80FB-72563F85BE4E}" name="LL97 Natural Gas (tCO2e)" dataDxfId="305" totalsRowDxfId="304" dataCellStyle="Comma">
      <calculatedColumnFormula>Table_Perf_S01[[#This Row],[Natural Gas (kBtu)]]*INDEX(Table_UtilityDecarb[Carbon Intensity (tCO2e/kBtu)],MATCH(O$46,Table_UtilityDecarb[Fuel Type],0))</calculatedColumnFormula>
    </tableColumn>
    <tableColumn id="24" xr3:uid="{9421E021-475E-44AE-9A7B-141BDFDF94EC}" name="LL97 Fuel Oil#2 (tCO2e)" dataDxfId="303" totalsRowDxfId="302" dataCellStyle="Comma">
      <calculatedColumnFormula>Table_Perf_S01[[#This Row],[Fuel Oil'#2 (kBtu)]]*INDEX(Table_UtilityDecarb[Carbon Intensity (tCO2e/kBtu)],MATCH(P$46,Table_UtilityDecarb[Fuel Type],0))</calculatedColumnFormula>
    </tableColumn>
    <tableColumn id="25" xr3:uid="{3ED9D3CE-C1D8-4882-B98D-3055C01A101C}" name="LL97 District Steam (tCO2e)" dataDxfId="301" totalsRowDxfId="300" dataCellStyle="Comma">
      <calculatedColumnFormula array="1">Table_Perf_S01[[#This Row],[District Steam (kBtu)]]*INDEX(Table_UtilityDecarb[Carbon Intensity (tCO2e/kBtu)],MATCH(Q$46&amp;Table_Perf_S01[[#This Row],[Year]],Table_UtilityDecarb[Fuel Type]&amp;Table_UtilityDecarb[Year],0))</calculatedColumnFormula>
    </tableColumn>
    <tableColumn id="21" xr3:uid="{BC47009D-95A3-484A-ACBB-38099D6622D9}" name="LL97 Other Fuel 1 (tCO2e)" dataDxfId="299" totalsRowDxfId="298" dataCellStyle="Comma">
      <calculatedColumnFormula array="1">IF(OR(Table_UtilityInputS1[Annual Other Fuel 1
(kBtu)]="",NOT(ISNUMBER(Table_UtilityInputS1[Annual Other Fuel 1
(kBtu)]))),0,Table_Perf_S01[[#This Row],[Other Fuel 1 (kBtu)]]*INDEX(Table_UtilityDecarb[Carbon Intensity (tCO2e/kBtu)],MATCH(R$46,Table_UtilityDecarb[Fuel Type],0)))</calculatedColumnFormula>
    </tableColumn>
    <tableColumn id="22" xr3:uid="{9106F935-5C0D-48CC-886A-AE907AA40D5C}" name="LL97 Other Fuel 2 (tCO2e)" dataDxfId="297" totalsRowDxfId="296" dataCellStyle="Comma">
      <calculatedColumnFormula array="1">IF(OR(Table_UtilityInputS1[Annual Other Fuel 2
(kBtu)]="",NOT(ISNUMBER(Table_UtilityInputS1[Annual Other Fuel 2
(kBtu)]))),0,Table_Perf_S01[[#This Row],[Other Fuel 2 (kBtu)]]*INDEX(Table_UtilityDecarb[Carbon Intensity (tCO2e/kBtu)],MATCH(S$46,Table_UtilityDecarb[Fuel Type],0)))</calculatedColumnFormula>
    </tableColumn>
    <tableColumn id="26" xr3:uid="{026EB51A-A435-418C-BF4C-445B209B7FB9}" name="LL97 Emissions After Measures" dataDxfId="295" totalsRowDxfId="294" dataCellStyle="Comma">
      <calculatedColumnFormula>IF(Table_Perf_S01[[#This Row],[Year]]&gt;2050,NA(),_xlfn.AGGREGATE(9,6,Table_Perf_S01[[#This Row],[LL97 Electricity (tCO2e)]:[LL97 Other Fuel 2 (tCO2e)]]))</calculatedColumnFormula>
    </tableColumn>
    <tableColumn id="41" xr3:uid="{D6ADED0F-7419-41AF-895D-E0C5DC56CABC}" name="LL97 Emissions Limit (tCO2e)" dataDxfId="293" totalsRowDxfId="292" dataCellStyle="Comma">
      <calculatedColumnFormula>IF(Table_Perf_S01[[#This Row],[Year]]&lt;2035,NA(),INDEX(Table_LimitsCalc_Sample1[Total Limits (tCO2e)],MATCH(Table_Perf_S01[[#This Row],[Year]],Table_LimitsCalc_Sample1[Year],0)))</calculatedColumnFormula>
    </tableColumn>
    <tableColumn id="65" xr3:uid="{08838DCD-993B-4532-B2F3-35C98F56171A}" name="LL97 Business-As-Usual Emissions" dataDxfId="291" totalsRowDxfId="290" dataCellStyle="Comma">
      <calculatedColumnFormula array="1">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calculatedColumnFormula>
    </tableColumn>
    <tableColumn id="64" xr3:uid="{39BEDBDA-63BA-4573-B13D-9B99ACB57D33}" name="LL97 BAU Excess Emissions" dataDxfId="289" totalsRowDxfId="288" dataCellStyle="Comma">
      <calculatedColumnFormula>IF(Table_Perf_S01[[#This Row],[LL97 Emissions Limit (tCO2e)]]="",0,MAX(0,Table_Perf_S01[[#This Row],[LL97 Business-As-Usual Emissions]]-Table_Perf_S01[[#This Row],[LL97 Emissions Limit (tCO2e)]]))</calculatedColumnFormula>
    </tableColumn>
    <tableColumn id="62" xr3:uid="{B39985DD-C011-4E9C-B51B-E984A76F6FCE}" name="LL97 Excess Emissions After Measures" dataDxfId="287" totalsRowDxfId="286" dataCellStyle="Comma">
      <calculatedColumnFormula>IF(Table_Perf_S01[[#This Row],[LL97 Emissions Limit (tCO2e)]]="",0,MAX(0,Table_Perf_S01[[#This Row],[LL97 Emissions After Measures]]-Table_Perf_S01[[#This Row],[LL97 Emissions Limit (tCO2e)]]))</calculatedColumnFormula>
    </tableColumn>
    <tableColumn id="66" xr3:uid="{9F6CE5CC-6C4D-4A2F-BEA3-EC05DB0C4039}" name="LL97 Emissions Reduced by Measures" totalsRowFunction="custom" dataDxfId="285" totalsRowDxfId="284" dataCellStyle="Comma">
      <calculatedColumnFormula>Table_Perf_S01[[#This Row],[LL97 Business-As-Usual Emissions]]-Table_Perf_S01[[#This Row],[LL97 Emissions After Measures]]</calculatedColumnFormula>
      <totalsRowFormula>_xlfn.AGGREGATE(9,6,Table_Perf_S01[LL97 Emissions Reduced by Measures])</totalsRowFormula>
    </tableColumn>
    <tableColumn id="52" xr3:uid="{87F37C47-B13D-4E29-B2A2-7A1ECD05F585}" name="LL97 Compliance Status" dataDxfId="283" totalsRowDxfId="282" dataCellStyle="Comma">
      <calculatedColumnFormula>IF(Table_Perf_S01[[#This Row],[Year]]&lt;2024,"Not in enforcement period",IF(Table_Perf_S01[[#This Row],[LL97 Excess Emissions After Measures]]=0,"Compliant","Not-Compliant"))</calculatedColumnFormula>
    </tableColumn>
    <tableColumn id="45" xr3:uid="{02AD9DE2-9F60-4FEE-A8A6-54F6E6E3AEEB}" name="LL97 Adjusted Penalty After Measures" totalsRowFunction="custom" dataDxfId="281" totalsRowDxfId="280" dataCellStyle="Comma">
      <calculatedColumnFormula>IFERROR(-268*Table_Perf_S01[[#This Row],[LL97 Excess Emissions After Measures]],0)</calculatedColumnFormula>
      <totalsRowFormula>_xlfn.AGGREGATE(9,6,Table_Perf_S01[LL97 Adjusted Penalty After Measures])</totalsRowFormula>
    </tableColumn>
    <tableColumn id="44" xr3:uid="{F116E3D9-EEEF-4193-8BFB-21D748B59324}" name="LL97 Penalty Avoided by Measures ($)" totalsRowFunction="custom" dataDxfId="279" totalsRowDxfId="278" dataCellStyle="Comma">
      <calculatedColumnFormula>IFERROR(268*MIN(Table_Perf_S01[[#This Row],[LL97 BAU Excess Emissions]],Table_Perf_S01[[#This Row],[LL97 Emissions Reduced by Measures]]),0)</calculatedColumnFormula>
      <totalsRowFormula>_xlfn.AGGREGATE(9,6,Table_Perf_S01[LL97 Penalty Avoided by Measures ($)])</totalsRowFormula>
    </tableColumn>
    <tableColumn id="56" xr3:uid="{0CA71E8E-1D36-4CA6-A877-C21FABC85A5B}" name="LL97 Compliance Mark" dataDxfId="277" totalsRowDxfId="276" dataCellStyle="Comma">
      <calculatedColumnFormula>IF(OR(Table_Perf_S01[[#This Row],[Year]]&lt;2024,Table_Perf_S01[[#This Row],[Year]]&gt;2050,ISERROR(Table_Perf_S01[[#This Row],[LL97 Adjusted Penalty After Measures]])),"",Table_Perf_S01[[#This Row],[LL97 Adjusted Penalty After Measures]])</calculatedColumnFormula>
    </tableColumn>
    <tableColumn id="46" xr3:uid="{DA028B78-2F34-4C98-8A7C-314039161DB2}" name="Annual Total Cash Flow ($)" totalsRowFunction="custom" dataDxfId="275" totalsRowDxfId="274" dataCellStyle="Comma">
      <calculatedColumnFormula>IF(Table_Perf_S01[[#This Row],[Year]]&gt;2050,NA(),_xlfn.AGGREGATE(9,6,Table_Perf_S01[[#This Row],[Measure Cost ($)]],Table_Perf_S01[[#This Row],[Utility Savings ($)]],Table_Perf_S01[[#This Row],[LL97 Penalty Avoided by Measures ($)]]))</calculatedColumnFormula>
      <totalsRowFormula>_xlfn.AGGREGATE(9,6,Table_Perf_S01[Annual Total Cash Flow ($)])</totalsRowFormula>
    </tableColumn>
    <tableColumn id="58" xr3:uid="{ED69C3EB-4542-4427-B1A3-1FAE2DEFE267}" name="Cumulative Net Savings ($)" dataDxfId="273" totalsRowDxfId="272" dataCellStyle="Comma">
      <calculatedColumnFormula>SUM($AD$48:AD48)</calculatedColumnFormula>
    </tableColumn>
    <tableColumn id="60" xr3:uid="{79F222B6-C304-476A-BD6C-83531DC9BE4A}" name="Annual Total Out-of-Pocket Cost ($)" totalsRowFunction="custom" dataDxfId="271" totalsRowDxfId="270" dataCellStyle="Comma">
      <calculatedColumnFormula>IF(Table_Perf_S01[[#This Row],[Year]]&gt;2050,NA(),_xlfn.AGGREGATE(9,6,Table_Perf_S01[[#This Row],[Measure Cost ($)]],Table_Perf_S01[[#This Row],[LL97 Adjusted Penalty After Measures]]))</calculatedColumnFormula>
      <totalsRowFormula>_xlfn.AGGREGATE(9,6,Table_Perf_S01[Annual Total Out-of-Pocket Cost ($)])</totalsRowFormula>
    </tableColumn>
    <tableColumn id="53" xr3:uid="{DA15E1E5-68A7-4BC9-A9DB-BE90EECF303A}" name="Yr" dataDxfId="269" totalsRowDxfId="268" dataCellStyle="Comma">
      <calculatedColumnFormula>Table_Perf_S01[[#This Row],[Year]]</calculatedColumnFormula>
    </tableColumn>
    <tableColumn id="1" xr3:uid="{3D5D7BB9-49FD-4B58-8CF8-5302CD0771B6}" name="Measure Qty" dataDxfId="267" totalsRowDxfId="266">
      <calculatedColumnFormula>COUNTIFS(Table_ECM_S01[When will the measure installation be complete and operational?],"&lt;="&amp;Table_Perf_S01[[#This Row],[Yr]],Table_ECM_S01[Would you like to Include this measure in the decarbonization pathway?],TRUE)</calculatedColumnFormula>
    </tableColumn>
    <tableColumn id="2" xr3:uid="{443A1D60-D385-499E-A1F8-EE9EA8596740}" name="Measure Label" dataDxfId="265" totalsRowDxfId="264">
      <calculatedColumnFormula>IF(Table_Perf_S01[[#This Row],[Measure Qty]]=AH47,"",_xlfn.CONCAT(Table_Perf_S01[[#This Row],[Measure Qty]], " Measures Done"))</calculatedColumnFormula>
    </tableColumn>
    <tableColumn id="3" xr3:uid="{1002DF71-CCBC-4E2F-A883-2E83384D34C2}" name="Measure Y Axis" dataDxfId="263" totalsRowDxfId="262">
      <calculatedColumnFormula>IF(Table_Perf_S01[[#This Row],[Measure Label]]="",NA(),Table_Perf_S01[[#This Row],[LL97 Emissions After Measures]])</calculatedColumnFormula>
    </tableColumn>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4EACFB-D2D8-4D04-A867-BBB3C3F14B7F}" name="Table_ECM_S01" displayName="Table_ECM_S01" ref="B18:S42" totalsRowShown="0" headerRowDxfId="261" dataDxfId="260">
  <autoFilter ref="B18:S42" xr:uid="{F64EACFB-D2D8-4D04-A867-BBB3C3F14B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9" xr3:uid="{BE0A5396-F932-438A-A9A6-9285CC04DEDC}" name="Scope Name" dataDxfId="259"/>
    <tableColumn id="22" xr3:uid="{77A36DDD-BB10-442C-9142-B2134730E1B3}" name="Measure ID" dataDxfId="258"/>
    <tableColumn id="2" xr3:uid="{38AAC237-26D2-473C-8EAE-C7B1C344E80B}" name="Measure Name" dataDxfId="257"/>
    <tableColumn id="3" xr3:uid="{2134B506-69E3-4CF2-91A0-E18897E2C569}" name="Cost to Install Measures ($)" dataDxfId="256"/>
    <tableColumn id="18" xr3:uid="{97C03738-603D-4FBE-A4AD-D86D3D04F267}" name="Incentives &amp; Rebates ($)" dataDxfId="255"/>
    <tableColumn id="4" xr3:uid="{2201BFD5-F179-4E1C-A8B1-35624F98E8C1}" name="Annual Electricity Savings_x000a_(kWh)" dataDxfId="254" dataCellStyle="Comma"/>
    <tableColumn id="5" xr3:uid="{5566F5DE-3DA6-40EA-A9F5-BF6C9A9CB23B}" name="Annual Natural Gas Savings_x000a_(therm)" dataDxfId="253" dataCellStyle="Comma"/>
    <tableColumn id="6" xr3:uid="{28F0A7F1-1F89-4E51-B3A3-7F8D0DC69A63}" name="Annual District Steam Savings_x000a_(Mlb for ConEd, klb for others)" dataDxfId="252" dataCellStyle="Comma"/>
    <tableColumn id="7" xr3:uid="{D8FF7262-CFC4-4D59-9618-7E684101DBC5}" name="Annual Fuel Oil#2 Savings_x000a_(Gallon)" dataDxfId="251" dataCellStyle="Comma"/>
    <tableColumn id="14" xr3:uid="{9ED74413-5BE1-4D98-8CFC-7E48DFE1B4F2}" name="Annual Other Fuel 1 Savings_x000a_(kBtu)" dataDxfId="250" dataCellStyle="Comma"/>
    <tableColumn id="16" xr3:uid="{2D0E72FD-971B-4CE2-84D8-FB9CEB5C6387}" name="Annual Other Fuel 2 Savings_x000a_(kBtu)" dataDxfId="249" dataCellStyle="Comma"/>
    <tableColumn id="8" xr3:uid="{CE1C2CCD-A29D-4177-85B3-D2ED2D1795FE}" name="Total Annual Energy Savings_x000a_(kBtu)" dataDxfId="248">
      <calculatedColumnFormula>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calculatedColumnFormula>
    </tableColumn>
    <tableColumn id="13" xr3:uid="{D52BD076-BB82-49CE-82F9-AEB4F01AF265}" name="Total Annual Utility Savings from Audit (for reference only)_x000a_($)" dataDxfId="247"/>
    <tableColumn id="10" xr3:uid="{B18A0D1A-FA67-4298-87FB-71EA7AA598FF}" name="Total Annual Utility Savings using Default Utility rates _x000a_($)" dataDxfId="246">
      <calculatedColumnFormula array="1">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calculatedColumnFormula>
    </tableColumn>
    <tableColumn id="19" xr3:uid="{800F917F-8738-41FF-939A-4B939BFEF97D}" name="Simple Payback_x000a_(Yr)" dataDxfId="245">
      <calculatedColumnFormula>IF(Table_ECM_S01[[#This Row],[Total Annual Utility Savings using Default Utility rates 
($)]]=0,"",(Table_ECM_S01[[#This Row],[Cost to Install Measures ($)]]-Table_ECM_S01[[#This Row],[Incentives &amp; Rebates ($)]])/Table_ECM_S01[[#This Row],[Total Annual Utility Savings using Default Utility rates 
($)]])</calculatedColumnFormula>
    </tableColumn>
    <tableColumn id="20" xr3:uid="{E9CBDAEF-4CAD-419D-89A4-B9CC8AC18BD8}" name="Would you like to Include this measure in the decarbonization pathway?" dataDxfId="244"/>
    <tableColumn id="21" xr3:uid="{F7CFDCF6-392E-4F77-A652-D46AB7DCB8ED}" name="When will the measure installation be complete and operational?" dataDxfId="243"/>
    <tableColumn id="1" xr3:uid="{60BD0DBC-F023-40E2-85FC-7384FC2A1637}" name="Notes" dataDxfId="242"/>
  </tableColumns>
  <tableStyleInfo name="TableStyleLight1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F6C7A45-62F4-43F1-ABC4-6BE61C3AC1BC}" name="Table_AreaInputS1" displayName="Table_AreaInputS1" ref="D6:E14" totalsRowShown="0" headerRowDxfId="241" dataDxfId="240" dataCellStyle="Input">
  <autoFilter ref="D6:E14" xr:uid="{7F6C7A45-62F4-43F1-ABC4-6BE61C3AC1BC}">
    <filterColumn colId="0" hiddenButton="1"/>
    <filterColumn colId="1" hiddenButton="1"/>
  </autoFilter>
  <tableColumns count="2">
    <tableColumn id="1" xr3:uid="{DEA3F613-0928-426F-9453-AC39102495AA}" name="Space Type" dataDxfId="239" dataCellStyle="Input"/>
    <tableColumn id="2" xr3:uid="{A21DBD36-A5B2-4488-90DB-FCDDB6690005}" name="Sq.Ft." dataDxfId="238" dataCellStyle="Input"/>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9538BC96-4145-4279-8318-A379CD8FEA51}" name="Table_UtilityInputS1" displayName="Table_UtilityInputS1" ref="G6:N7" totalsRowShown="0" headerRowDxfId="237" dataDxfId="236">
  <autoFilter ref="G6:N7" xr:uid="{9538BC96-4145-4279-8318-A379CD8FEA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2EFDAE5-19D5-47F7-ADEC-70450F5D849F}" name="Usage Year" dataDxfId="235" dataCellStyle="Input"/>
    <tableColumn id="2" xr3:uid="{3CBFA4EE-ED52-42DC-8CCA-7A88182EDCA4}" name="Annual Electricity _x000a_(kWh)" dataDxfId="234" dataCellStyle="Input"/>
    <tableColumn id="3" xr3:uid="{D13DC724-C11F-440D-8D17-AE86967F48B8}" name="Annual Natural Gas  _x000a_(therm)" dataDxfId="233" dataCellStyle="Input"/>
    <tableColumn id="4" xr3:uid="{D7A08A89-837F-4A7C-86C3-1778FB46F228}" name="Annual District Steam  _x000a_(Mlb for ConEd, kLb for others)" dataDxfId="232" dataCellStyle="Input"/>
    <tableColumn id="5" xr3:uid="{1F812420-EC7C-4EBF-B390-43ECBAEC66F0}" name="Annual Fuel Oil#2_x000a_(Gallon)" dataDxfId="231" dataCellStyle="Input"/>
    <tableColumn id="6" xr3:uid="{2B425444-8F0D-4ECC-8C62-CC5C99986DD3}" name="Annual Other Fuel 1_x000a_(kBtu)" dataDxfId="230" dataCellStyle="Input"/>
    <tableColumn id="7" xr3:uid="{580AF095-E58B-477E-B6F2-1B863D323D94}" name="Annual Other Fuel 2_x000a_(kBtu)" dataDxfId="229" dataCellStyle="Input"/>
    <tableColumn id="8" xr3:uid="{8A836324-F4C4-47CA-8AA8-CA5180C0EC5E}" name="Total Emissions (tCO2e)" dataDxfId="228">
      <calculatedColumnFormula array="1">Table_UtilityInputS1[[#This Row],[Annual Electricity 
(kWh)]]*3.412*INDEX(Table_UtilityDecarb[Carbon Intensity (tCO2e/kBtu)],MATCH("Electricity"&amp;Table_UtilityInputS1[[#This Row],[Usage Year]],Table_UtilityDecarb[Fuel Type]&amp;Table_UtilityDecarb[Year],0))+
Table_UtilityInputS1[[#This Row],[Annual Natural Gas  
(therm)]]*100*INDEX(Table_UtilityDecarb[Carbon Intensity (tCO2e/kBtu)],MATCH("Natural Gas",Table_UtilityDecarb[Fuel Type],0))+
Table_UtilityInputS1[[#This Row],[Annual District Steam  
(Mlb for ConEd, kLb for others)]]*1194*INDEX(Table_UtilityDecarb[Carbon Intensity (tCO2e/kBtu)],MATCH("District Steam"&amp;Table_UtilityInputS1[[#This Row],[Usage Year]],Table_UtilityDecarb[Fuel Type]&amp;Table_UtilityDecarb[Year],0))+
Table_UtilityInputS1[[#This Row],[Annual Fuel Oil'#2
(Gallon)]]*138*INDEX(Table_UtilityDecarb[Carbon Intensity (tCO2e/kBtu)],MATCH("Fuel Oil #2",Table_UtilityDecarb[Fuel Type],0))+
IF(ISNUMBER(Table_UtilityInputS1[[#This Row],[Annual Other Fuel 1
(kBtu)]]),Table_UtilityInputS1[[#This Row],[Annual Other Fuel 1
(kBtu)]]*INDEX(Table_UtilityDecarb[Carbon Intensity (tCO2e/kBtu)],MATCH($L$8,Table_UtilityDecarb[Fuel Type],0)),0)+
IF(ISNUMBER(Table_UtilityInputS1[[#This Row],[Annual Other Fuel 2
(kBtu)]]),Table_UtilityInputS1[[#This Row],[Annual Other Fuel 2
(kBtu)]]*INDEX(Table_UtilityDecarb[Carbon Intensity (tCO2e/kBtu)],MATCH($M$8,Table_UtilityDecarb[Fuel Type],0)),0)</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0EB69B-22D0-4D80-BFC0-3CE9E4FC124D}" name="Table_SummaryByScope_S01" displayName="Table_SummaryByScope_S01" ref="U18:Z42" totalsRowShown="0" headerRowDxfId="227" dataDxfId="226">
  <autoFilter ref="U18:Z42" xr:uid="{300EB69B-22D0-4D80-BFC0-3CE9E4FC124D}"/>
  <tableColumns count="6">
    <tableColumn id="1" xr3:uid="{E1DBCF2D-2DA3-4857-8ABA-096A119A8BB4}" name="Scope Name" dataDxfId="225"/>
    <tableColumn id="2" xr3:uid="{67FF7B08-FCB2-4ABD-9DBE-D40120FF4DB5}" name="Cost to Install Measures ($)" dataDxfId="224" dataCellStyle="Currency">
      <calculatedColumnFormula>IF(Table_SummaryByScope_S01[[#This Row],[Scope Name]]="","",SUMIFS(Table_ECM_S01[Cost to Install Measures ($)],Table_ECM_S01[Scope Name],Table_SummaryByScope_S01[[#This Row],[Scope Name]]))</calculatedColumnFormula>
    </tableColumn>
    <tableColumn id="6" xr3:uid="{244C5B4C-15CC-495C-9C71-F38C5EDB3832}" name="Incentives &amp; Rebates ($)" dataDxfId="223" dataCellStyle="Currency">
      <calculatedColumnFormula>IF(Table_SummaryByScope_S01[[#This Row],[Scope Name]]="","",SUMIFS(Table_ECM_S01[Incentives &amp; Rebates ($)],Table_ECM_S01[Scope Name],Table_SummaryByScope_S01[[#This Row],[Scope Name]]))</calculatedColumnFormula>
    </tableColumn>
    <tableColumn id="3" xr3:uid="{7F4562BE-06FE-48EF-A013-B0F9C6A88AD1}" name="Annual Energy Savings_x000a_(kBtu)" dataDxfId="222">
      <calculatedColumnFormula>IF(Table_SummaryByScope_S01[[#This Row],[Scope Name]]="","",SUMIFS(Table_ECM_S01[Total Annual Energy Savings
(kBtu)],Table_ECM_S01[Scope Name],Table_SummaryByScope_S01[[#This Row],[Scope Name]]))</calculatedColumnFormula>
    </tableColumn>
    <tableColumn id="4" xr3:uid="{C45F0B82-3BBC-4BCD-ABAD-343763AC2567}" name="Annual Utility Savings_x000a_($)" dataDxfId="221">
      <calculatedColumnFormula>IF(Table_SummaryByScope_S01[[#This Row],[Scope Name]]="","",SUMIFS(Table_ECM_S01[Total Annual Utility Savings using Default Utility rates 
($)],Table_ECM_S01[Scope Name],Table_SummaryByScope_S01[[#This Row],[Scope Name]]))</calculatedColumnFormula>
    </tableColumn>
    <tableColumn id="5" xr3:uid="{3E3459F9-5E94-4891-AC7A-D25A5762F2A7}" name="Simple Payback_x000a_(Yr)" dataDxfId="220">
      <calculatedColumnFormula>IF(OR(Table_SummaryByScope_S01[[#This Row],[Scope Name]]="",Table_SummaryByScope_S01[[#This Row],[Annual Utility Savings
($)]]=0),"",(Table_SummaryByScope_S01[[#This Row],[Cost to Install Measures ($)]]-Table_SummaryByScope_S01[[#This Row],[Incentives &amp; Rebates ($)]])/Table_SummaryByScope_S01[[#This Row],[Annual Utility Savings
($)]])</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99BC8-6CDC-4627-94F5-814D40445B1A}" name="Table_LL97SpaceLimits" displayName="Table_LL97SpaceLimits" ref="M11:AN71" totalsRowShown="0" headerRowDxfId="219" dataDxfId="217" headerRowBorderDxfId="218" tableBorderDxfId="216" totalsRowBorderDxfId="215">
  <autoFilter ref="M11:AN71" xr:uid="{D6A99BC8-6CDC-4627-94F5-814D40445B1A}"/>
  <tableColumns count="28">
    <tableColumn id="1" xr3:uid="{CB456FF3-F049-4102-8B0E-2EAD26DD358A}" name="Property Type" dataDxfId="214"/>
    <tableColumn id="2" xr3:uid="{027F1451-76E4-431A-B0DC-E48D0B9308AF}" name="2024" dataDxfId="213"/>
    <tableColumn id="7" xr3:uid="{413C752D-7800-40E8-8FE0-9E95C25A1172}" name="2025" dataDxfId="212">
      <calculatedColumnFormula>Table_LL97SpaceLimits[[#This Row],[2024]]</calculatedColumnFormula>
    </tableColumn>
    <tableColumn id="8" xr3:uid="{B0C048A0-1495-4DC0-ADD3-4FC996FB370A}" name="2026" dataDxfId="211">
      <calculatedColumnFormula>Table_LL97SpaceLimits[[#This Row],[2025]]</calculatedColumnFormula>
    </tableColumn>
    <tableColumn id="9" xr3:uid="{D82F0781-7291-4741-A663-D339A41BD8D6}" name="2027" dataDxfId="210">
      <calculatedColumnFormula>Table_LL97SpaceLimits[[#This Row],[2026]]</calculatedColumnFormula>
    </tableColumn>
    <tableColumn id="10" xr3:uid="{0FF8E411-7164-498F-91A8-9B3A55CE5BF5}" name="2028" dataDxfId="209">
      <calculatedColumnFormula>Table_LL97SpaceLimits[[#This Row],[2027]]</calculatedColumnFormula>
    </tableColumn>
    <tableColumn id="11" xr3:uid="{5E136CCE-051A-46B9-9998-0A25B4369B47}" name="2029" dataDxfId="208">
      <calculatedColumnFormula>Table_LL97SpaceLimits[[#This Row],[2028]]</calculatedColumnFormula>
    </tableColumn>
    <tableColumn id="3" xr3:uid="{E23C8B3C-4CF5-4789-A053-66B1493BE2AF}" name="2030" dataDxfId="207"/>
    <tableColumn id="12" xr3:uid="{CCA4F8D3-8BB4-46F1-8E9C-83B62D8DA6F8}" name="2031" dataDxfId="206">
      <calculatedColumnFormula>Table_LL97SpaceLimits[[#This Row],[2030]]</calculatedColumnFormula>
    </tableColumn>
    <tableColumn id="13" xr3:uid="{FD99E87E-0F20-452E-BCF5-4D957E5B83F2}" name="2032" dataDxfId="205">
      <calculatedColumnFormula>Table_LL97SpaceLimits[[#This Row],[2031]]</calculatedColumnFormula>
    </tableColumn>
    <tableColumn id="14" xr3:uid="{959B3550-CBBF-49BB-8DF7-6625B3A424EF}" name="2033" dataDxfId="204">
      <calculatedColumnFormula>Table_LL97SpaceLimits[[#This Row],[2032]]</calculatedColumnFormula>
    </tableColumn>
    <tableColumn id="15" xr3:uid="{1DDC48A0-427D-44CB-92F8-0C18029A665E}" name="2034" dataDxfId="203">
      <calculatedColumnFormula>Table_LL97SpaceLimits[[#This Row],[2033]]</calculatedColumnFormula>
    </tableColumn>
    <tableColumn id="4" xr3:uid="{95510713-9361-4BC0-92CA-9E72B15406DD}" name="2035" dataDxfId="202"/>
    <tableColumn id="17" xr3:uid="{8F13898A-0B2F-4E7D-A0E5-5DBD7E83D748}" name="2036" dataDxfId="201">
      <calculatedColumnFormula>Table_LL97SpaceLimits[[#This Row],[2035]]</calculatedColumnFormula>
    </tableColumn>
    <tableColumn id="18" xr3:uid="{0E1FC859-E3A5-438C-964B-D8A889BF9EAA}" name="2037" dataDxfId="200">
      <calculatedColumnFormula>Table_LL97SpaceLimits[[#This Row],[2036]]</calculatedColumnFormula>
    </tableColumn>
    <tableColumn id="19" xr3:uid="{7CA6DE50-651F-45E4-9A73-7FD2D8D32F74}" name="2038" dataDxfId="199">
      <calculatedColumnFormula>Table_LL97SpaceLimits[[#This Row],[2037]]</calculatedColumnFormula>
    </tableColumn>
    <tableColumn id="20" xr3:uid="{4928BB4E-1E50-4A22-86F6-CD14DBD9C0D3}" name="2039" dataDxfId="198">
      <calculatedColumnFormula>Table_LL97SpaceLimits[[#This Row],[2038]]</calculatedColumnFormula>
    </tableColumn>
    <tableColumn id="5" xr3:uid="{DD7EE277-50D5-4076-8F0B-FD282263B701}" name="2040" dataDxfId="197"/>
    <tableColumn id="23" xr3:uid="{DE858D68-3504-4552-8D8C-2E5060F23068}" name="2041" dataDxfId="196">
      <calculatedColumnFormula>Table_LL97SpaceLimits[[#This Row],[2040]]</calculatedColumnFormula>
    </tableColumn>
    <tableColumn id="24" xr3:uid="{BDB9D218-35A6-4844-84D5-C184B5DBB49E}" name="2042" dataDxfId="195">
      <calculatedColumnFormula>Table_LL97SpaceLimits[[#This Row],[2041]]</calculatedColumnFormula>
    </tableColumn>
    <tableColumn id="21" xr3:uid="{BF197015-60E5-4A0C-8F61-F6634F03F5E8}" name="2043" dataDxfId="194">
      <calculatedColumnFormula>Table_LL97SpaceLimits[[#This Row],[2042]]</calculatedColumnFormula>
    </tableColumn>
    <tableColumn id="22" xr3:uid="{46CA19D3-1272-4694-A19C-2F8BF2EFEBFB}" name="2044" dataDxfId="193">
      <calculatedColumnFormula>Table_LL97SpaceLimits[[#This Row],[2043]]</calculatedColumnFormula>
    </tableColumn>
    <tableColumn id="25" xr3:uid="{14554096-E567-4DD7-94A4-5BB84FCA9A82}" name="2045" dataDxfId="192">
      <calculatedColumnFormula>Table_LL97SpaceLimits[[#This Row],[2044]]</calculatedColumnFormula>
    </tableColumn>
    <tableColumn id="26" xr3:uid="{A50CF832-4F64-44BA-A801-EF3C6C63E81A}" name="2046" dataDxfId="191">
      <calculatedColumnFormula>Table_LL97SpaceLimits[[#This Row],[2045]]</calculatedColumnFormula>
    </tableColumn>
    <tableColumn id="27" xr3:uid="{3A3C561B-C9BE-4CFA-A22F-C3A72C3E3E5A}" name="2047" dataDxfId="190">
      <calculatedColumnFormula>Table_LL97SpaceLimits[[#This Row],[2046]]</calculatedColumnFormula>
    </tableColumn>
    <tableColumn id="28" xr3:uid="{BBF49A97-CDCF-4179-86C1-E6E707CE792D}" name="2048" dataDxfId="189">
      <calculatedColumnFormula>Table_LL97SpaceLimits[[#This Row],[2047]]</calculatedColumnFormula>
    </tableColumn>
    <tableColumn id="29" xr3:uid="{7FC7E469-F543-4238-8293-D401B98701F4}" name="2049" dataDxfId="188">
      <calculatedColumnFormula>Table_LL97SpaceLimits[[#This Row],[2048]]</calculatedColumnFormula>
    </tableColumn>
    <tableColumn id="6" xr3:uid="{34B151CB-0BAB-4972-A84F-DAB92C95A14E}" name="2050" dataDxfId="187"/>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A02D7964-7E81-4969-863A-266DB579627C}" name="Table_LimitsCalc_Calculator" displayName="Table_LimitsCalc_Calculator" ref="AQ11:BH38" totalsRowShown="0" headerRowDxfId="186" dataDxfId="185">
  <autoFilter ref="AQ11:BH38" xr:uid="{A02D7964-7E81-4969-863A-266DB57962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E2E1AA60-5525-4221-8B5E-C444C234E416}" name="Year" dataDxfId="184"/>
    <tableColumn id="2" xr3:uid="{8A6BCDB1-1E40-4985-88E8-0CCA77847387}" name="Space 1 Limit Intensity" dataDxfId="183">
      <calculatedColumnFormula array="1">INDEX(Table_LL97SpaceLimits[],MATCH(AR$10,Table_LL97SpaceLimits[Property Type],0),MATCH(Table_LimitsCalc_Calculator[[#This Row],[Year]],VALUE(Table_LL97SpaceLimits[#Headers]),0))</calculatedColumnFormula>
    </tableColumn>
    <tableColumn id="3" xr3:uid="{19523BF4-7350-46AC-9291-2B3D9388595F}" name="Space 2 Limit Intensity" dataDxfId="182">
      <calculatedColumnFormula array="1">INDEX(Table_LL97SpaceLimits[],MATCH(AS$10,Table_LL97SpaceLimits[Property Type],0),MATCH(Table_LimitsCalc_Calculator[[#This Row],[Year]],VALUE(Table_LL97SpaceLimits[#Headers]),0))</calculatedColumnFormula>
    </tableColumn>
    <tableColumn id="4" xr3:uid="{65EBFEF7-A887-45F1-8104-B45BF4868454}" name="Space 3 Limit Intensity" dataDxfId="181">
      <calculatedColumnFormula array="1">INDEX(Table_LL97SpaceLimits[],MATCH(AT$10,Table_LL97SpaceLimits[Property Type],0),MATCH(Table_LimitsCalc_Calculator[[#This Row],[Year]],VALUE(Table_LL97SpaceLimits[#Headers]),0))</calculatedColumnFormula>
    </tableColumn>
    <tableColumn id="5" xr3:uid="{C99304B4-23F9-4DE6-AD36-E05F2E595352}" name="Space 4 Limit Intensity" dataDxfId="180">
      <calculatedColumnFormula array="1">INDEX(Table_LL97SpaceLimits[],MATCH(AU$10,Table_LL97SpaceLimits[Property Type],0),MATCH(Table_LimitsCalc_Calculator[[#This Row],[Year]],VALUE(Table_LL97SpaceLimits[#Headers]),0))</calculatedColumnFormula>
    </tableColumn>
    <tableColumn id="6" xr3:uid="{DB0A3403-D511-456F-AE22-26D5BFA3E1FA}" name="Space 5 Limit Intensity" dataDxfId="179">
      <calculatedColumnFormula array="1">INDEX(Table_LL97SpaceLimits[],MATCH(AV$10,Table_LL97SpaceLimits[Property Type],0),MATCH(Table_LimitsCalc_Calculator[[#This Row],[Year]],VALUE(Table_LL97SpaceLimits[#Headers]),0))</calculatedColumnFormula>
    </tableColumn>
    <tableColumn id="7" xr3:uid="{F9D3BFC2-321F-4100-B65D-AC6E73BB39A7}" name="Space 6 Limit Intensity" dataDxfId="178">
      <calculatedColumnFormula array="1">INDEX(Table_LL97SpaceLimits[],MATCH(AW$10,Table_LL97SpaceLimits[Property Type],0),MATCH(Table_LimitsCalc_Calculator[[#This Row],[Year]],VALUE(Table_LL97SpaceLimits[#Headers]),0))</calculatedColumnFormula>
    </tableColumn>
    <tableColumn id="8" xr3:uid="{1FB08EF5-F9C1-4177-9BDA-E20CB66B6C91}" name="Space 7 Limit Intensity" dataDxfId="177">
      <calculatedColumnFormula array="1">INDEX(Table_LL97SpaceLimits[],MATCH(AX$10,Table_LL97SpaceLimits[Property Type],0),MATCH(Table_LimitsCalc_Calculator[[#This Row],[Year]],VALUE(Table_LL97SpaceLimits[#Headers]),0))</calculatedColumnFormula>
    </tableColumn>
    <tableColumn id="9" xr3:uid="{3B5B4621-3D9B-4860-AE95-8FE458DC8D53}" name="Space 8 Limit Intensity" dataDxfId="176">
      <calculatedColumnFormula array="1">INDEX(Table_LL97SpaceLimits[],MATCH(AY$10,Table_LL97SpaceLimits[Property Type],0),MATCH(Table_LimitsCalc_Calculator[[#This Row],[Year]],VALUE(Table_LL97SpaceLimits[#Headers]),0))</calculatedColumnFormula>
    </tableColumn>
    <tableColumn id="10" xr3:uid="{65CB9374-1881-4678-A3B6-5895C3A73738}" name="Space 1 Limit (tCO2e)" dataDxfId="175">
      <calculatedColumnFormula>Table_LimitsCalc_Calculator[[#This Row],[Space 1 Limit Intensity]]*AR$9</calculatedColumnFormula>
    </tableColumn>
    <tableColumn id="11" xr3:uid="{512AD17F-B5DA-4FF5-BBE9-83881CE59E1A}" name="Space 2 Limit (tCO2e)" dataDxfId="174">
      <calculatedColumnFormula>Table_LimitsCalc_Calculator[[#This Row],[Space 2 Limit Intensity]]*AS$9</calculatedColumnFormula>
    </tableColumn>
    <tableColumn id="12" xr3:uid="{A57F14B4-E94A-49A1-9190-7819359575B2}" name="Space 3 Limit (tCO2e)" dataDxfId="173">
      <calculatedColumnFormula>Table_LimitsCalc_Calculator[[#This Row],[Space 3 Limit Intensity]]*AT$9</calculatedColumnFormula>
    </tableColumn>
    <tableColumn id="13" xr3:uid="{11E09347-B278-42E0-857B-2DFE0AA3DD37}" name="Space 4 Limit (tCO2e)" dataDxfId="172">
      <calculatedColumnFormula>Table_LimitsCalc_Calculator[[#This Row],[Space 4 Limit Intensity]]*AU$9</calculatedColumnFormula>
    </tableColumn>
    <tableColumn id="14" xr3:uid="{6A16DC91-1785-425E-80D2-BA92817752BC}" name="Space 5 Limit (tCO2e)" dataDxfId="171">
      <calculatedColumnFormula>Table_LimitsCalc_Calculator[[#This Row],[Space 5 Limit Intensity]]*AV$9</calculatedColumnFormula>
    </tableColumn>
    <tableColumn id="15" xr3:uid="{7C357785-2B37-4D2B-A162-2CED0D63C506}" name="Space 6 Limit (tCO2e)" dataDxfId="170">
      <calculatedColumnFormula>Table_LimitsCalc_Calculator[[#This Row],[Space 6 Limit Intensity]]*AW$9</calculatedColumnFormula>
    </tableColumn>
    <tableColumn id="17" xr3:uid="{29930052-07AD-44E6-B395-6E17B5F4AB5F}" name="Space 7 Limit (tCO2e)" dataDxfId="169">
      <calculatedColumnFormula>Table_LimitsCalc_Calculator[[#This Row],[Space 7 Limit Intensity]]*AX$9</calculatedColumnFormula>
    </tableColumn>
    <tableColumn id="18" xr3:uid="{86AA2459-397F-4CD6-87C5-0A017C8CF5B0}" name="Space 8 Limit (tCO2e)" dataDxfId="168">
      <calculatedColumnFormula>Table_LimitsCalc_Calculator[[#This Row],[Space 8 Limit Intensity]]*AY$9</calculatedColumnFormula>
    </tableColumn>
    <tableColumn id="16" xr3:uid="{6461AC54-0698-450C-B7BA-F6118424583E}" name="Total Limits (tCO2e)" dataDxfId="167">
      <calculatedColumnFormula>_xlfn.AGGREGATE(9,6,Table_LimitsCalc_Calculator[[#This Row],[Space 1 Limit (tCO2e)]:[Space 8 Limit (tCO2e)]])</calculatedColumnFormula>
    </tableColumn>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A7045F4-3BA0-4825-B94D-5731694378F6}" name="Table_LimitsCalc_Sample1" displayName="Table_LimitsCalc_Sample1" ref="BK11:CB38" totalsRowShown="0" headerRowDxfId="166" dataDxfId="165">
  <autoFilter ref="BK11:CB38" xr:uid="{5A7045F4-3BA0-4825-B94D-5731694378F6}"/>
  <tableColumns count="18">
    <tableColumn id="1" xr3:uid="{0BEA07E7-F045-4DB6-AA4C-399397E12494}" name="Year" dataDxfId="164"/>
    <tableColumn id="2" xr3:uid="{19F97456-3D3E-4AE7-8CAF-7850491430D6}" name="Space 1 Limit Intensity" dataDxfId="163">
      <calculatedColumnFormula array="1">INDEX(Table_LL97SpaceLimits[],MATCH(BL$10,Table_LL97SpaceLimits[Property Type],0),MATCH(Table_LimitsCalc_Sample1[[#This Row],[Year]],VALUE(Table_LL97SpaceLimits[#Headers]),0))</calculatedColumnFormula>
    </tableColumn>
    <tableColumn id="3" xr3:uid="{EFF01CCD-D870-4330-BC76-B4C40C535AE7}" name="Space 2 Limit Intensity" dataDxfId="162">
      <calculatedColumnFormula array="1">INDEX(Table_LL97SpaceLimits[],MATCH(BM$10,Table_LL97SpaceLimits[Property Type],0),MATCH(Table_LimitsCalc_Sample1[[#This Row],[Year]],VALUE(Table_LL97SpaceLimits[#Headers]),0))</calculatedColumnFormula>
    </tableColumn>
    <tableColumn id="4" xr3:uid="{0D6127B6-512B-4E0F-80F4-AF3EDD99861C}" name="Space 3 Limit Intensity" dataDxfId="161">
      <calculatedColumnFormula array="1">INDEX(Table_LL97SpaceLimits[],MATCH(BN$10,Table_LL97SpaceLimits[Property Type],0),MATCH(Table_LimitsCalc_Sample1[[#This Row],[Year]],VALUE(Table_LL97SpaceLimits[#Headers]),0))</calculatedColumnFormula>
    </tableColumn>
    <tableColumn id="5" xr3:uid="{3B35DEEE-3EB6-4098-82B1-AF23E7935707}" name="Space 4 Limit Intensity" dataDxfId="160">
      <calculatedColumnFormula array="1">INDEX(Table_LL97SpaceLimits[],MATCH(BO$10,Table_LL97SpaceLimits[Property Type],0),MATCH(Table_LimitsCalc_Sample1[[#This Row],[Year]],VALUE(Table_LL97SpaceLimits[#Headers]),0))</calculatedColumnFormula>
    </tableColumn>
    <tableColumn id="6" xr3:uid="{BE5A1FB6-7761-4032-A7C6-5C3C3067BFB1}" name="Space 5 Limit Intensity" dataDxfId="159">
      <calculatedColumnFormula array="1">INDEX(Table_LL97SpaceLimits[],MATCH(BP$10,Table_LL97SpaceLimits[Property Type],0),MATCH(Table_LimitsCalc_Sample1[[#This Row],[Year]],VALUE(Table_LL97SpaceLimits[#Headers]),0))</calculatedColumnFormula>
    </tableColumn>
    <tableColumn id="7" xr3:uid="{78A80743-3968-4658-AA19-5C3994E7942C}" name="Space 6 Limit Intensity" dataDxfId="158">
      <calculatedColumnFormula array="1">INDEX(Table_LL97SpaceLimits[],MATCH(BQ$10,Table_LL97SpaceLimits[Property Type],0),MATCH(Table_LimitsCalc_Sample1[[#This Row],[Year]],VALUE(Table_LL97SpaceLimits[#Headers]),0))</calculatedColumnFormula>
    </tableColumn>
    <tableColumn id="8" xr3:uid="{F85C501B-D256-41F0-AE18-4A797E5F813C}" name="Space 7 Limit Intensity" dataDxfId="157">
      <calculatedColumnFormula array="1">INDEX(Table_LL97SpaceLimits[],MATCH(BR$10,Table_LL97SpaceLimits[Property Type],0),MATCH(Table_LimitsCalc_Sample1[[#This Row],[Year]],VALUE(Table_LL97SpaceLimits[#Headers]),0))</calculatedColumnFormula>
    </tableColumn>
    <tableColumn id="9" xr3:uid="{ABBC1AD6-CE46-433A-839D-5C874DE6798B}" name="Space 8 Limit Intensity" dataDxfId="156">
      <calculatedColumnFormula array="1">INDEX(Table_LL97SpaceLimits[],MATCH(BS$10,Table_LL97SpaceLimits[Property Type],0),MATCH(Table_LimitsCalc_Sample1[[#This Row],[Year]],VALUE(Table_LL97SpaceLimits[#Headers]),0))</calculatedColumnFormula>
    </tableColumn>
    <tableColumn id="10" xr3:uid="{94083C25-6A75-4014-9FAB-8DB5E68ECA98}" name="Space 1 Limit (tCO2e)" dataDxfId="155">
      <calculatedColumnFormula>Table_LimitsCalc_Sample1[[#This Row],[Space 1 Limit Intensity]]*BL$9</calculatedColumnFormula>
    </tableColumn>
    <tableColumn id="11" xr3:uid="{E6038895-BB70-44F7-9641-6973B174A904}" name="Space 2 Limit (tCO2e)" dataDxfId="154">
      <calculatedColumnFormula>Table_LimitsCalc_Sample1[[#This Row],[Space 2 Limit Intensity]]*BM$9</calculatedColumnFormula>
    </tableColumn>
    <tableColumn id="12" xr3:uid="{F67E7BD0-CE45-4518-B7F8-5E56055AF191}" name="Space 3 Limit (tCO2e)" dataDxfId="153">
      <calculatedColumnFormula>Table_LimitsCalc_Sample1[[#This Row],[Space 3 Limit Intensity]]*BN$9</calculatedColumnFormula>
    </tableColumn>
    <tableColumn id="13" xr3:uid="{1F680CEC-38F7-4C04-8235-72693AC44B58}" name="Space 4 Limit (tCO2e)" dataDxfId="152">
      <calculatedColumnFormula>Table_LimitsCalc_Sample1[[#This Row],[Space 4 Limit Intensity]]*BO$9</calculatedColumnFormula>
    </tableColumn>
    <tableColumn id="14" xr3:uid="{D901C8AA-D847-4279-9BDE-4CA9B20567DE}" name="Space 5 Limit (tCO2e)" dataDxfId="151">
      <calculatedColumnFormula>Table_LimitsCalc_Sample1[[#This Row],[Space 5 Limit Intensity]]*BP$9</calculatedColumnFormula>
    </tableColumn>
    <tableColumn id="15" xr3:uid="{DE51F2E5-5D97-4B3C-B389-18B1D7C5E597}" name="Space 6 Limit (tCO2e)" dataDxfId="150">
      <calculatedColumnFormula>Table_LimitsCalc_Sample1[[#This Row],[Space 6 Limit Intensity]]*BQ$9</calculatedColumnFormula>
    </tableColumn>
    <tableColumn id="17" xr3:uid="{25345632-B02D-42EA-BAA3-0FD07DC41B40}" name="Space 7 Limit (tCO2e)" dataDxfId="149">
      <calculatedColumnFormula>Table_LimitsCalc_Sample1[[#This Row],[Space 6 Limit Intensity]]*BR$9</calculatedColumnFormula>
    </tableColumn>
    <tableColumn id="18" xr3:uid="{5E00CEA8-618A-4BFC-B965-25F1B18F6451}" name="Space 8 Limit (tCO2e)" dataDxfId="148">
      <calculatedColumnFormula>Table_LimitsCalc_Sample1[[#This Row],[Space 6 Limit Intensity]]*BS$9</calculatedColumnFormula>
    </tableColumn>
    <tableColumn id="16" xr3:uid="{E08AB4FC-F8DA-40B5-8D1C-5212869A65F8}" name="Total Limits (tCO2e)" dataDxfId="147">
      <calculatedColumnFormula>_xlfn.AGGREGATE(9,6,Table_LimitsCalc_Sample1[[#This Row],[Space 1 Limit (tCO2e)]:[Space 6 Limit (tCO2e)]])</calculatedColumnFormula>
    </tableColumn>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D9BEAA-0EC8-4DD4-8228-EBCA5E6F0E22}" name="Table_UtilityDecarb" displayName="Table_UtilityDecarb" ref="C6:G88" totalsRowShown="0" headerRowDxfId="146" dataDxfId="145" tableBorderDxfId="144">
  <autoFilter ref="C6:G88" xr:uid="{8CD9BEAA-0EC8-4DD4-8228-EBCA5E6F0E22}"/>
  <tableColumns count="5">
    <tableColumn id="2" xr3:uid="{736D5CA9-4AB7-4CB2-8D64-B770870821A1}" name="Fuel Type" dataDxfId="143"/>
    <tableColumn id="3" xr3:uid="{108F7181-FB7B-4826-AAA5-2491B74D21C2}" name="Scenario Name" dataDxfId="142"/>
    <tableColumn id="4" xr3:uid="{F27B7C68-D000-436C-AC2C-83286199509F}" name="Year" dataDxfId="141"/>
    <tableColumn id="5" xr3:uid="{32927B6A-2A84-499F-AB30-9760C431A410}" name="Carbon Intensity (tCO2e/kBtu)" dataDxfId="140"/>
    <tableColumn id="6" xr3:uid="{BA6454B3-8436-49A6-9A49-2989026BD879}" name="Notes" dataDxfId="139"/>
  </tableColumns>
  <tableStyleInfo name="TableStyleMedium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1EB6E4-BDB4-4A8B-8A66-450A01D7A4CC}" name="Table_HPD_DefaultRates" displayName="Table_HPD_DefaultRates" ref="J6:O32" totalsRowShown="0" headerRowDxfId="138" dataDxfId="136" headerRowBorderDxfId="137">
  <autoFilter ref="J6:O32" xr:uid="{F91EB6E4-BDB4-4A8B-8A66-450A01D7A4CC}"/>
  <tableColumns count="6">
    <tableColumn id="1" xr3:uid="{8B4BB96B-965A-433D-BF1F-37AE0D3C5F81}" name="Fuel Type" dataDxfId="135"/>
    <tableColumn id="2" xr3:uid="{92C23372-8F9D-4988-A44F-525F102D9014}" name="Unit" dataDxfId="134"/>
    <tableColumn id="6" xr3:uid="{AD59175E-3C13-4AF9-8328-0FA756B86250}" name="Fuel Territory" dataDxfId="133"/>
    <tableColumn id="3" xr3:uid="{96BB2C94-F07E-4424-A609-C4DEE8931216}" name="User Inputs from Main Tab" dataDxfId="132"/>
    <tableColumn id="4" xr3:uid="{E154FB0A-A00D-4C98-B51F-1008C5CFCA22}" name="HPD Default Rate" dataDxfId="131"/>
    <tableColumn id="5" xr3:uid="{09103B0D-55A7-4473-89FE-71CEEEAEE381}" name="Comments" dataDxfId="130"/>
  </tableColumns>
  <tableStyleInfo name="TableStyleMedium6" showFirstColumn="0" showLastColumn="0" showRowStripes="1" showColumnStripes="0"/>
</table>
</file>

<file path=xl/theme/theme1.xml><?xml version="1.0" encoding="utf-8"?>
<a:theme xmlns:a="http://schemas.openxmlformats.org/drawingml/2006/main" name="JBB_Theme_Excel">
  <a:themeElements>
    <a:clrScheme name="JBB_DCR">
      <a:dk1>
        <a:sysClr val="windowText" lastClr="000000"/>
      </a:dk1>
      <a:lt1>
        <a:sysClr val="window" lastClr="FFFFFF"/>
      </a:lt1>
      <a:dk2>
        <a:srgbClr val="1E4289"/>
      </a:dk2>
      <a:lt2>
        <a:srgbClr val="EEECE1"/>
      </a:lt2>
      <a:accent1>
        <a:srgbClr val="006DAC"/>
      </a:accent1>
      <a:accent2>
        <a:srgbClr val="BF602F"/>
      </a:accent2>
      <a:accent3>
        <a:srgbClr val="E27F26"/>
      </a:accent3>
      <a:accent4>
        <a:srgbClr val="1E4289"/>
      </a:accent4>
      <a:accent5>
        <a:srgbClr val="D9D9D9"/>
      </a:accent5>
      <a:accent6>
        <a:srgbClr val="70AD47"/>
      </a:accent6>
      <a:hlink>
        <a:srgbClr val="0000FF"/>
      </a:hlink>
      <a:folHlink>
        <a:srgbClr val="800080"/>
      </a:folHlink>
    </a:clrScheme>
    <a:fontScheme name="JBB Font_Alternative">
      <a:majorFont>
        <a:latin typeface="Futura PT Medium"/>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 dT="2025-06-09T21:16:55.88" personId="{23C6E314-5A0F-42AA-B1BE-9F779BEE37D6}" id="{EAB3799C-74FE-4867-9EAA-F556CEFFA7A7}">
    <text>Please lock all cells in this tab!!!</text>
  </threadedComment>
  <threadedComment ref="N5" dT="2025-06-09T21:17:07.56" personId="{23C6E314-5A0F-42AA-B1BE-9F779BEE37D6}" id="{B06D03FC-8BA9-4484-AFAB-10D0F40111C9}">
    <text>Please lock all cells in this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vmlDrawing" Target="../drawings/vmlDrawing2.vml"/><Relationship Id="rId7"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vmlDrawing" Target="../drawings/vmlDrawing3.vml"/><Relationship Id="rId7" Type="http://schemas.openxmlformats.org/officeDocument/2006/relationships/table" Target="../tables/table14.xml"/><Relationship Id="rId2" Type="http://schemas.openxmlformats.org/officeDocument/2006/relationships/drawing" Target="../drawings/drawing8.xml"/><Relationship Id="rId1" Type="http://schemas.openxmlformats.org/officeDocument/2006/relationships/printerSettings" Target="../printerSettings/printerSettings3.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4.vml"/><Relationship Id="rId1" Type="http://schemas.openxmlformats.org/officeDocument/2006/relationships/drawing" Target="../drawings/drawing11.xml"/><Relationship Id="rId6" Type="http://schemas.microsoft.com/office/2017/10/relationships/threadedComment" Target="../threadedComments/threadedComment1.xml"/><Relationship Id="rId5" Type="http://schemas.openxmlformats.org/officeDocument/2006/relationships/comments" Target="../comments4.xml"/><Relationship Id="rId4"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0F69-97E4-4BCE-A841-E7B5CE68489D}">
  <sheetPr codeName="Sheet9"/>
  <dimension ref="B1:D50"/>
  <sheetViews>
    <sheetView showGridLines="0" tabSelected="1" topLeftCell="A6" zoomScale="85" zoomScaleNormal="85" workbookViewId="0">
      <selection activeCell="B26" sqref="B26"/>
    </sheetView>
  </sheetViews>
  <sheetFormatPr defaultColWidth="9" defaultRowHeight="14.25"/>
  <cols>
    <col min="1" max="1" width="1" style="1" customWidth="1"/>
    <col min="2" max="2" width="192.625" style="1" customWidth="1"/>
    <col min="3" max="3" width="31.25" style="1" customWidth="1"/>
    <col min="4" max="4" width="18.75" style="1" bestFit="1" customWidth="1"/>
    <col min="5" max="16384" width="9" style="1"/>
  </cols>
  <sheetData>
    <row r="1" spans="2:4" ht="21">
      <c r="B1" s="80" t="s">
        <v>94</v>
      </c>
      <c r="C1"/>
      <c r="D1"/>
    </row>
    <row r="2" spans="2:4">
      <c r="B2" s="158" t="s">
        <v>349</v>
      </c>
      <c r="C2"/>
      <c r="D2"/>
    </row>
    <row r="3" spans="2:4">
      <c r="B3" s="159"/>
      <c r="C3"/>
      <c r="D3"/>
    </row>
    <row r="4" spans="2:4">
      <c r="B4" s="160" t="s">
        <v>95</v>
      </c>
      <c r="D4"/>
    </row>
    <row r="5" spans="2:4">
      <c r="B5" s="161" t="s">
        <v>96</v>
      </c>
      <c r="D5"/>
    </row>
    <row r="6" spans="2:4">
      <c r="B6" s="161" t="s">
        <v>97</v>
      </c>
      <c r="D6"/>
    </row>
    <row r="7" spans="2:4">
      <c r="B7" s="161" t="s">
        <v>98</v>
      </c>
    </row>
    <row r="8" spans="2:4">
      <c r="B8" s="153"/>
    </row>
    <row r="9" spans="2:4">
      <c r="B9" s="153" t="s">
        <v>99</v>
      </c>
    </row>
    <row r="10" spans="2:4">
      <c r="B10" s="153" t="s">
        <v>100</v>
      </c>
    </row>
    <row r="11" spans="2:4">
      <c r="B11" s="153" t="s">
        <v>101</v>
      </c>
    </row>
    <row r="13" spans="2:4">
      <c r="B13" s="28" t="s">
        <v>22</v>
      </c>
    </row>
    <row r="14" spans="2:4">
      <c r="B14" s="1" t="s">
        <v>102</v>
      </c>
    </row>
    <row r="15" spans="2:4">
      <c r="B15" s="150" t="s">
        <v>103</v>
      </c>
    </row>
    <row r="16" spans="2:4" ht="35.25" customHeight="1">
      <c r="B16" s="151" t="s">
        <v>104</v>
      </c>
    </row>
    <row r="17" spans="2:2">
      <c r="B17" s="150" t="s">
        <v>105</v>
      </c>
    </row>
    <row r="18" spans="2:2">
      <c r="B18" s="150" t="s">
        <v>106</v>
      </c>
    </row>
    <row r="19" spans="2:2">
      <c r="B19" s="150" t="s">
        <v>107</v>
      </c>
    </row>
    <row r="21" spans="2:2">
      <c r="B21" s="28" t="s">
        <v>108</v>
      </c>
    </row>
    <row r="22" spans="2:2" ht="27.75" customHeight="1">
      <c r="B22" s="152" t="s">
        <v>109</v>
      </c>
    </row>
    <row r="23" spans="2:2">
      <c r="B23" s="153" t="s">
        <v>110</v>
      </c>
    </row>
    <row r="24" spans="2:2">
      <c r="B24" s="153" t="s">
        <v>111</v>
      </c>
    </row>
    <row r="25" spans="2:2" ht="28.5">
      <c r="B25" s="152" t="s">
        <v>112</v>
      </c>
    </row>
    <row r="26" spans="2:2">
      <c r="B26" s="177" t="s">
        <v>350</v>
      </c>
    </row>
    <row r="27" spans="2:2">
      <c r="B27" s="177" t="s">
        <v>351</v>
      </c>
    </row>
    <row r="28" spans="2:2">
      <c r="B28" s="153" t="s">
        <v>113</v>
      </c>
    </row>
    <row r="29" spans="2:2">
      <c r="B29" s="153" t="s">
        <v>114</v>
      </c>
    </row>
    <row r="31" spans="2:2">
      <c r="B31" s="28" t="s">
        <v>115</v>
      </c>
    </row>
    <row r="32" spans="2:2">
      <c r="B32" s="157" t="s">
        <v>116</v>
      </c>
    </row>
    <row r="33" spans="2:3">
      <c r="B33" s="157" t="s">
        <v>117</v>
      </c>
    </row>
    <row r="34" spans="2:3">
      <c r="B34" s="157" t="s">
        <v>118</v>
      </c>
    </row>
    <row r="35" spans="2:3">
      <c r="B35" s="157" t="s">
        <v>119</v>
      </c>
    </row>
    <row r="36" spans="2:3" ht="105" customHeight="1"/>
    <row r="37" spans="2:3">
      <c r="B37" s="28" t="s">
        <v>120</v>
      </c>
      <c r="C37"/>
    </row>
    <row r="38" spans="2:3" ht="14.1" customHeight="1">
      <c r="B38" s="155" t="s">
        <v>121</v>
      </c>
    </row>
    <row r="39" spans="2:3" ht="49.5" customHeight="1">
      <c r="B39" s="156" t="s">
        <v>122</v>
      </c>
    </row>
    <row r="40" spans="2:3">
      <c r="B40" s="154"/>
    </row>
    <row r="48" spans="2:3" ht="11.25" customHeight="1">
      <c r="B48" s="81"/>
    </row>
    <row r="49" spans="2:2" ht="11.25" customHeight="1">
      <c r="B49" s="81"/>
    </row>
    <row r="50" spans="2:2" ht="11.25" customHeight="1">
      <c r="B50" s="81"/>
    </row>
  </sheetData>
  <sheetProtection algorithmName="SHA-512" hashValue="U9sdckpoRELGnmqG0bZu1ZJ68JOnlyxU1Zjd7NVIVg0IGqd8sFvneNbhqBR9mbjxsqTvj1iAMujA82NDTTymBQ==" saltValue="CKOv7AUyYRD6yAkYB5+e7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E0E9-0752-4CE0-A252-84577ACC7A34}">
  <sheetPr codeName="Sheet6">
    <tabColor theme="4"/>
    <outlinePr summaryBelow="0" summaryRight="0"/>
    <pageSetUpPr autoPageBreaks="0" fitToPage="1"/>
  </sheetPr>
  <dimension ref="A1:BC159"/>
  <sheetViews>
    <sheetView showGridLines="0" zoomScale="50" zoomScaleNormal="50" workbookViewId="0">
      <selection activeCell="D27" sqref="D27"/>
    </sheetView>
  </sheetViews>
  <sheetFormatPr defaultColWidth="9" defaultRowHeight="14.25" outlineLevelRow="1"/>
  <cols>
    <col min="1" max="1" width="1.875" style="1" customWidth="1"/>
    <col min="2" max="2" width="13.5" style="1" customWidth="1"/>
    <col min="3" max="3" width="8.75" style="1" customWidth="1"/>
    <col min="4" max="4" width="42.875" style="1" customWidth="1"/>
    <col min="5" max="5" width="13.5" style="1" customWidth="1"/>
    <col min="6" max="6" width="13.875" style="1" customWidth="1"/>
    <col min="7" max="7" width="13.625" style="1" customWidth="1"/>
    <col min="8" max="8" width="13.5" style="1" customWidth="1"/>
    <col min="9" max="9" width="12" style="1" customWidth="1"/>
    <col min="10" max="10" width="12.5" style="1" customWidth="1"/>
    <col min="11" max="12" width="11.5" style="1" customWidth="1"/>
    <col min="13" max="13" width="13" style="1" customWidth="1"/>
    <col min="14" max="14" width="11.375" style="1" customWidth="1"/>
    <col min="15" max="15" width="12.5" style="1" customWidth="1"/>
    <col min="16" max="16" width="15.875" style="1" customWidth="1"/>
    <col min="17" max="17" width="13.5" style="1" customWidth="1"/>
    <col min="18" max="18" width="15.5" style="1" customWidth="1"/>
    <col min="19" max="19" width="39.125" style="1" customWidth="1"/>
    <col min="20" max="20" width="6.375" style="1" customWidth="1"/>
    <col min="21" max="21" width="14.125" style="1" customWidth="1"/>
    <col min="22" max="22" width="10.875" style="1" customWidth="1"/>
    <col min="23" max="23" width="16.0625" style="1" customWidth="1"/>
    <col min="24" max="24" width="10.25" style="1" customWidth="1"/>
    <col min="25" max="25" width="9.75" style="1" customWidth="1"/>
    <col min="26" max="26" width="10.25" style="1" customWidth="1"/>
    <col min="27" max="27" width="9.125" style="1" bestFit="1" customWidth="1"/>
    <col min="28" max="28" width="31.625" style="1" customWidth="1"/>
    <col min="29" max="32" width="9.875" style="1" customWidth="1"/>
    <col min="33" max="33" width="8.375" style="1" customWidth="1"/>
    <col min="34" max="34" width="9" style="1" customWidth="1"/>
    <col min="35" max="35" width="10.75" style="1" customWidth="1"/>
    <col min="36" max="36" width="9" style="1" customWidth="1"/>
    <col min="37" max="37" width="11.25" style="1" customWidth="1"/>
    <col min="38" max="38" width="11.125" style="1" customWidth="1"/>
    <col min="39" max="39" width="10.125" style="1" customWidth="1"/>
    <col min="40" max="40" width="8.625" style="1" customWidth="1"/>
    <col min="41" max="41" width="10.875" style="1" customWidth="1"/>
    <col min="42" max="42" width="11.375" style="1" customWidth="1"/>
    <col min="43" max="43" width="13.5" style="1" customWidth="1"/>
    <col min="44" max="45" width="11.375" style="1" customWidth="1"/>
    <col min="46" max="46" width="12.625" style="1" customWidth="1"/>
    <col min="47" max="47" width="11.375" style="1" customWidth="1"/>
    <col min="48" max="49" width="10.875" style="1" customWidth="1"/>
    <col min="50" max="53" width="11" style="1" customWidth="1"/>
    <col min="54" max="54" width="10.5" style="1" customWidth="1"/>
    <col min="55" max="55" width="12.125" style="1" customWidth="1"/>
    <col min="56" max="56" width="7" style="1" customWidth="1"/>
    <col min="57" max="57" width="6.875" style="1" customWidth="1"/>
    <col min="58" max="16384" width="9" style="1"/>
  </cols>
  <sheetData>
    <row r="1" spans="2:32" s="29" customFormat="1" ht="23.25">
      <c r="B1" s="64" t="s">
        <v>0</v>
      </c>
      <c r="P1" s="209" t="s">
        <v>1</v>
      </c>
      <c r="Q1" s="209"/>
    </row>
    <row r="2" spans="2:32">
      <c r="B2" s="71" t="s">
        <v>2</v>
      </c>
      <c r="Q2"/>
      <c r="R2"/>
      <c r="S2"/>
      <c r="T2"/>
    </row>
    <row r="3" spans="2:32">
      <c r="B3" s="87" t="s">
        <v>3</v>
      </c>
      <c r="Q3"/>
      <c r="R3"/>
      <c r="S3"/>
      <c r="T3"/>
    </row>
    <row r="4" spans="2:32" ht="15" customHeight="1">
      <c r="B4" s="79" t="s">
        <v>4</v>
      </c>
      <c r="Q4"/>
      <c r="R4"/>
      <c r="S4"/>
      <c r="T4"/>
    </row>
    <row r="5" spans="2:32" ht="18">
      <c r="B5" s="65" t="s">
        <v>5</v>
      </c>
      <c r="D5" s="66" t="s">
        <v>6</v>
      </c>
      <c r="E5" s="67"/>
      <c r="G5" s="66" t="s">
        <v>123</v>
      </c>
      <c r="H5" s="68"/>
      <c r="I5" s="68"/>
      <c r="J5" s="68"/>
      <c r="K5" s="68"/>
      <c r="L5" s="68"/>
      <c r="M5" s="68"/>
      <c r="N5" s="67"/>
      <c r="P5" s="2" t="s">
        <v>8</v>
      </c>
      <c r="R5" s="31"/>
      <c r="T5"/>
      <c r="U5" s="2" t="s">
        <v>365</v>
      </c>
      <c r="V5" s="202"/>
      <c r="W5" s="202"/>
      <c r="X5" s="202"/>
    </row>
    <row r="6" spans="2:32" ht="75.75" customHeight="1">
      <c r="B6" s="206" t="s">
        <v>9</v>
      </c>
      <c r="D6" s="51" t="s">
        <v>10</v>
      </c>
      <c r="E6" s="51" t="s">
        <v>11</v>
      </c>
      <c r="F6"/>
      <c r="G6" s="24" t="s">
        <v>124</v>
      </c>
      <c r="H6" s="24" t="s">
        <v>12</v>
      </c>
      <c r="I6" s="24" t="s">
        <v>13</v>
      </c>
      <c r="J6" s="24" t="s">
        <v>14</v>
      </c>
      <c r="K6" s="24" t="s">
        <v>15</v>
      </c>
      <c r="L6" s="24" t="s">
        <v>16</v>
      </c>
      <c r="M6" s="24" t="s">
        <v>17</v>
      </c>
      <c r="N6" s="24" t="s">
        <v>18</v>
      </c>
      <c r="P6" s="210" t="s">
        <v>338</v>
      </c>
      <c r="Q6" s="210" t="s">
        <v>339</v>
      </c>
      <c r="R6" s="270" t="s">
        <v>21</v>
      </c>
      <c r="S6" s="270"/>
      <c r="T6"/>
      <c r="U6" s="208" t="s">
        <v>19</v>
      </c>
      <c r="V6" s="208"/>
      <c r="W6" s="210" t="s">
        <v>366</v>
      </c>
      <c r="X6" s="271" t="s">
        <v>367</v>
      </c>
      <c r="Y6" s="271"/>
      <c r="Z6" s="271"/>
      <c r="AA6"/>
    </row>
    <row r="7" spans="2:32" ht="18.75" customHeight="1">
      <c r="B7" s="70" t="s">
        <v>22</v>
      </c>
      <c r="D7" s="167" t="s">
        <v>23</v>
      </c>
      <c r="E7" s="235"/>
      <c r="F7"/>
      <c r="G7" s="236"/>
      <c r="H7" s="237"/>
      <c r="I7" s="237"/>
      <c r="J7" s="237"/>
      <c r="K7" s="237"/>
      <c r="L7" s="237"/>
      <c r="M7" s="237"/>
      <c r="N7" s="176" t="e" cm="1">
        <f t="array" ref="N7">Table_UtilityInput[[#This Row],[Annual Electricity 
(kWh)]]*3.412*INDEX(Table_UtilityDecarb[Carbon Intensity (tCO2e/kBtu)],MATCH("Electricity"&amp;Table_UtilityInput[[#This Row],[Usage Year]],Table_UtilityDecarb[Fuel Type]&amp;Table_UtilityDecarb[Year],0))+
Table_UtilityInput[[#This Row],[Annual Natural Gas  
(therm)]]*100*INDEX(Table_UtilityDecarb[Carbon Intensity (tCO2e/kBtu)],MATCH("Natural Gas",Table_UtilityDecarb[Fuel Type],0))+
Table_UtilityInput[[#This Row],[Annual District Steam  
(Mlb for ConEd, kLb for others)]]*1194*INDEX(Table_UtilityDecarb[Carbon Intensity (tCO2e/kBtu)],MATCH("District Steam"&amp;Table_UtilityInput[[#This Row],[Usage Year]],Table_UtilityDecarb[Fuel Type]&amp;Table_UtilityDecarb[Year],0))+
Table_UtilityInput[[#This Row],[Annual Fuel Oil'#2
(Gallon)]]*138*INDEX(Table_UtilityDecarb[Carbon Intensity (tCO2e/kBtu)],MATCH("Fuel Oil #2",Table_UtilityDecarb[Fuel Type],0))+
IF(ISNUMBER(Table_UtilityInput[[#This Row],[Annual Other Fuel 1
(kBtu)]]),Table_UtilityInput[[#This Row],[Annual Other Fuel 1
(kBtu)]]*INDEX(Table_UtilityDecarb[Carbon Intensity (tCO2e/kBtu)],MATCH($L$8,Table_UtilityDecarb[Fuel Type],0)),0)+
IF(ISNUMBER(Table_UtilityInput[[#This Row],[Annual Other Fuel 2
(kBtu)]]),Table_UtilityInput[[#This Row],[Annual Other Fuel 2
(kBtu)]]*INDEX(Table_UtilityDecarb[Carbon Intensity (tCO2e/kBtu)],MATCH($M$8,Table_UtilityDecarb[Fuel Type],0)),0)</f>
        <v>#N/A</v>
      </c>
      <c r="P7" s="272"/>
      <c r="Q7" s="275"/>
      <c r="R7" s="276"/>
      <c r="S7" s="277"/>
      <c r="T7"/>
      <c r="U7" s="226" t="s">
        <v>129</v>
      </c>
      <c r="V7" s="227" t="s">
        <v>344</v>
      </c>
      <c r="W7" s="232">
        <f>INDEX(Table_HPD_DefaultRates[HPD Default Rate],MATCH('LL97 Pathway'!$U7,Table_HPD_DefaultRates[Fuel Type],0))</f>
        <v>0.3</v>
      </c>
      <c r="X7" s="282">
        <v>0.3</v>
      </c>
      <c r="Y7" s="282"/>
      <c r="Z7" s="282"/>
      <c r="AA7"/>
    </row>
    <row r="8" spans="2:32" ht="18">
      <c r="B8" s="2"/>
      <c r="D8" s="167"/>
      <c r="E8" s="235"/>
      <c r="F8"/>
      <c r="G8" s="78" t="s">
        <v>125</v>
      </c>
      <c r="H8"/>
      <c r="I8"/>
      <c r="J8"/>
      <c r="K8" s="145"/>
      <c r="L8" s="234"/>
      <c r="M8" s="234"/>
      <c r="N8" s="162" t="str" cm="1">
        <f t="array" ref="N8">IF(AND(ISERROR(Table_UtilityInput[Total Emissions (tCO2e)]),OR($L$8="",$M$8="")),"Please choose the fuel type in the green drop down cell.","")</f>
        <v>Please choose the fuel type in the green drop down cell.</v>
      </c>
      <c r="P8" s="273"/>
      <c r="Q8" s="275"/>
      <c r="R8" s="278"/>
      <c r="S8" s="279"/>
      <c r="T8"/>
      <c r="U8" s="226" t="s">
        <v>130</v>
      </c>
      <c r="V8" s="227" t="s">
        <v>345</v>
      </c>
      <c r="W8" s="232" t="e" cm="1">
        <f t="array" ref="W8">INDEX(Table_HPD_DefaultRates[HPD Default Rate],MATCH('LL97 Pathway'!$U8&amp;$Q$7,Table_HPD_DefaultRates[Fuel Type]&amp;Table_HPD_DefaultRates[Fuel Territory],0))</f>
        <v>#N/A</v>
      </c>
      <c r="X8" s="228" t="s">
        <v>27</v>
      </c>
      <c r="Y8" s="228"/>
      <c r="Z8" s="228"/>
      <c r="AA8"/>
    </row>
    <row r="9" spans="2:32" ht="18">
      <c r="B9" s="2"/>
      <c r="D9" s="167"/>
      <c r="E9" s="235"/>
      <c r="F9" s="78"/>
      <c r="H9"/>
      <c r="I9"/>
      <c r="J9"/>
      <c r="K9" s="145"/>
      <c r="L9" s="233" t="s">
        <v>126</v>
      </c>
      <c r="M9" s="145"/>
      <c r="N9" s="145"/>
      <c r="P9" s="273"/>
      <c r="Q9" s="275"/>
      <c r="R9" s="278"/>
      <c r="S9" s="279"/>
      <c r="T9"/>
      <c r="U9" s="226" t="s">
        <v>132</v>
      </c>
      <c r="V9" s="227"/>
      <c r="W9" s="232">
        <f>INDEX(Table_HPD_DefaultRates[HPD Default Rate],MATCH('LL97 Pathway'!$U9,Table_HPD_DefaultRates[Fuel Type],0))</f>
        <v>40</v>
      </c>
      <c r="X9" s="283" t="s">
        <v>343</v>
      </c>
      <c r="Y9" s="283"/>
      <c r="Z9" s="283"/>
      <c r="AA9"/>
    </row>
    <row r="10" spans="2:32" ht="18">
      <c r="B10" s="2"/>
      <c r="D10" s="167"/>
      <c r="E10" s="235"/>
      <c r="F10" s="86"/>
      <c r="G10"/>
      <c r="H10"/>
      <c r="I10"/>
      <c r="J10"/>
      <c r="K10"/>
      <c r="L10"/>
      <c r="M10"/>
      <c r="N10"/>
      <c r="P10" s="273"/>
      <c r="Q10" s="275"/>
      <c r="R10" s="278"/>
      <c r="S10" s="279"/>
      <c r="T10"/>
      <c r="U10" s="226" t="s">
        <v>131</v>
      </c>
      <c r="V10" s="227" t="s">
        <v>346</v>
      </c>
      <c r="W10" s="232">
        <f>INDEX(Table_HPD_DefaultRates[HPD Default Rate],MATCH('LL97 Pathway'!$U10,Table_HPD_DefaultRates[Fuel Type],0))</f>
        <v>4</v>
      </c>
      <c r="X10" s="283">
        <v>4</v>
      </c>
      <c r="Y10" s="283"/>
      <c r="Z10" s="283"/>
      <c r="AA10"/>
    </row>
    <row r="11" spans="2:32" ht="18">
      <c r="B11" s="2"/>
      <c r="D11" s="167"/>
      <c r="E11" s="235"/>
      <c r="F11" s="86"/>
      <c r="G11"/>
      <c r="H11"/>
      <c r="I11"/>
      <c r="J11"/>
      <c r="K11"/>
      <c r="L11"/>
      <c r="M11"/>
      <c r="N11"/>
      <c r="P11" s="274"/>
      <c r="Q11" s="275"/>
      <c r="R11" s="280"/>
      <c r="S11" s="281"/>
      <c r="T11"/>
      <c r="U11" s="226" t="str" cm="1">
        <f t="array" ref="U11">IF(Table_UtilityInput[Annual Other Fuel 1
(kBtu)]&gt;0,$L$8,"")</f>
        <v/>
      </c>
      <c r="V11" s="227" t="str">
        <f>IF(U11="","","($/ kBtu)")</f>
        <v/>
      </c>
      <c r="W11" s="232" t="str">
        <f>IF($U11="","",INDEX(Table_HPD_DefaultRates[HPD Default Rate],MATCH('LL97 Pathway'!$U11,Table_HPD_DefaultRates[Fuel Type],0)))</f>
        <v/>
      </c>
      <c r="X11" s="283" t="s">
        <v>29</v>
      </c>
      <c r="Y11" s="283"/>
      <c r="Z11" s="283"/>
      <c r="AA11"/>
    </row>
    <row r="12" spans="2:32" ht="18">
      <c r="B12" s="2"/>
      <c r="D12" s="167"/>
      <c r="E12" s="235"/>
      <c r="F12" s="78"/>
      <c r="G12"/>
      <c r="H12"/>
      <c r="I12"/>
      <c r="J12"/>
      <c r="K12"/>
      <c r="L12"/>
      <c r="M12"/>
      <c r="N12"/>
      <c r="T12"/>
      <c r="U12" s="226" t="s">
        <v>362</v>
      </c>
      <c r="V12" s="227"/>
      <c r="W12" s="267" t="s">
        <v>33</v>
      </c>
      <c r="X12" s="267"/>
      <c r="Y12" s="267"/>
      <c r="Z12" s="267"/>
      <c r="AA12"/>
    </row>
    <row r="13" spans="2:32" ht="18">
      <c r="B13" s="2"/>
      <c r="D13" s="167"/>
      <c r="E13" s="235"/>
      <c r="F13" s="78"/>
      <c r="G13"/>
      <c r="H13"/>
      <c r="I13"/>
      <c r="J13"/>
      <c r="K13"/>
      <c r="L13"/>
      <c r="M13"/>
      <c r="N13"/>
      <c r="U13" s="202"/>
      <c r="V13" s="202"/>
      <c r="W13" s="202"/>
      <c r="X13" s="202"/>
      <c r="Y13" s="202"/>
      <c r="Z13" s="202"/>
      <c r="AA13"/>
    </row>
    <row r="14" spans="2:32" ht="18">
      <c r="B14" s="2"/>
      <c r="D14" s="167"/>
      <c r="E14" s="235"/>
      <c r="F14"/>
      <c r="G14"/>
      <c r="H14"/>
      <c r="I14"/>
      <c r="J14"/>
      <c r="K14"/>
      <c r="L14"/>
      <c r="M14"/>
      <c r="N14"/>
      <c r="W14"/>
      <c r="X14"/>
      <c r="Y14"/>
      <c r="Z14"/>
      <c r="AA14"/>
    </row>
    <row r="15" spans="2:32" ht="18">
      <c r="B15" s="2"/>
      <c r="D15" s="73" t="s">
        <v>34</v>
      </c>
      <c r="E15" s="74">
        <f>_xlfn.AGGREGATE(9,7,Table_AreaInput[Sq.Ft.])</f>
        <v>0</v>
      </c>
      <c r="F15"/>
      <c r="G15"/>
      <c r="H15"/>
      <c r="I15"/>
      <c r="J15"/>
      <c r="K15"/>
      <c r="L15"/>
      <c r="M15"/>
      <c r="N15"/>
      <c r="W15"/>
      <c r="X15"/>
      <c r="Y15"/>
      <c r="Z15"/>
      <c r="AA15"/>
    </row>
    <row r="16" spans="2:32">
      <c r="D16" s="72"/>
      <c r="G16"/>
      <c r="H16"/>
      <c r="I16"/>
      <c r="J16"/>
      <c r="K16"/>
      <c r="L16"/>
      <c r="M16"/>
      <c r="N16"/>
      <c r="O16"/>
      <c r="X16"/>
      <c r="Y16"/>
      <c r="Z16"/>
      <c r="AA16"/>
      <c r="AB16"/>
      <c r="AC16"/>
      <c r="AD16"/>
      <c r="AE16"/>
      <c r="AF16"/>
    </row>
    <row r="17" spans="2:36" ht="18">
      <c r="D17" s="69" t="s">
        <v>35</v>
      </c>
      <c r="E17" s="69"/>
      <c r="G17" s="268" t="s">
        <v>36</v>
      </c>
      <c r="H17" s="269"/>
      <c r="I17" s="269"/>
      <c r="J17" s="269"/>
      <c r="K17" s="269"/>
      <c r="L17" s="269"/>
      <c r="M17" s="269"/>
      <c r="N17"/>
      <c r="O17"/>
      <c r="P17"/>
      <c r="Q17"/>
      <c r="R17"/>
      <c r="S17"/>
      <c r="U17" s="175" t="s">
        <v>37</v>
      </c>
      <c r="W17"/>
      <c r="X17"/>
      <c r="Z17"/>
      <c r="AA17"/>
      <c r="AB17"/>
      <c r="AC17"/>
      <c r="AD17"/>
      <c r="AE17"/>
      <c r="AF17"/>
      <c r="AG17"/>
    </row>
    <row r="18" spans="2:36" s="4" customFormat="1" ht="78" customHeight="1">
      <c r="B18" s="3" t="s">
        <v>38</v>
      </c>
      <c r="C18" s="63" t="s">
        <v>39</v>
      </c>
      <c r="D18" s="63" t="s">
        <v>40</v>
      </c>
      <c r="E18" s="63" t="s">
        <v>41</v>
      </c>
      <c r="F18" s="63" t="s">
        <v>42</v>
      </c>
      <c r="G18" s="63" t="s">
        <v>43</v>
      </c>
      <c r="H18" s="63" t="s">
        <v>44</v>
      </c>
      <c r="I18" s="63" t="s">
        <v>127</v>
      </c>
      <c r="J18" s="63" t="s">
        <v>45</v>
      </c>
      <c r="K18" s="63" t="s">
        <v>46</v>
      </c>
      <c r="L18" s="63" t="s">
        <v>47</v>
      </c>
      <c r="M18" s="63" t="s">
        <v>48</v>
      </c>
      <c r="N18" s="63" t="s">
        <v>364</v>
      </c>
      <c r="O18" s="63" t="s">
        <v>369</v>
      </c>
      <c r="P18" s="63" t="s">
        <v>368</v>
      </c>
      <c r="Q18" s="63" t="s">
        <v>52</v>
      </c>
      <c r="R18" s="63" t="s">
        <v>53</v>
      </c>
      <c r="S18" s="85" t="s">
        <v>54</v>
      </c>
      <c r="T18"/>
      <c r="U18" s="170" t="s">
        <v>38</v>
      </c>
      <c r="V18" s="170" t="s">
        <v>41</v>
      </c>
      <c r="W18" s="170" t="s">
        <v>42</v>
      </c>
      <c r="X18" s="170" t="s">
        <v>55</v>
      </c>
      <c r="Y18" s="170" t="s">
        <v>56</v>
      </c>
      <c r="Z18" s="170" t="s">
        <v>51</v>
      </c>
      <c r="AA18" s="3"/>
      <c r="AB18" s="3"/>
      <c r="AC18" s="3"/>
    </row>
    <row r="19" spans="2:36">
      <c r="B19" s="183"/>
      <c r="C19" s="168"/>
      <c r="D19" s="89"/>
      <c r="E19" s="90"/>
      <c r="F19" s="90"/>
      <c r="G19" s="91"/>
      <c r="H19" s="91"/>
      <c r="I19" s="91"/>
      <c r="J19" s="91"/>
      <c r="K19" s="91"/>
      <c r="L19" s="91"/>
      <c r="M19"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19" s="215"/>
      <c r="O19" s="174" t="e" cm="1">
        <f t="array" ref="O19">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19" s="94" t="e">
        <f>IF(Table_ECM[[#This Row],[Total Annual Utility Savings using Rates in Column W
($)]]=0,"",(Table_ECM[[#This Row],[Cost to Install Measures ($)]]-Table_ECM[[#This Row],[Incentives &amp; Rebates ($)]])/Table_ECM[[#This Row],[Total Annual Utility Savings using Rates in Column W
($)]])</f>
        <v>#N/A</v>
      </c>
      <c r="Q19" s="178" t="b">
        <v>1</v>
      </c>
      <c r="R19" s="164"/>
      <c r="S19" s="212"/>
      <c r="T19" s="163"/>
      <c r="U19" s="184" t="s">
        <v>57</v>
      </c>
      <c r="V19" s="186">
        <f>IF(Table_SummaryByScope[[#This Row],[Scope Name]]="","",SUMIFS(Table_ECM[Cost to Install Measures ($)],Table_ECM[Scope Name],Table_SummaryByScope[[#This Row],[Scope Name]]))</f>
        <v>0</v>
      </c>
      <c r="W19" s="186">
        <f>IF(Table_SummaryByScope[[#This Row],[Scope Name]]="","",SUMIFS(Table_ECM[Incentives &amp; Rebates ($)],Table_ECM[Scope Name],Table_SummaryByScope[[#This Row],[Scope Name]]))</f>
        <v>0</v>
      </c>
      <c r="X19" s="216">
        <f>IF(Table_SummaryByScope[[#This Row],[Scope Name]]="","",SUMIFS(Table_ECM[Total Annual Energy Savings
(kBtu)],Table_ECM[Scope Name],Table_SummaryByScope[[#This Row],[Scope Name]]))</f>
        <v>0</v>
      </c>
      <c r="Y19" s="186">
        <f>IF(Table_SummaryByScope[[#This Row],[Scope Name]]="","",SUMIFS(Table_ECM[Total Annual Utility Savings using Rates in Column W
($)],Table_ECM[Scope Name],Table_SummaryByScope[[#This Row],[Scope Name]]))</f>
        <v>0</v>
      </c>
      <c r="Z19" s="187" t="str">
        <f>IF(OR(Table_SummaryByScope[[#This Row],[Scope Name]]="",Table_SummaryByScope[[#This Row],[Annual Utility Savings
($)]]=0),"",(Table_SummaryByScope[[#This Row],[Cost to Install Measures ($)]]-Table_SummaryByScope[[#This Row],[Incentives &amp; Rebates ($)]])/Table_SummaryByScope[[#This Row],[Annual Utility Savings
($)]])</f>
        <v/>
      </c>
      <c r="AJ19" s="4"/>
    </row>
    <row r="20" spans="2:36">
      <c r="B20" s="183"/>
      <c r="C20" s="169"/>
      <c r="D20" s="89"/>
      <c r="E20" s="92"/>
      <c r="F20" s="92"/>
      <c r="G20" s="91"/>
      <c r="H20" s="91"/>
      <c r="I20" s="91"/>
      <c r="J20" s="91"/>
      <c r="K20" s="91"/>
      <c r="L20" s="91"/>
      <c r="M20"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20" s="215"/>
      <c r="O20" s="174" t="e" cm="1">
        <f t="array" ref="O20">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20" s="95" t="e">
        <f>IF(Table_ECM[[#This Row],[Total Annual Utility Savings using Rates in Column W
($)]]=0,"",(Table_ECM[[#This Row],[Cost to Install Measures ($)]]-Table_ECM[[#This Row],[Incentives &amp; Rebates ($)]])/Table_ECM[[#This Row],[Total Annual Utility Savings using Rates in Column W
($)]])</f>
        <v>#N/A</v>
      </c>
      <c r="Q20" s="178" t="b">
        <v>1</v>
      </c>
      <c r="R20" s="165"/>
      <c r="S20" s="213"/>
      <c r="T20" s="163"/>
      <c r="U20" s="184" t="s">
        <v>63</v>
      </c>
      <c r="V20" s="186">
        <f>IF(Table_SummaryByScope[[#This Row],[Scope Name]]="","",SUMIFS(Table_ECM[Cost to Install Measures ($)],Table_ECM[Scope Name],Table_SummaryByScope[[#This Row],[Scope Name]]))</f>
        <v>0</v>
      </c>
      <c r="W20" s="186">
        <f>IF(Table_SummaryByScope[[#This Row],[Scope Name]]="","",SUMIFS(Table_ECM[Incentives &amp; Rebates ($)],Table_ECM[Scope Name],Table_SummaryByScope[[#This Row],[Scope Name]]))</f>
        <v>0</v>
      </c>
      <c r="X20" s="216">
        <f>IF(Table_SummaryByScope[[#This Row],[Scope Name]]="","",SUMIFS(Table_ECM[Total Annual Energy Savings
(kBtu)],Table_ECM[Scope Name],Table_SummaryByScope[[#This Row],[Scope Name]]))</f>
        <v>0</v>
      </c>
      <c r="Y20" s="188">
        <f>IF(Table_SummaryByScope[[#This Row],[Scope Name]]="","",SUMIFS(Table_ECM[Total Annual Utility Savings using Rates in Column W
($)],Table_ECM[Scope Name],Table_SummaryByScope[[#This Row],[Scope Name]]))</f>
        <v>0</v>
      </c>
      <c r="Z20" s="187" t="str">
        <f>IF(OR(Table_SummaryByScope[[#This Row],[Scope Name]]="",Table_SummaryByScope[[#This Row],[Annual Utility Savings
($)]]=0),"",(Table_SummaryByScope[[#This Row],[Cost to Install Measures ($)]]-Table_SummaryByScope[[#This Row],[Incentives &amp; Rebates ($)]])/Table_SummaryByScope[[#This Row],[Annual Utility Savings
($)]])</f>
        <v/>
      </c>
    </row>
    <row r="21" spans="2:36">
      <c r="B21" s="183"/>
      <c r="C21" s="169"/>
      <c r="D21" s="89"/>
      <c r="E21" s="92"/>
      <c r="F21" s="92"/>
      <c r="G21" s="91"/>
      <c r="H21" s="91"/>
      <c r="I21" s="91"/>
      <c r="J21" s="91"/>
      <c r="K21" s="91"/>
      <c r="L21" s="91"/>
      <c r="M21"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21" s="215"/>
      <c r="O21" s="174" t="e" cm="1">
        <f t="array" ref="O21">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21" s="95" t="e">
        <f>IF(Table_ECM[[#This Row],[Total Annual Utility Savings using Rates in Column W
($)]]=0,"",(Table_ECM[[#This Row],[Cost to Install Measures ($)]]-Table_ECM[[#This Row],[Incentives &amp; Rebates ($)]])/Table_ECM[[#This Row],[Total Annual Utility Savings using Rates in Column W
($)]])</f>
        <v>#N/A</v>
      </c>
      <c r="Q21" s="178" t="b">
        <v>1</v>
      </c>
      <c r="R21" s="165"/>
      <c r="S21" s="213"/>
      <c r="T21" s="163"/>
      <c r="U21" s="184" t="s">
        <v>66</v>
      </c>
      <c r="V21" s="186">
        <f>IF(Table_SummaryByScope[[#This Row],[Scope Name]]="","",SUMIFS(Table_ECM[Cost to Install Measures ($)],Table_ECM[Scope Name],Table_SummaryByScope[[#This Row],[Scope Name]]))</f>
        <v>0</v>
      </c>
      <c r="W21" s="186">
        <f>IF(Table_SummaryByScope[[#This Row],[Scope Name]]="","",SUMIFS(Table_ECM[Incentives &amp; Rebates ($)],Table_ECM[Scope Name],Table_SummaryByScope[[#This Row],[Scope Name]]))</f>
        <v>0</v>
      </c>
      <c r="X21" s="216">
        <f>IF(Table_SummaryByScope[[#This Row],[Scope Name]]="","",SUMIFS(Table_ECM[Total Annual Energy Savings
(kBtu)],Table_ECM[Scope Name],Table_SummaryByScope[[#This Row],[Scope Name]]))</f>
        <v>0</v>
      </c>
      <c r="Y21" s="188">
        <f>IF(Table_SummaryByScope[[#This Row],[Scope Name]]="","",SUMIFS(Table_ECM[Total Annual Utility Savings using Rates in Column W
($)],Table_ECM[Scope Name],Table_SummaryByScope[[#This Row],[Scope Name]]))</f>
        <v>0</v>
      </c>
      <c r="Z21" s="187" t="str">
        <f>IF(OR(Table_SummaryByScope[[#This Row],[Scope Name]]="",Table_SummaryByScope[[#This Row],[Annual Utility Savings
($)]]=0),"",(Table_SummaryByScope[[#This Row],[Cost to Install Measures ($)]]-Table_SummaryByScope[[#This Row],[Incentives &amp; Rebates ($)]])/Table_SummaryByScope[[#This Row],[Annual Utility Savings
($)]])</f>
        <v/>
      </c>
    </row>
    <row r="22" spans="2:36">
      <c r="B22" s="183"/>
      <c r="C22" s="169"/>
      <c r="D22" s="89"/>
      <c r="E22" s="92"/>
      <c r="F22" s="92"/>
      <c r="G22" s="91"/>
      <c r="H22" s="91"/>
      <c r="I22" s="91"/>
      <c r="J22" s="91"/>
      <c r="K22" s="91"/>
      <c r="L22" s="91"/>
      <c r="M22"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22" s="215"/>
      <c r="O22" s="174" t="e" cm="1">
        <f t="array" ref="O22">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22" s="95" t="e">
        <f>IF(Table_ECM[[#This Row],[Total Annual Utility Savings using Rates in Column W
($)]]=0,"",(Table_ECM[[#This Row],[Cost to Install Measures ($)]]-Table_ECM[[#This Row],[Incentives &amp; Rebates ($)]])/Table_ECM[[#This Row],[Total Annual Utility Savings using Rates in Column W
($)]])</f>
        <v>#N/A</v>
      </c>
      <c r="Q22" s="178" t="b">
        <v>1</v>
      </c>
      <c r="R22" s="165"/>
      <c r="S22" s="213"/>
      <c r="T22" s="163"/>
      <c r="U22" s="184" t="s">
        <v>69</v>
      </c>
      <c r="V22" s="186">
        <f>IF(Table_SummaryByScope[[#This Row],[Scope Name]]="","",SUMIFS(Table_ECM[Cost to Install Measures ($)],Table_ECM[Scope Name],Table_SummaryByScope[[#This Row],[Scope Name]]))</f>
        <v>0</v>
      </c>
      <c r="W22" s="186">
        <f>IF(Table_SummaryByScope[[#This Row],[Scope Name]]="","",SUMIFS(Table_ECM[Incentives &amp; Rebates ($)],Table_ECM[Scope Name],Table_SummaryByScope[[#This Row],[Scope Name]]))</f>
        <v>0</v>
      </c>
      <c r="X22" s="216">
        <f>IF(Table_SummaryByScope[[#This Row],[Scope Name]]="","",SUMIFS(Table_ECM[Total Annual Energy Savings
(kBtu)],Table_ECM[Scope Name],Table_SummaryByScope[[#This Row],[Scope Name]]))</f>
        <v>0</v>
      </c>
      <c r="Y22" s="188">
        <f>IF(Table_SummaryByScope[[#This Row],[Scope Name]]="","",SUMIFS(Table_ECM[Total Annual Utility Savings using Rates in Column W
($)],Table_ECM[Scope Name],Table_SummaryByScope[[#This Row],[Scope Name]]))</f>
        <v>0</v>
      </c>
      <c r="Z22" s="187" t="str">
        <f>IF(OR(Table_SummaryByScope[[#This Row],[Scope Name]]="",Table_SummaryByScope[[#This Row],[Annual Utility Savings
($)]]=0),"",(Table_SummaryByScope[[#This Row],[Cost to Install Measures ($)]]-Table_SummaryByScope[[#This Row],[Incentives &amp; Rebates ($)]])/Table_SummaryByScope[[#This Row],[Annual Utility Savings
($)]])</f>
        <v/>
      </c>
    </row>
    <row r="23" spans="2:36">
      <c r="B23" s="183"/>
      <c r="C23" s="169"/>
      <c r="D23" s="89"/>
      <c r="E23" s="92"/>
      <c r="F23" s="92"/>
      <c r="G23" s="91"/>
      <c r="H23" s="91"/>
      <c r="I23" s="91"/>
      <c r="J23" s="91"/>
      <c r="K23" s="91"/>
      <c r="L23" s="91"/>
      <c r="M23"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23" s="215"/>
      <c r="O23" s="174" t="e" cm="1">
        <f t="array" ref="O23">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23" s="95" t="e">
        <f>IF(Table_ECM[[#This Row],[Total Annual Utility Savings using Rates in Column W
($)]]=0,"",(Table_ECM[[#This Row],[Cost to Install Measures ($)]]-Table_ECM[[#This Row],[Incentives &amp; Rebates ($)]])/Table_ECM[[#This Row],[Total Annual Utility Savings using Rates in Column W
($)]])</f>
        <v>#N/A</v>
      </c>
      <c r="Q23" s="178" t="b">
        <v>1</v>
      </c>
      <c r="R23" s="165"/>
      <c r="S23" s="213"/>
      <c r="T23" s="163"/>
      <c r="U23" s="184" t="s">
        <v>353</v>
      </c>
      <c r="V23" s="186">
        <f>IF(Table_SummaryByScope[[#This Row],[Scope Name]]="","",SUMIFS(Table_ECM[Cost to Install Measures ($)],Table_ECM[Scope Name],Table_SummaryByScope[[#This Row],[Scope Name]]))</f>
        <v>0</v>
      </c>
      <c r="W23" s="186">
        <f>IF(Table_SummaryByScope[[#This Row],[Scope Name]]="","",SUMIFS(Table_ECM[Incentives &amp; Rebates ($)],Table_ECM[Scope Name],Table_SummaryByScope[[#This Row],[Scope Name]]))</f>
        <v>0</v>
      </c>
      <c r="X23" s="216">
        <f>IF(Table_SummaryByScope[[#This Row],[Scope Name]]="","",SUMIFS(Table_ECM[Total Annual Energy Savings
(kBtu)],Table_ECM[Scope Name],Table_SummaryByScope[[#This Row],[Scope Name]]))</f>
        <v>0</v>
      </c>
      <c r="Y23" s="188">
        <f>IF(Table_SummaryByScope[[#This Row],[Scope Name]]="","",SUMIFS(Table_ECM[Total Annual Utility Savings using Rates in Column W
($)],Table_ECM[Scope Name],Table_SummaryByScope[[#This Row],[Scope Name]]))</f>
        <v>0</v>
      </c>
      <c r="Z23" s="187" t="str">
        <f>IF(OR(Table_SummaryByScope[[#This Row],[Scope Name]]="",Table_SummaryByScope[[#This Row],[Annual Utility Savings
($)]]=0),"",(Table_SummaryByScope[[#This Row],[Cost to Install Measures ($)]]-Table_SummaryByScope[[#This Row],[Incentives &amp; Rebates ($)]])/Table_SummaryByScope[[#This Row],[Annual Utility Savings
($)]])</f>
        <v/>
      </c>
    </row>
    <row r="24" spans="2:36">
      <c r="B24" s="183"/>
      <c r="C24" s="169"/>
      <c r="D24" s="89"/>
      <c r="E24" s="92"/>
      <c r="F24" s="92"/>
      <c r="G24" s="91"/>
      <c r="H24" s="91"/>
      <c r="I24" s="91"/>
      <c r="J24" s="91"/>
      <c r="K24" s="91"/>
      <c r="L24" s="91"/>
      <c r="M24"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24" s="215"/>
      <c r="O24" s="174" t="e" cm="1">
        <f t="array" ref="O24">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24" s="95" t="e">
        <f>IF(Table_ECM[[#This Row],[Total Annual Utility Savings using Rates in Column W
($)]]=0,"",(Table_ECM[[#This Row],[Cost to Install Measures ($)]]-Table_ECM[[#This Row],[Incentives &amp; Rebates ($)]])/Table_ECM[[#This Row],[Total Annual Utility Savings using Rates in Column W
($)]])</f>
        <v>#N/A</v>
      </c>
      <c r="Q24" s="178" t="b">
        <v>1</v>
      </c>
      <c r="R24" s="165"/>
      <c r="S24" s="213"/>
      <c r="T24" s="163"/>
      <c r="U24" s="184"/>
      <c r="V24" s="186" t="str">
        <f>IF(Table_SummaryByScope[[#This Row],[Scope Name]]="","",SUMIFS(Table_ECM[Cost to Install Measures ($)],Table_ECM[Scope Name],Table_SummaryByScope[[#This Row],[Scope Name]]))</f>
        <v/>
      </c>
      <c r="W24" s="186" t="str">
        <f>IF(Table_SummaryByScope[[#This Row],[Scope Name]]="","",SUMIFS(Table_ECM[Incentives &amp; Rebates ($)],Table_ECM[Scope Name],Table_SummaryByScope[[#This Row],[Scope Name]]))</f>
        <v/>
      </c>
      <c r="X24" s="216" t="str">
        <f>IF(Table_SummaryByScope[[#This Row],[Scope Name]]="","",SUMIFS(Table_ECM[Total Annual Energy Savings
(kBtu)],Table_ECM[Scope Name],Table_SummaryByScope[[#This Row],[Scope Name]]))</f>
        <v/>
      </c>
      <c r="Y24" s="188" t="str">
        <f>IF(Table_SummaryByScope[[#This Row],[Scope Name]]="","",SUMIFS(Table_ECM[Total Annual Utility Savings using Rates in Column W
($)],Table_ECM[Scope Name],Table_SummaryByScope[[#This Row],[Scope Name]]))</f>
        <v/>
      </c>
      <c r="Z24" s="187" t="str">
        <f>IF(OR(Table_SummaryByScope[[#This Row],[Scope Name]]="",Table_SummaryByScope[[#This Row],[Annual Utility Savings
($)]]=0),"",(Table_SummaryByScope[[#This Row],[Cost to Install Measures ($)]]-Table_SummaryByScope[[#This Row],[Incentives &amp; Rebates ($)]])/Table_SummaryByScope[[#This Row],[Annual Utility Savings
($)]])</f>
        <v/>
      </c>
    </row>
    <row r="25" spans="2:36">
      <c r="B25" s="183"/>
      <c r="C25" s="169"/>
      <c r="D25" s="89"/>
      <c r="E25" s="92"/>
      <c r="F25" s="92"/>
      <c r="G25" s="91"/>
      <c r="H25" s="91"/>
      <c r="I25" s="91"/>
      <c r="J25" s="91"/>
      <c r="K25" s="91"/>
      <c r="L25" s="91"/>
      <c r="M25"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25" s="215"/>
      <c r="O25" s="174" t="e" cm="1">
        <f t="array" ref="O25">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25" s="95" t="e">
        <f>IF(Table_ECM[[#This Row],[Total Annual Utility Savings using Rates in Column W
($)]]=0,"",(Table_ECM[[#This Row],[Cost to Install Measures ($)]]-Table_ECM[[#This Row],[Incentives &amp; Rebates ($)]])/Table_ECM[[#This Row],[Total Annual Utility Savings using Rates in Column W
($)]])</f>
        <v>#N/A</v>
      </c>
      <c r="Q25" s="178" t="b">
        <v>1</v>
      </c>
      <c r="R25" s="165"/>
      <c r="S25" s="213"/>
      <c r="T25" s="163"/>
      <c r="U25" s="184"/>
      <c r="V25" s="186" t="str">
        <f>IF(Table_SummaryByScope[[#This Row],[Scope Name]]="","",SUMIFS(Table_ECM[Cost to Install Measures ($)],Table_ECM[Scope Name],Table_SummaryByScope[[#This Row],[Scope Name]]))</f>
        <v/>
      </c>
      <c r="W25" s="186" t="str">
        <f>IF(Table_SummaryByScope[[#This Row],[Scope Name]]="","",SUMIFS(Table_ECM[Incentives &amp; Rebates ($)],Table_ECM[Scope Name],Table_SummaryByScope[[#This Row],[Scope Name]]))</f>
        <v/>
      </c>
      <c r="X25" s="216" t="str">
        <f>IF(Table_SummaryByScope[[#This Row],[Scope Name]]="","",SUMIFS(Table_ECM[Total Annual Energy Savings
(kBtu)],Table_ECM[Scope Name],Table_SummaryByScope[[#This Row],[Scope Name]]))</f>
        <v/>
      </c>
      <c r="Y25" s="188" t="str">
        <f>IF(Table_SummaryByScope[[#This Row],[Scope Name]]="","",SUMIFS(Table_ECM[Total Annual Utility Savings using Rates in Column W
($)],Table_ECM[Scope Name],Table_SummaryByScope[[#This Row],[Scope Name]]))</f>
        <v/>
      </c>
      <c r="Z25" s="187" t="str">
        <f>IF(OR(Table_SummaryByScope[[#This Row],[Scope Name]]="",Table_SummaryByScope[[#This Row],[Annual Utility Savings
($)]]=0),"",(Table_SummaryByScope[[#This Row],[Cost to Install Measures ($)]]-Table_SummaryByScope[[#This Row],[Incentives &amp; Rebates ($)]])/Table_SummaryByScope[[#This Row],[Annual Utility Savings
($)]])</f>
        <v/>
      </c>
    </row>
    <row r="26" spans="2:36">
      <c r="B26" s="183"/>
      <c r="C26" s="169"/>
      <c r="D26" s="89"/>
      <c r="E26" s="92"/>
      <c r="F26" s="92"/>
      <c r="G26" s="91"/>
      <c r="H26" s="91"/>
      <c r="I26" s="91"/>
      <c r="J26" s="91"/>
      <c r="K26" s="91"/>
      <c r="L26" s="91"/>
      <c r="M26"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26" s="215"/>
      <c r="O26" s="174" t="e" cm="1">
        <f t="array" ref="O26">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26" s="95" t="e">
        <f>IF(Table_ECM[[#This Row],[Total Annual Utility Savings using Rates in Column W
($)]]=0,"",(Table_ECM[[#This Row],[Cost to Install Measures ($)]]-Table_ECM[[#This Row],[Incentives &amp; Rebates ($)]])/Table_ECM[[#This Row],[Total Annual Utility Savings using Rates in Column W
($)]])</f>
        <v>#N/A</v>
      </c>
      <c r="Q26" s="178" t="b">
        <v>1</v>
      </c>
      <c r="R26" s="165"/>
      <c r="S26" s="214"/>
      <c r="T26" s="163"/>
      <c r="U26" s="184"/>
      <c r="V26" s="186" t="str">
        <f>IF(Table_SummaryByScope[[#This Row],[Scope Name]]="","",SUMIFS(Table_ECM[Cost to Install Measures ($)],Table_ECM[Scope Name],Table_SummaryByScope[[#This Row],[Scope Name]]))</f>
        <v/>
      </c>
      <c r="W26" s="186" t="str">
        <f>IF(Table_SummaryByScope[[#This Row],[Scope Name]]="","",SUMIFS(Table_ECM[Incentives &amp; Rebates ($)],Table_ECM[Scope Name],Table_SummaryByScope[[#This Row],[Scope Name]]))</f>
        <v/>
      </c>
      <c r="X26" s="216" t="str">
        <f>IF(Table_SummaryByScope[[#This Row],[Scope Name]]="","",SUMIFS(Table_ECM[Total Annual Energy Savings
(kBtu)],Table_ECM[Scope Name],Table_SummaryByScope[[#This Row],[Scope Name]]))</f>
        <v/>
      </c>
      <c r="Y26" s="188" t="str">
        <f>IF(Table_SummaryByScope[[#This Row],[Scope Name]]="","",SUMIFS(Table_ECM[Total Annual Utility Savings using Rates in Column W
($)],Table_ECM[Scope Name],Table_SummaryByScope[[#This Row],[Scope Name]]))</f>
        <v/>
      </c>
      <c r="Z26" s="187" t="str">
        <f>IF(OR(Table_SummaryByScope[[#This Row],[Scope Name]]="",Table_SummaryByScope[[#This Row],[Annual Utility Savings
($)]]=0),"",(Table_SummaryByScope[[#This Row],[Cost to Install Measures ($)]]-Table_SummaryByScope[[#This Row],[Incentives &amp; Rebates ($)]])/Table_SummaryByScope[[#This Row],[Annual Utility Savings
($)]])</f>
        <v/>
      </c>
    </row>
    <row r="27" spans="2:36">
      <c r="B27" s="183"/>
      <c r="C27" s="169"/>
      <c r="D27" s="89"/>
      <c r="E27" s="92"/>
      <c r="F27" s="92"/>
      <c r="G27" s="91"/>
      <c r="H27" s="91"/>
      <c r="I27" s="91"/>
      <c r="J27" s="91"/>
      <c r="K27" s="91"/>
      <c r="L27" s="91"/>
      <c r="M27"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27" s="215"/>
      <c r="O27" s="174" t="e" cm="1">
        <f t="array" ref="O27">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27" s="95" t="e">
        <f>IF(Table_ECM[[#This Row],[Total Annual Utility Savings using Rates in Column W
($)]]=0,"",(Table_ECM[[#This Row],[Cost to Install Measures ($)]]-Table_ECM[[#This Row],[Incentives &amp; Rebates ($)]])/Table_ECM[[#This Row],[Total Annual Utility Savings using Rates in Column W
($)]])</f>
        <v>#N/A</v>
      </c>
      <c r="Q27" s="178" t="b">
        <v>1</v>
      </c>
      <c r="R27" s="165"/>
      <c r="S27" s="214"/>
      <c r="T27" s="163"/>
      <c r="U27" s="184"/>
      <c r="V27" s="186" t="str">
        <f>IF(Table_SummaryByScope[[#This Row],[Scope Name]]="","",SUMIFS(Table_ECM[Cost to Install Measures ($)],Table_ECM[Scope Name],Table_SummaryByScope[[#This Row],[Scope Name]]))</f>
        <v/>
      </c>
      <c r="W27" s="186" t="str">
        <f>IF(Table_SummaryByScope[[#This Row],[Scope Name]]="","",SUMIFS(Table_ECM[Incentives &amp; Rebates ($)],Table_ECM[Scope Name],Table_SummaryByScope[[#This Row],[Scope Name]]))</f>
        <v/>
      </c>
      <c r="X27" s="216" t="str">
        <f>IF(Table_SummaryByScope[[#This Row],[Scope Name]]="","",SUMIFS(Table_ECM[Total Annual Energy Savings
(kBtu)],Table_ECM[Scope Name],Table_SummaryByScope[[#This Row],[Scope Name]]))</f>
        <v/>
      </c>
      <c r="Y27" s="188" t="str">
        <f>IF(Table_SummaryByScope[[#This Row],[Scope Name]]="","",SUMIFS(Table_ECM[Total Annual Utility Savings using Rates in Column W
($)],Table_ECM[Scope Name],Table_SummaryByScope[[#This Row],[Scope Name]]))</f>
        <v/>
      </c>
      <c r="Z27" s="187" t="str">
        <f>IF(OR(Table_SummaryByScope[[#This Row],[Scope Name]]="",Table_SummaryByScope[[#This Row],[Annual Utility Savings
($)]]=0),"",(Table_SummaryByScope[[#This Row],[Cost to Install Measures ($)]]-Table_SummaryByScope[[#This Row],[Incentives &amp; Rebates ($)]])/Table_SummaryByScope[[#This Row],[Annual Utility Savings
($)]])</f>
        <v/>
      </c>
    </row>
    <row r="28" spans="2:36">
      <c r="B28" s="183"/>
      <c r="C28" s="169"/>
      <c r="D28" s="89"/>
      <c r="E28" s="92"/>
      <c r="F28" s="92"/>
      <c r="G28" s="91"/>
      <c r="H28" s="91"/>
      <c r="I28" s="91"/>
      <c r="J28" s="91"/>
      <c r="K28" s="91"/>
      <c r="L28" s="91"/>
      <c r="M28"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28" s="215"/>
      <c r="O28" s="174" t="e" cm="1">
        <f t="array" ref="O28">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28" s="95" t="e">
        <f>IF(Table_ECM[[#This Row],[Total Annual Utility Savings using Rates in Column W
($)]]=0,"",(Table_ECM[[#This Row],[Cost to Install Measures ($)]]-Table_ECM[[#This Row],[Incentives &amp; Rebates ($)]])/Table_ECM[[#This Row],[Total Annual Utility Savings using Rates in Column W
($)]])</f>
        <v>#N/A</v>
      </c>
      <c r="Q28" s="178" t="b">
        <v>1</v>
      </c>
      <c r="R28" s="165"/>
      <c r="S28" s="214"/>
      <c r="T28" s="163"/>
      <c r="U28" s="184"/>
      <c r="V28" s="186" t="str">
        <f>IF(Table_SummaryByScope[[#This Row],[Scope Name]]="","",SUMIFS(Table_ECM[Cost to Install Measures ($)],Table_ECM[Scope Name],Table_SummaryByScope[[#This Row],[Scope Name]]))</f>
        <v/>
      </c>
      <c r="W28" s="186" t="str">
        <f>IF(Table_SummaryByScope[[#This Row],[Scope Name]]="","",SUMIFS(Table_ECM[Incentives &amp; Rebates ($)],Table_ECM[Scope Name],Table_SummaryByScope[[#This Row],[Scope Name]]))</f>
        <v/>
      </c>
      <c r="X28" s="216" t="str">
        <f>IF(Table_SummaryByScope[[#This Row],[Scope Name]]="","",SUMIFS(Table_ECM[Total Annual Energy Savings
(kBtu)],Table_ECM[Scope Name],Table_SummaryByScope[[#This Row],[Scope Name]]))</f>
        <v/>
      </c>
      <c r="Y28" s="188" t="str">
        <f>IF(Table_SummaryByScope[[#This Row],[Scope Name]]="","",SUMIFS(Table_ECM[Total Annual Utility Savings using Rates in Column W
($)],Table_ECM[Scope Name],Table_SummaryByScope[[#This Row],[Scope Name]]))</f>
        <v/>
      </c>
      <c r="Z28" s="187" t="str">
        <f>IF(OR(Table_SummaryByScope[[#This Row],[Scope Name]]="",Table_SummaryByScope[[#This Row],[Annual Utility Savings
($)]]=0),"",(Table_SummaryByScope[[#This Row],[Cost to Install Measures ($)]]-Table_SummaryByScope[[#This Row],[Incentives &amp; Rebates ($)]])/Table_SummaryByScope[[#This Row],[Annual Utility Savings
($)]])</f>
        <v/>
      </c>
    </row>
    <row r="29" spans="2:36">
      <c r="B29" s="183"/>
      <c r="C29" s="169"/>
      <c r="D29" s="89"/>
      <c r="E29" s="92"/>
      <c r="F29" s="92"/>
      <c r="G29" s="91"/>
      <c r="H29" s="91"/>
      <c r="I29" s="91"/>
      <c r="J29" s="91"/>
      <c r="K29" s="91"/>
      <c r="L29" s="91"/>
      <c r="M29"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29" s="215"/>
      <c r="O29" s="174" t="e" cm="1">
        <f t="array" ref="O29">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29" s="95" t="e">
        <f>IF(Table_ECM[[#This Row],[Total Annual Utility Savings using Rates in Column W
($)]]=0,"",(Table_ECM[[#This Row],[Cost to Install Measures ($)]]-Table_ECM[[#This Row],[Incentives &amp; Rebates ($)]])/Table_ECM[[#This Row],[Total Annual Utility Savings using Rates in Column W
($)]])</f>
        <v>#N/A</v>
      </c>
      <c r="Q29" s="178" t="b">
        <v>1</v>
      </c>
      <c r="R29" s="165"/>
      <c r="S29" s="214"/>
      <c r="T29" s="163"/>
      <c r="U29" s="184"/>
      <c r="V29" s="186" t="str">
        <f>IF(Table_SummaryByScope[[#This Row],[Scope Name]]="","",SUMIFS(Table_ECM[Cost to Install Measures ($)],Table_ECM[Scope Name],Table_SummaryByScope[[#This Row],[Scope Name]]))</f>
        <v/>
      </c>
      <c r="W29" s="186" t="str">
        <f>IF(Table_SummaryByScope[[#This Row],[Scope Name]]="","",SUMIFS(Table_ECM[Incentives &amp; Rebates ($)],Table_ECM[Scope Name],Table_SummaryByScope[[#This Row],[Scope Name]]))</f>
        <v/>
      </c>
      <c r="X29" s="216" t="str">
        <f>IF(Table_SummaryByScope[[#This Row],[Scope Name]]="","",SUMIFS(Table_ECM[Total Annual Energy Savings
(kBtu)],Table_ECM[Scope Name],Table_SummaryByScope[[#This Row],[Scope Name]]))</f>
        <v/>
      </c>
      <c r="Y29" s="188" t="str">
        <f>IF(Table_SummaryByScope[[#This Row],[Scope Name]]="","",SUMIFS(Table_ECM[Total Annual Utility Savings using Rates in Column W
($)],Table_ECM[Scope Name],Table_SummaryByScope[[#This Row],[Scope Name]]))</f>
        <v/>
      </c>
      <c r="Z29" s="187" t="str">
        <f>IF(OR(Table_SummaryByScope[[#This Row],[Scope Name]]="",Table_SummaryByScope[[#This Row],[Annual Utility Savings
($)]]=0),"",(Table_SummaryByScope[[#This Row],[Cost to Install Measures ($)]]-Table_SummaryByScope[[#This Row],[Incentives &amp; Rebates ($)]])/Table_SummaryByScope[[#This Row],[Annual Utility Savings
($)]])</f>
        <v/>
      </c>
    </row>
    <row r="30" spans="2:36">
      <c r="B30" s="183"/>
      <c r="C30" s="169"/>
      <c r="D30" s="89"/>
      <c r="E30" s="92"/>
      <c r="F30" s="92"/>
      <c r="G30" s="91"/>
      <c r="H30" s="91"/>
      <c r="I30" s="91"/>
      <c r="J30" s="91"/>
      <c r="K30" s="91"/>
      <c r="L30" s="91"/>
      <c r="M30"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30" s="215"/>
      <c r="O30" s="174" t="e" cm="1">
        <f t="array" ref="O30">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30" s="95" t="e">
        <f>IF(Table_ECM[[#This Row],[Total Annual Utility Savings using Rates in Column W
($)]]=0,"",(Table_ECM[[#This Row],[Cost to Install Measures ($)]]-Table_ECM[[#This Row],[Incentives &amp; Rebates ($)]])/Table_ECM[[#This Row],[Total Annual Utility Savings using Rates in Column W
($)]])</f>
        <v>#N/A</v>
      </c>
      <c r="Q30" s="178" t="b">
        <v>1</v>
      </c>
      <c r="R30" s="165"/>
      <c r="S30" s="214"/>
      <c r="T30" s="163"/>
      <c r="U30" s="184"/>
      <c r="V30" s="186" t="str">
        <f>IF(Table_SummaryByScope[[#This Row],[Scope Name]]="","",SUMIFS(Table_ECM[Cost to Install Measures ($)],Table_ECM[Scope Name],Table_SummaryByScope[[#This Row],[Scope Name]]))</f>
        <v/>
      </c>
      <c r="W30" s="186" t="str">
        <f>IF(Table_SummaryByScope[[#This Row],[Scope Name]]="","",SUMIFS(Table_ECM[Incentives &amp; Rebates ($)],Table_ECM[Scope Name],Table_SummaryByScope[[#This Row],[Scope Name]]))</f>
        <v/>
      </c>
      <c r="X30" s="216" t="str">
        <f>IF(Table_SummaryByScope[[#This Row],[Scope Name]]="","",SUMIFS(Table_ECM[Total Annual Energy Savings
(kBtu)],Table_ECM[Scope Name],Table_SummaryByScope[[#This Row],[Scope Name]]))</f>
        <v/>
      </c>
      <c r="Y30" s="188" t="str">
        <f>IF(Table_SummaryByScope[[#This Row],[Scope Name]]="","",SUMIFS(Table_ECM[Total Annual Utility Savings using Rates in Column W
($)],Table_ECM[Scope Name],Table_SummaryByScope[[#This Row],[Scope Name]]))</f>
        <v/>
      </c>
      <c r="Z30" s="187" t="str">
        <f>IF(OR(Table_SummaryByScope[[#This Row],[Scope Name]]="",Table_SummaryByScope[[#This Row],[Annual Utility Savings
($)]]=0),"",(Table_SummaryByScope[[#This Row],[Cost to Install Measures ($)]]-Table_SummaryByScope[[#This Row],[Incentives &amp; Rebates ($)]])/Table_SummaryByScope[[#This Row],[Annual Utility Savings
($)]])</f>
        <v/>
      </c>
    </row>
    <row r="31" spans="2:36">
      <c r="B31" s="183"/>
      <c r="C31" s="169"/>
      <c r="D31" s="89"/>
      <c r="E31" s="92"/>
      <c r="F31" s="92"/>
      <c r="G31" s="91"/>
      <c r="H31" s="91"/>
      <c r="I31" s="91"/>
      <c r="J31" s="91"/>
      <c r="K31" s="91"/>
      <c r="L31" s="91"/>
      <c r="M31"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31" s="215"/>
      <c r="O31" s="174" t="e" cm="1">
        <f t="array" ref="O31">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31" s="95" t="e">
        <f>IF(Table_ECM[[#This Row],[Total Annual Utility Savings using Rates in Column W
($)]]=0,"",(Table_ECM[[#This Row],[Cost to Install Measures ($)]]-Table_ECM[[#This Row],[Incentives &amp; Rebates ($)]])/Table_ECM[[#This Row],[Total Annual Utility Savings using Rates in Column W
($)]])</f>
        <v>#N/A</v>
      </c>
      <c r="Q31" s="178" t="b">
        <v>1</v>
      </c>
      <c r="R31" s="165"/>
      <c r="S31" s="214"/>
      <c r="T31" s="163"/>
      <c r="U31" s="184"/>
      <c r="V31" s="186" t="str">
        <f>IF(Table_SummaryByScope[[#This Row],[Scope Name]]="","",SUMIFS(Table_ECM[Cost to Install Measures ($)],Table_ECM[Scope Name],Table_SummaryByScope[[#This Row],[Scope Name]]))</f>
        <v/>
      </c>
      <c r="W31" s="186" t="str">
        <f>IF(Table_SummaryByScope[[#This Row],[Scope Name]]="","",SUMIFS(Table_ECM[Incentives &amp; Rebates ($)],Table_ECM[Scope Name],Table_SummaryByScope[[#This Row],[Scope Name]]))</f>
        <v/>
      </c>
      <c r="X31" s="216" t="str">
        <f>IF(Table_SummaryByScope[[#This Row],[Scope Name]]="","",SUMIFS(Table_ECM[Total Annual Energy Savings
(kBtu)],Table_ECM[Scope Name],Table_SummaryByScope[[#This Row],[Scope Name]]))</f>
        <v/>
      </c>
      <c r="Y31" s="188" t="str">
        <f>IF(Table_SummaryByScope[[#This Row],[Scope Name]]="","",SUMIFS(Table_ECM[Total Annual Utility Savings using Rates in Column W
($)],Table_ECM[Scope Name],Table_SummaryByScope[[#This Row],[Scope Name]]))</f>
        <v/>
      </c>
      <c r="Z31" s="187" t="str">
        <f>IF(OR(Table_SummaryByScope[[#This Row],[Scope Name]]="",Table_SummaryByScope[[#This Row],[Annual Utility Savings
($)]]=0),"",(Table_SummaryByScope[[#This Row],[Cost to Install Measures ($)]]-Table_SummaryByScope[[#This Row],[Incentives &amp; Rebates ($)]])/Table_SummaryByScope[[#This Row],[Annual Utility Savings
($)]])</f>
        <v/>
      </c>
    </row>
    <row r="32" spans="2:36">
      <c r="B32" s="183"/>
      <c r="C32" s="169"/>
      <c r="D32" s="89"/>
      <c r="E32" s="92"/>
      <c r="F32" s="92"/>
      <c r="G32" s="91"/>
      <c r="H32" s="91"/>
      <c r="I32" s="91"/>
      <c r="J32" s="91"/>
      <c r="K32" s="91"/>
      <c r="L32" s="91"/>
      <c r="M32"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32" s="215"/>
      <c r="O32" s="174" t="e" cm="1">
        <f t="array" ref="O32">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32" s="95" t="e">
        <f>IF(Table_ECM[[#This Row],[Total Annual Utility Savings using Rates in Column W
($)]]=0,"",(Table_ECM[[#This Row],[Cost to Install Measures ($)]]-Table_ECM[[#This Row],[Incentives &amp; Rebates ($)]])/Table_ECM[[#This Row],[Total Annual Utility Savings using Rates in Column W
($)]])</f>
        <v>#N/A</v>
      </c>
      <c r="Q32" s="178" t="b">
        <v>1</v>
      </c>
      <c r="R32" s="165"/>
      <c r="S32" s="214"/>
      <c r="T32" s="163"/>
      <c r="U32" s="184"/>
      <c r="V32" s="186" t="str">
        <f>IF(Table_SummaryByScope[[#This Row],[Scope Name]]="","",SUMIFS(Table_ECM[Cost to Install Measures ($)],Table_ECM[Scope Name],Table_SummaryByScope[[#This Row],[Scope Name]]))</f>
        <v/>
      </c>
      <c r="W32" s="186" t="str">
        <f>IF(Table_SummaryByScope[[#This Row],[Scope Name]]="","",SUMIFS(Table_ECM[Incentives &amp; Rebates ($)],Table_ECM[Scope Name],Table_SummaryByScope[[#This Row],[Scope Name]]))</f>
        <v/>
      </c>
      <c r="X32" s="216" t="str">
        <f>IF(Table_SummaryByScope[[#This Row],[Scope Name]]="","",SUMIFS(Table_ECM[Total Annual Energy Savings
(kBtu)],Table_ECM[Scope Name],Table_SummaryByScope[[#This Row],[Scope Name]]))</f>
        <v/>
      </c>
      <c r="Y32" s="188" t="str">
        <f>IF(Table_SummaryByScope[[#This Row],[Scope Name]]="","",SUMIFS(Table_ECM[Total Annual Utility Savings using Rates in Column W
($)],Table_ECM[Scope Name],Table_SummaryByScope[[#This Row],[Scope Name]]))</f>
        <v/>
      </c>
      <c r="Z32" s="187" t="str">
        <f>IF(OR(Table_SummaryByScope[[#This Row],[Scope Name]]="",Table_SummaryByScope[[#This Row],[Annual Utility Savings
($)]]=0),"",(Table_SummaryByScope[[#This Row],[Cost to Install Measures ($)]]-Table_SummaryByScope[[#This Row],[Incentives &amp; Rebates ($)]])/Table_SummaryByScope[[#This Row],[Annual Utility Savings
($)]])</f>
        <v/>
      </c>
    </row>
    <row r="33" spans="2:36">
      <c r="B33" s="183"/>
      <c r="C33" s="169"/>
      <c r="D33" s="89"/>
      <c r="E33" s="92"/>
      <c r="F33" s="92"/>
      <c r="G33" s="91"/>
      <c r="H33" s="91"/>
      <c r="I33" s="91"/>
      <c r="J33" s="91"/>
      <c r="K33" s="91"/>
      <c r="L33" s="91"/>
      <c r="M33"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33" s="215"/>
      <c r="O33" s="174" t="e" cm="1">
        <f t="array" ref="O33">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33" s="95" t="e">
        <f>IF(Table_ECM[[#This Row],[Total Annual Utility Savings using Rates in Column W
($)]]=0,"",(Table_ECM[[#This Row],[Cost to Install Measures ($)]]-Table_ECM[[#This Row],[Incentives &amp; Rebates ($)]])/Table_ECM[[#This Row],[Total Annual Utility Savings using Rates in Column W
($)]])</f>
        <v>#N/A</v>
      </c>
      <c r="Q33" s="178" t="b">
        <v>1</v>
      </c>
      <c r="R33" s="165"/>
      <c r="S33" s="214"/>
      <c r="T33" s="163"/>
      <c r="U33" s="184"/>
      <c r="V33" s="186" t="str">
        <f>IF(Table_SummaryByScope[[#This Row],[Scope Name]]="","",SUMIFS(Table_ECM[Cost to Install Measures ($)],Table_ECM[Scope Name],Table_SummaryByScope[[#This Row],[Scope Name]]))</f>
        <v/>
      </c>
      <c r="W33" s="186" t="str">
        <f>IF(Table_SummaryByScope[[#This Row],[Scope Name]]="","",SUMIFS(Table_ECM[Incentives &amp; Rebates ($)],Table_ECM[Scope Name],Table_SummaryByScope[[#This Row],[Scope Name]]))</f>
        <v/>
      </c>
      <c r="X33" s="216" t="str">
        <f>IF(Table_SummaryByScope[[#This Row],[Scope Name]]="","",SUMIFS(Table_ECM[Total Annual Energy Savings
(kBtu)],Table_ECM[Scope Name],Table_SummaryByScope[[#This Row],[Scope Name]]))</f>
        <v/>
      </c>
      <c r="Y33" s="188" t="str">
        <f>IF(Table_SummaryByScope[[#This Row],[Scope Name]]="","",SUMIFS(Table_ECM[Total Annual Utility Savings using Rates in Column W
($)],Table_ECM[Scope Name],Table_SummaryByScope[[#This Row],[Scope Name]]))</f>
        <v/>
      </c>
      <c r="Z33" s="187" t="str">
        <f>IF(OR(Table_SummaryByScope[[#This Row],[Scope Name]]="",Table_SummaryByScope[[#This Row],[Annual Utility Savings
($)]]=0),"",(Table_SummaryByScope[[#This Row],[Cost to Install Measures ($)]]-Table_SummaryByScope[[#This Row],[Incentives &amp; Rebates ($)]])/Table_SummaryByScope[[#This Row],[Annual Utility Savings
($)]])</f>
        <v/>
      </c>
    </row>
    <row r="34" spans="2:36">
      <c r="B34" s="183"/>
      <c r="C34" s="169"/>
      <c r="D34" s="89"/>
      <c r="E34" s="92"/>
      <c r="F34" s="92"/>
      <c r="G34" s="91"/>
      <c r="H34" s="91"/>
      <c r="I34" s="91"/>
      <c r="J34" s="91"/>
      <c r="K34" s="91"/>
      <c r="L34" s="91"/>
      <c r="M34"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34" s="215"/>
      <c r="O34" s="174" t="e" cm="1">
        <f t="array" ref="O34">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34" s="95" t="e">
        <f>IF(Table_ECM[[#This Row],[Total Annual Utility Savings using Rates in Column W
($)]]=0,"",(Table_ECM[[#This Row],[Cost to Install Measures ($)]]-Table_ECM[[#This Row],[Incentives &amp; Rebates ($)]])/Table_ECM[[#This Row],[Total Annual Utility Savings using Rates in Column W
($)]])</f>
        <v>#N/A</v>
      </c>
      <c r="Q34" s="178" t="b">
        <v>1</v>
      </c>
      <c r="R34" s="165"/>
      <c r="S34" s="214"/>
      <c r="T34" s="163"/>
      <c r="U34" s="184"/>
      <c r="V34" s="186" t="str">
        <f>IF(Table_SummaryByScope[[#This Row],[Scope Name]]="","",SUMIFS(Table_ECM[Cost to Install Measures ($)],Table_ECM[Scope Name],Table_SummaryByScope[[#This Row],[Scope Name]]))</f>
        <v/>
      </c>
      <c r="W34" s="186" t="str">
        <f>IF(Table_SummaryByScope[[#This Row],[Scope Name]]="","",SUMIFS(Table_ECM[Incentives &amp; Rebates ($)],Table_ECM[Scope Name],Table_SummaryByScope[[#This Row],[Scope Name]]))</f>
        <v/>
      </c>
      <c r="X34" s="216" t="str">
        <f>IF(Table_SummaryByScope[[#This Row],[Scope Name]]="","",SUMIFS(Table_ECM[Total Annual Energy Savings
(kBtu)],Table_ECM[Scope Name],Table_SummaryByScope[[#This Row],[Scope Name]]))</f>
        <v/>
      </c>
      <c r="Y34" s="188" t="str">
        <f>IF(Table_SummaryByScope[[#This Row],[Scope Name]]="","",SUMIFS(Table_ECM[Total Annual Utility Savings using Rates in Column W
($)],Table_ECM[Scope Name],Table_SummaryByScope[[#This Row],[Scope Name]]))</f>
        <v/>
      </c>
      <c r="Z34" s="187" t="str">
        <f>IF(OR(Table_SummaryByScope[[#This Row],[Scope Name]]="",Table_SummaryByScope[[#This Row],[Annual Utility Savings
($)]]=0),"",(Table_SummaryByScope[[#This Row],[Cost to Install Measures ($)]]-Table_SummaryByScope[[#This Row],[Incentives &amp; Rebates ($)]])/Table_SummaryByScope[[#This Row],[Annual Utility Savings
($)]])</f>
        <v/>
      </c>
    </row>
    <row r="35" spans="2:36">
      <c r="B35" s="183"/>
      <c r="C35" s="169"/>
      <c r="D35" s="89"/>
      <c r="E35" s="92"/>
      <c r="F35" s="92"/>
      <c r="G35" s="91"/>
      <c r="H35" s="91"/>
      <c r="I35" s="91"/>
      <c r="J35" s="91"/>
      <c r="K35" s="91"/>
      <c r="L35" s="91"/>
      <c r="M35" s="96">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35" s="215"/>
      <c r="O35" s="174" t="e" cm="1">
        <f t="array" ref="O35">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35" s="95" t="e">
        <f>IF(Table_ECM[[#This Row],[Total Annual Utility Savings using Rates in Column W
($)]]=0,"",(Table_ECM[[#This Row],[Cost to Install Measures ($)]]-Table_ECM[[#This Row],[Incentives &amp; Rebates ($)]])/Table_ECM[[#This Row],[Total Annual Utility Savings using Rates in Column W
($)]])</f>
        <v>#N/A</v>
      </c>
      <c r="Q35" s="178" t="b">
        <v>0</v>
      </c>
      <c r="R35" s="165"/>
      <c r="S35" s="214"/>
      <c r="T35" s="163"/>
      <c r="U35" s="184"/>
      <c r="V35" s="186" t="str">
        <f>IF(Table_SummaryByScope[[#This Row],[Scope Name]]="","",SUMIFS(Table_ECM[Cost to Install Measures ($)],Table_ECM[Scope Name],Table_SummaryByScope[[#This Row],[Scope Name]]))</f>
        <v/>
      </c>
      <c r="W35" s="186" t="str">
        <f>IF(Table_SummaryByScope[[#This Row],[Scope Name]]="","",SUMIFS(Table_ECM[Incentives &amp; Rebates ($)],Table_ECM[Scope Name],Table_SummaryByScope[[#This Row],[Scope Name]]))</f>
        <v/>
      </c>
      <c r="X35" s="216" t="str">
        <f>IF(Table_SummaryByScope[[#This Row],[Scope Name]]="","",SUMIFS(Table_ECM[Total Annual Energy Savings
(kBtu)],Table_ECM[Scope Name],Table_SummaryByScope[[#This Row],[Scope Name]]))</f>
        <v/>
      </c>
      <c r="Y35" s="188" t="str">
        <f>IF(Table_SummaryByScope[[#This Row],[Scope Name]]="","",SUMIFS(Table_ECM[Total Annual Utility Savings using Rates in Column W
($)],Table_ECM[Scope Name],Table_SummaryByScope[[#This Row],[Scope Name]]))</f>
        <v/>
      </c>
      <c r="Z35" s="187" t="str">
        <f>IF(OR(Table_SummaryByScope[[#This Row],[Scope Name]]="",Table_SummaryByScope[[#This Row],[Annual Utility Savings
($)]]=0),"",(Table_SummaryByScope[[#This Row],[Cost to Install Measures ($)]]-Table_SummaryByScope[[#This Row],[Incentives &amp; Rebates ($)]])/Table_SummaryByScope[[#This Row],[Annual Utility Savings
($)]])</f>
        <v/>
      </c>
    </row>
    <row r="36" spans="2:36">
      <c r="B36" s="183"/>
      <c r="C36" s="169"/>
      <c r="D36" s="89"/>
      <c r="E36" s="93"/>
      <c r="F36" s="93"/>
      <c r="G36" s="91"/>
      <c r="H36" s="91"/>
      <c r="I36" s="91"/>
      <c r="J36" s="91"/>
      <c r="K36" s="91"/>
      <c r="L36" s="91"/>
      <c r="M36" s="97">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36" s="215"/>
      <c r="O36" s="174" t="e" cm="1">
        <f t="array" ref="O36">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36" s="95" t="e">
        <f>IF(Table_ECM[[#This Row],[Total Annual Utility Savings using Rates in Column W
($)]]=0,"",(Table_ECM[[#This Row],[Cost to Install Measures ($)]]-Table_ECM[[#This Row],[Incentives &amp; Rebates ($)]])/Table_ECM[[#This Row],[Total Annual Utility Savings using Rates in Column W
($)]])</f>
        <v>#N/A</v>
      </c>
      <c r="Q36" s="178" t="b">
        <v>0</v>
      </c>
      <c r="R36" s="165"/>
      <c r="S36" s="213"/>
      <c r="T36" s="163"/>
      <c r="U36" s="184"/>
      <c r="V36" s="186" t="str">
        <f>IF(Table_SummaryByScope[[#This Row],[Scope Name]]="","",SUMIFS(Table_ECM[Cost to Install Measures ($)],Table_ECM[Scope Name],Table_SummaryByScope[[#This Row],[Scope Name]]))</f>
        <v/>
      </c>
      <c r="W36" s="186" t="str">
        <f>IF(Table_SummaryByScope[[#This Row],[Scope Name]]="","",SUMIFS(Table_ECM[Incentives &amp; Rebates ($)],Table_ECM[Scope Name],Table_SummaryByScope[[#This Row],[Scope Name]]))</f>
        <v/>
      </c>
      <c r="X36" s="216" t="str">
        <f>IF(Table_SummaryByScope[[#This Row],[Scope Name]]="","",SUMIFS(Table_ECM[Total Annual Energy Savings
(kBtu)],Table_ECM[Scope Name],Table_SummaryByScope[[#This Row],[Scope Name]]))</f>
        <v/>
      </c>
      <c r="Y36" s="188" t="str">
        <f>IF(Table_SummaryByScope[[#This Row],[Scope Name]]="","",SUMIFS(Table_ECM[Total Annual Utility Savings using Rates in Column W
($)],Table_ECM[Scope Name],Table_SummaryByScope[[#This Row],[Scope Name]]))</f>
        <v/>
      </c>
      <c r="Z36" s="187" t="str">
        <f>IF(OR(Table_SummaryByScope[[#This Row],[Scope Name]]="",Table_SummaryByScope[[#This Row],[Annual Utility Savings
($)]]=0),"",(Table_SummaryByScope[[#This Row],[Cost to Install Measures ($)]]-Table_SummaryByScope[[#This Row],[Incentives &amp; Rebates ($)]])/Table_SummaryByScope[[#This Row],[Annual Utility Savings
($)]])</f>
        <v/>
      </c>
    </row>
    <row r="37" spans="2:36">
      <c r="B37" s="183"/>
      <c r="C37" s="169"/>
      <c r="D37" s="89"/>
      <c r="E37" s="93"/>
      <c r="F37" s="93"/>
      <c r="G37" s="91"/>
      <c r="H37" s="91"/>
      <c r="I37" s="91"/>
      <c r="J37" s="91"/>
      <c r="K37" s="91"/>
      <c r="L37" s="91"/>
      <c r="M37" s="97">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37" s="215"/>
      <c r="O37" s="174" t="e" cm="1">
        <f t="array" ref="O37">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37" s="95" t="e">
        <f>IF(Table_ECM[[#This Row],[Total Annual Utility Savings using Rates in Column W
($)]]=0,"",(Table_ECM[[#This Row],[Cost to Install Measures ($)]]-Table_ECM[[#This Row],[Incentives &amp; Rebates ($)]])/Table_ECM[[#This Row],[Total Annual Utility Savings using Rates in Column W
($)]])</f>
        <v>#N/A</v>
      </c>
      <c r="Q37" s="178" t="b">
        <v>0</v>
      </c>
      <c r="R37" s="165"/>
      <c r="S37" s="213"/>
      <c r="T37" s="163"/>
      <c r="U37" s="184"/>
      <c r="V37" s="186" t="str">
        <f>IF(Table_SummaryByScope[[#This Row],[Scope Name]]="","",SUMIFS(Table_ECM[Cost to Install Measures ($)],Table_ECM[Scope Name],Table_SummaryByScope[[#This Row],[Scope Name]]))</f>
        <v/>
      </c>
      <c r="W37" s="186" t="str">
        <f>IF(Table_SummaryByScope[[#This Row],[Scope Name]]="","",SUMIFS(Table_ECM[Incentives &amp; Rebates ($)],Table_ECM[Scope Name],Table_SummaryByScope[[#This Row],[Scope Name]]))</f>
        <v/>
      </c>
      <c r="X37" s="216" t="str">
        <f>IF(Table_SummaryByScope[[#This Row],[Scope Name]]="","",SUMIFS(Table_ECM[Total Annual Energy Savings
(kBtu)],Table_ECM[Scope Name],Table_SummaryByScope[[#This Row],[Scope Name]]))</f>
        <v/>
      </c>
      <c r="Y37" s="188" t="str">
        <f>IF(Table_SummaryByScope[[#This Row],[Scope Name]]="","",SUMIFS(Table_ECM[Total Annual Utility Savings using Rates in Column W
($)],Table_ECM[Scope Name],Table_SummaryByScope[[#This Row],[Scope Name]]))</f>
        <v/>
      </c>
      <c r="Z37" s="187" t="str">
        <f>IF(OR(Table_SummaryByScope[[#This Row],[Scope Name]]="",Table_SummaryByScope[[#This Row],[Annual Utility Savings
($)]]=0),"",(Table_SummaryByScope[[#This Row],[Cost to Install Measures ($)]]-Table_SummaryByScope[[#This Row],[Incentives &amp; Rebates ($)]])/Table_SummaryByScope[[#This Row],[Annual Utility Savings
($)]])</f>
        <v/>
      </c>
    </row>
    <row r="38" spans="2:36">
      <c r="B38" s="183"/>
      <c r="C38" s="169"/>
      <c r="D38" s="89"/>
      <c r="E38" s="93"/>
      <c r="F38" s="93"/>
      <c r="G38" s="91"/>
      <c r="H38" s="91"/>
      <c r="I38" s="91"/>
      <c r="J38" s="91"/>
      <c r="K38" s="91"/>
      <c r="L38" s="91"/>
      <c r="M38" s="97">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38" s="215"/>
      <c r="O38" s="174" t="e" cm="1">
        <f t="array" ref="O38">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38" s="95" t="e">
        <f>IF(Table_ECM[[#This Row],[Total Annual Utility Savings using Rates in Column W
($)]]=0,"",(Table_ECM[[#This Row],[Cost to Install Measures ($)]]-Table_ECM[[#This Row],[Incentives &amp; Rebates ($)]])/Table_ECM[[#This Row],[Total Annual Utility Savings using Rates in Column W
($)]])</f>
        <v>#N/A</v>
      </c>
      <c r="Q38" s="178" t="b">
        <v>0</v>
      </c>
      <c r="R38" s="165"/>
      <c r="S38" s="213"/>
      <c r="T38" s="163"/>
      <c r="U38" s="184"/>
      <c r="V38" s="186" t="str">
        <f>IF(Table_SummaryByScope[[#This Row],[Scope Name]]="","",SUMIFS(Table_ECM[Cost to Install Measures ($)],Table_ECM[Scope Name],Table_SummaryByScope[[#This Row],[Scope Name]]))</f>
        <v/>
      </c>
      <c r="W38" s="186" t="str">
        <f>IF(Table_SummaryByScope[[#This Row],[Scope Name]]="","",SUMIFS(Table_ECM[Incentives &amp; Rebates ($)],Table_ECM[Scope Name],Table_SummaryByScope[[#This Row],[Scope Name]]))</f>
        <v/>
      </c>
      <c r="X38" s="216" t="str">
        <f>IF(Table_SummaryByScope[[#This Row],[Scope Name]]="","",SUMIFS(Table_ECM[Total Annual Energy Savings
(kBtu)],Table_ECM[Scope Name],Table_SummaryByScope[[#This Row],[Scope Name]]))</f>
        <v/>
      </c>
      <c r="Y38" s="188" t="str">
        <f>IF(Table_SummaryByScope[[#This Row],[Scope Name]]="","",SUMIFS(Table_ECM[Total Annual Utility Savings using Rates in Column W
($)],Table_ECM[Scope Name],Table_SummaryByScope[[#This Row],[Scope Name]]))</f>
        <v/>
      </c>
      <c r="Z38" s="187" t="str">
        <f>IF(OR(Table_SummaryByScope[[#This Row],[Scope Name]]="",Table_SummaryByScope[[#This Row],[Annual Utility Savings
($)]]=0),"",(Table_SummaryByScope[[#This Row],[Cost to Install Measures ($)]]-Table_SummaryByScope[[#This Row],[Incentives &amp; Rebates ($)]])/Table_SummaryByScope[[#This Row],[Annual Utility Savings
($)]])</f>
        <v/>
      </c>
    </row>
    <row r="39" spans="2:36">
      <c r="B39" s="183"/>
      <c r="C39" s="169"/>
      <c r="D39" s="89"/>
      <c r="E39" s="93"/>
      <c r="F39" s="93"/>
      <c r="G39" s="91"/>
      <c r="H39" s="91"/>
      <c r="I39" s="91"/>
      <c r="J39" s="91"/>
      <c r="K39" s="91"/>
      <c r="L39" s="91"/>
      <c r="M39" s="97">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39" s="215"/>
      <c r="O39" s="174" t="e" cm="1">
        <f t="array" ref="O39">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39" s="95" t="e">
        <f>IF(Table_ECM[[#This Row],[Total Annual Utility Savings using Rates in Column W
($)]]=0,"",(Table_ECM[[#This Row],[Cost to Install Measures ($)]]-Table_ECM[[#This Row],[Incentives &amp; Rebates ($)]])/Table_ECM[[#This Row],[Total Annual Utility Savings using Rates in Column W
($)]])</f>
        <v>#N/A</v>
      </c>
      <c r="Q39" s="178" t="b">
        <v>0</v>
      </c>
      <c r="R39" s="165"/>
      <c r="S39" s="213"/>
      <c r="T39" s="163"/>
      <c r="U39" s="184"/>
      <c r="V39" s="186" t="str">
        <f>IF(Table_SummaryByScope[[#This Row],[Scope Name]]="","",SUMIFS(Table_ECM[Cost to Install Measures ($)],Table_ECM[Scope Name],Table_SummaryByScope[[#This Row],[Scope Name]]))</f>
        <v/>
      </c>
      <c r="W39" s="186" t="str">
        <f>IF(Table_SummaryByScope[[#This Row],[Scope Name]]="","",SUMIFS(Table_ECM[Incentives &amp; Rebates ($)],Table_ECM[Scope Name],Table_SummaryByScope[[#This Row],[Scope Name]]))</f>
        <v/>
      </c>
      <c r="X39" s="216" t="str">
        <f>IF(Table_SummaryByScope[[#This Row],[Scope Name]]="","",SUMIFS(Table_ECM[Total Annual Energy Savings
(kBtu)],Table_ECM[Scope Name],Table_SummaryByScope[[#This Row],[Scope Name]]))</f>
        <v/>
      </c>
      <c r="Y39" s="188" t="str">
        <f>IF(Table_SummaryByScope[[#This Row],[Scope Name]]="","",SUMIFS(Table_ECM[Total Annual Utility Savings using Rates in Column W
($)],Table_ECM[Scope Name],Table_SummaryByScope[[#This Row],[Scope Name]]))</f>
        <v/>
      </c>
      <c r="Z39" s="187" t="str">
        <f>IF(OR(Table_SummaryByScope[[#This Row],[Scope Name]]="",Table_SummaryByScope[[#This Row],[Annual Utility Savings
($)]]=0),"",(Table_SummaryByScope[[#This Row],[Cost to Install Measures ($)]]-Table_SummaryByScope[[#This Row],[Incentives &amp; Rebates ($)]])/Table_SummaryByScope[[#This Row],[Annual Utility Savings
($)]])</f>
        <v/>
      </c>
    </row>
    <row r="40" spans="2:36">
      <c r="B40" s="183"/>
      <c r="C40" s="169"/>
      <c r="D40" s="89"/>
      <c r="E40" s="93"/>
      <c r="F40" s="93"/>
      <c r="G40" s="91"/>
      <c r="H40" s="91"/>
      <c r="I40" s="91"/>
      <c r="J40" s="91"/>
      <c r="K40" s="91"/>
      <c r="L40" s="91"/>
      <c r="M40" s="97">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40" s="215"/>
      <c r="O40" s="174" t="e" cm="1">
        <f t="array" ref="O40">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40" s="95" t="e">
        <f>IF(Table_ECM[[#This Row],[Total Annual Utility Savings using Rates in Column W
($)]]=0,"",(Table_ECM[[#This Row],[Cost to Install Measures ($)]]-Table_ECM[[#This Row],[Incentives &amp; Rebates ($)]])/Table_ECM[[#This Row],[Total Annual Utility Savings using Rates in Column W
($)]])</f>
        <v>#N/A</v>
      </c>
      <c r="Q40" s="178" t="b">
        <v>0</v>
      </c>
      <c r="R40" s="165"/>
      <c r="S40" s="213"/>
      <c r="T40" s="163"/>
      <c r="U40" s="184"/>
      <c r="V40" s="186" t="str">
        <f>IF(Table_SummaryByScope[[#This Row],[Scope Name]]="","",SUMIFS(Table_ECM[Cost to Install Measures ($)],Table_ECM[Scope Name],Table_SummaryByScope[[#This Row],[Scope Name]]))</f>
        <v/>
      </c>
      <c r="W40" s="186" t="str">
        <f>IF(Table_SummaryByScope[[#This Row],[Scope Name]]="","",SUMIFS(Table_ECM[Incentives &amp; Rebates ($)],Table_ECM[Scope Name],Table_SummaryByScope[[#This Row],[Scope Name]]))</f>
        <v/>
      </c>
      <c r="X40" s="216" t="str">
        <f>IF(Table_SummaryByScope[[#This Row],[Scope Name]]="","",SUMIFS(Table_ECM[Total Annual Energy Savings
(kBtu)],Table_ECM[Scope Name],Table_SummaryByScope[[#This Row],[Scope Name]]))</f>
        <v/>
      </c>
      <c r="Y40" s="188" t="str">
        <f>IF(Table_SummaryByScope[[#This Row],[Scope Name]]="","",SUMIFS(Table_ECM[Total Annual Utility Savings using Rates in Column W
($)],Table_ECM[Scope Name],Table_SummaryByScope[[#This Row],[Scope Name]]))</f>
        <v/>
      </c>
      <c r="Z40" s="187" t="str">
        <f>IF(OR(Table_SummaryByScope[[#This Row],[Scope Name]]="",Table_SummaryByScope[[#This Row],[Annual Utility Savings
($)]]=0),"",(Table_SummaryByScope[[#This Row],[Cost to Install Measures ($)]]-Table_SummaryByScope[[#This Row],[Incentives &amp; Rebates ($)]])/Table_SummaryByScope[[#This Row],[Annual Utility Savings
($)]])</f>
        <v/>
      </c>
    </row>
    <row r="41" spans="2:36">
      <c r="B41" s="183"/>
      <c r="C41" s="169"/>
      <c r="D41" s="89"/>
      <c r="E41" s="93"/>
      <c r="F41" s="93"/>
      <c r="G41" s="91"/>
      <c r="H41" s="91"/>
      <c r="I41" s="91"/>
      <c r="J41" s="91"/>
      <c r="K41" s="91"/>
      <c r="L41" s="91"/>
      <c r="M41" s="97">
        <f>SUM(Table_ECM[[#This Row],[Annual Electricity Savings
(kWh)]]*3.412+Table_ECM[[#This Row],[Annual Natural Gas Savings
(therm)]]*100+Table_ECM[[#This Row],[Annual District Steam Savings
(Mlb for ConEd, klb for others)]]*1194+Table_ECM[[#This Row],[Annual Fuel Oil'#2 Savings
(Gallon)]]*138+Table_ECM[[#This Row],[Annual Other Fuel 1 Savings
(kBtu)]]+Table_ECM[[#This Row],[Annual Other Fuel 2 Savings
(kBtu)]])</f>
        <v>0</v>
      </c>
      <c r="N41" s="215"/>
      <c r="O41" s="174" t="e" cm="1">
        <f t="array" ref="O41">SUMPRODUCT(Table_ECM[[#This Row],[Annual Electricity Savings
(kWh)]:[Annual Fuel Oil'#2 Savings
(Gallon)]],TRANSPOSE($W$7:$W$10)+
IF(Table_UtilityInput[Annual Other Fuel 1
(kBtu)]="",0,Table_UtilityInput[Annual Other Fuel 1
(kBtu)]*$W$11)+
IF(Table_UtilityInput[Annual Other Fuel 2
(kBtu)]="",0,Table_UtilityInput[Annual Other Fuel 2
(kBtu)]*#REF!))</f>
        <v>#N/A</v>
      </c>
      <c r="P41" s="95" t="e">
        <f>IF(Table_ECM[[#This Row],[Total Annual Utility Savings using Rates in Column W
($)]]=0,"",(Table_ECM[[#This Row],[Cost to Install Measures ($)]]-Table_ECM[[#This Row],[Incentives &amp; Rebates ($)]])/Table_ECM[[#This Row],[Total Annual Utility Savings using Rates in Column W
($)]])</f>
        <v>#N/A</v>
      </c>
      <c r="Q41" s="178" t="b">
        <v>0</v>
      </c>
      <c r="R41" s="165"/>
      <c r="S41" s="213"/>
      <c r="T41" s="163"/>
      <c r="U41" s="184"/>
      <c r="V41" s="186" t="str">
        <f>IF(Table_SummaryByScope[[#This Row],[Scope Name]]="","",SUMIFS(Table_ECM[Cost to Install Measures ($)],Table_ECM[Scope Name],Table_SummaryByScope[[#This Row],[Scope Name]]))</f>
        <v/>
      </c>
      <c r="W41" s="186" t="str">
        <f>IF(Table_SummaryByScope[[#This Row],[Scope Name]]="","",SUMIFS(Table_ECM[Incentives &amp; Rebates ($)],Table_ECM[Scope Name],Table_SummaryByScope[[#This Row],[Scope Name]]))</f>
        <v/>
      </c>
      <c r="X41" s="216" t="str">
        <f>IF(Table_SummaryByScope[[#This Row],[Scope Name]]="","",SUMIFS(Table_ECM[Total Annual Energy Savings
(kBtu)],Table_ECM[Scope Name],Table_SummaryByScope[[#This Row],[Scope Name]]))</f>
        <v/>
      </c>
      <c r="Y41" s="188" t="str">
        <f>IF(Table_SummaryByScope[[#This Row],[Scope Name]]="","",SUMIFS(Table_ECM[Total Annual Utility Savings using Rates in Column W
($)],Table_ECM[Scope Name],Table_SummaryByScope[[#This Row],[Scope Name]]))</f>
        <v/>
      </c>
      <c r="Z41" s="187" t="str">
        <f>IF(OR(Table_SummaryByScope[[#This Row],[Scope Name]]="",Table_SummaryByScope[[#This Row],[Annual Utility Savings
($)]]=0),"",(Table_SummaryByScope[[#This Row],[Cost to Install Measures ($)]]-Table_SummaryByScope[[#This Row],[Incentives &amp; Rebates ($)]])/Table_SummaryByScope[[#This Row],[Annual Utility Savings
($)]])</f>
        <v/>
      </c>
    </row>
    <row r="42" spans="2:36">
      <c r="B42" s="183"/>
      <c r="C42" s="169"/>
      <c r="D42" s="89"/>
      <c r="E42" s="93"/>
      <c r="F42" s="93"/>
      <c r="G42" s="91"/>
      <c r="H42" s="91"/>
      <c r="I42" s="91"/>
      <c r="J42" s="91"/>
      <c r="K42" s="91"/>
      <c r="L42" s="91"/>
      <c r="M42" s="97"/>
      <c r="N42" s="215"/>
      <c r="O42" s="174"/>
      <c r="P42" s="95"/>
      <c r="Q42" s="178" t="b">
        <v>0</v>
      </c>
      <c r="R42" s="165"/>
      <c r="S42" s="213"/>
      <c r="T42" s="163"/>
      <c r="U42" s="184"/>
      <c r="V42" s="186" t="str">
        <f>IF(Table_SummaryByScope[[#This Row],[Scope Name]]="","",SUMIFS(Table_ECM[Cost to Install Measures ($)],Table_ECM[Scope Name],Table_SummaryByScope[[#This Row],[Scope Name]]))</f>
        <v/>
      </c>
      <c r="W42" s="186" t="str">
        <f>IF(Table_SummaryByScope[[#This Row],[Scope Name]]="","",SUMIFS(Table_ECM[Incentives &amp; Rebates ($)],Table_ECM[Scope Name],Table_SummaryByScope[[#This Row],[Scope Name]]))</f>
        <v/>
      </c>
      <c r="X42" s="216" t="str">
        <f>IF(Table_SummaryByScope[[#This Row],[Scope Name]]="","",SUMIFS(Table_ECM[Total Annual Energy Savings
(kBtu)],Table_ECM[Scope Name],Table_SummaryByScope[[#This Row],[Scope Name]]))</f>
        <v/>
      </c>
      <c r="Y42" s="188" t="str">
        <f>IF(Table_SummaryByScope[[#This Row],[Scope Name]]="","",SUMIFS(Table_ECM[Total Annual Utility Savings using Rates in Column W
($)],Table_ECM[Scope Name],Table_SummaryByScope[[#This Row],[Scope Name]]))</f>
        <v/>
      </c>
      <c r="Z42" s="187" t="str">
        <f>IF(OR(Table_SummaryByScope[[#This Row],[Scope Name]]="",Table_SummaryByScope[[#This Row],[Annual Utility Savings
($)]]=0),"",(Table_SummaryByScope[[#This Row],[Cost to Install Measures ($)]]-Table_SummaryByScope[[#This Row],[Incentives &amp; Rebates ($)]])/Table_SummaryByScope[[#This Row],[Annual Utility Savings
($)]])</f>
        <v/>
      </c>
    </row>
    <row r="43" spans="2:36">
      <c r="G43" s="6"/>
      <c r="H43" s="7"/>
      <c r="I43" s="7"/>
      <c r="J43" s="7"/>
      <c r="K43" s="7"/>
      <c r="L43" s="8"/>
      <c r="R43"/>
      <c r="S43"/>
      <c r="T43"/>
      <c r="U43"/>
      <c r="V43"/>
      <c r="W43"/>
      <c r="X43"/>
      <c r="Y43"/>
      <c r="Z43"/>
    </row>
    <row r="44" spans="2:36" collapsed="1">
      <c r="E44"/>
      <c r="F44"/>
      <c r="G44"/>
      <c r="H44"/>
      <c r="I44"/>
      <c r="J44"/>
      <c r="K44"/>
      <c r="L44"/>
      <c r="M44"/>
      <c r="N44"/>
      <c r="O44"/>
      <c r="P44"/>
      <c r="Q44"/>
      <c r="R44"/>
      <c r="S44"/>
      <c r="T44"/>
      <c r="U44"/>
      <c r="V44"/>
      <c r="W44"/>
      <c r="X44"/>
      <c r="Y44"/>
      <c r="Z44"/>
    </row>
    <row r="45" spans="2:36" ht="45" hidden="1" customHeight="1" outlineLevel="1">
      <c r="C45" s="2" t="s">
        <v>128</v>
      </c>
      <c r="E45"/>
      <c r="F45"/>
      <c r="G45"/>
      <c r="H45"/>
      <c r="I45"/>
      <c r="J45"/>
      <c r="K45"/>
      <c r="L45"/>
      <c r="M45"/>
      <c r="N45"/>
      <c r="O45"/>
      <c r="P45"/>
      <c r="Q45"/>
      <c r="R45"/>
      <c r="S45"/>
      <c r="T45"/>
      <c r="U45"/>
      <c r="V45"/>
      <c r="W45"/>
      <c r="X45"/>
      <c r="Y45"/>
      <c r="Z45"/>
    </row>
    <row r="46" spans="2:36" s="25" customFormat="1" ht="18" hidden="1" customHeight="1" outlineLevel="1">
      <c r="N46" s="25" t="s">
        <v>129</v>
      </c>
      <c r="O46" s="25" t="s">
        <v>130</v>
      </c>
      <c r="P46" s="25" t="s">
        <v>131</v>
      </c>
      <c r="Q46" s="25" t="s">
        <v>132</v>
      </c>
      <c r="R46" s="25">
        <f>$L$8</f>
        <v>0</v>
      </c>
      <c r="S46" s="25">
        <f>$M$8</f>
        <v>0</v>
      </c>
    </row>
    <row r="47" spans="2:36" s="3" customFormat="1" ht="72.75" hidden="1" customHeight="1" outlineLevel="1">
      <c r="B47" s="30"/>
      <c r="C47" s="9" t="s">
        <v>133</v>
      </c>
      <c r="D47" s="9" t="s">
        <v>134</v>
      </c>
      <c r="E47" s="22" t="s">
        <v>135</v>
      </c>
      <c r="F47" s="22" t="s">
        <v>136</v>
      </c>
      <c r="G47" s="22" t="s">
        <v>137</v>
      </c>
      <c r="H47" s="22" t="s">
        <v>138</v>
      </c>
      <c r="I47" s="22" t="s">
        <v>139</v>
      </c>
      <c r="J47" s="22" t="s">
        <v>140</v>
      </c>
      <c r="K47" s="23" t="s">
        <v>141</v>
      </c>
      <c r="L47" s="24" t="s">
        <v>142</v>
      </c>
      <c r="M47" s="17" t="s">
        <v>143</v>
      </c>
      <c r="N47" s="9" t="s">
        <v>144</v>
      </c>
      <c r="O47" s="9" t="s">
        <v>145</v>
      </c>
      <c r="P47" s="9" t="s">
        <v>146</v>
      </c>
      <c r="Q47" s="9" t="s">
        <v>147</v>
      </c>
      <c r="R47" s="9" t="s">
        <v>148</v>
      </c>
      <c r="S47" s="9" t="s">
        <v>149</v>
      </c>
      <c r="T47" s="9" t="s">
        <v>150</v>
      </c>
      <c r="U47" s="9" t="s">
        <v>151</v>
      </c>
      <c r="V47" s="9" t="s">
        <v>152</v>
      </c>
      <c r="W47" s="9" t="s">
        <v>153</v>
      </c>
      <c r="X47" s="9" t="s">
        <v>154</v>
      </c>
      <c r="Y47" s="9" t="s">
        <v>155</v>
      </c>
      <c r="Z47" s="9" t="s">
        <v>156</v>
      </c>
      <c r="AA47" s="9" t="s">
        <v>157</v>
      </c>
      <c r="AB47" s="9" t="s">
        <v>358</v>
      </c>
      <c r="AC47" s="9" t="s">
        <v>158</v>
      </c>
      <c r="AD47" s="18" t="s">
        <v>159</v>
      </c>
      <c r="AE47" s="12" t="s">
        <v>160</v>
      </c>
      <c r="AF47" s="12" t="s">
        <v>161</v>
      </c>
      <c r="AG47" s="9" t="s">
        <v>162</v>
      </c>
      <c r="AH47" s="9" t="s">
        <v>163</v>
      </c>
      <c r="AI47" s="9" t="s">
        <v>164</v>
      </c>
      <c r="AJ47" s="9" t="s">
        <v>165</v>
      </c>
    </row>
    <row r="48" spans="2:36" hidden="1" outlineLevel="1">
      <c r="B48" s="11" t="s">
        <v>166</v>
      </c>
      <c r="C48" s="98">
        <v>0</v>
      </c>
      <c r="D48" s="99">
        <f>IF(BaseYr+Table_Perf[[#This Row],['#]]&gt;EndYr,NA(),BaseYr+Table_Perf[[#This Row],['#]])</f>
        <v>0</v>
      </c>
      <c r="E48" s="100" cm="1">
        <f t="array" ref="E48">MAX(0,IF(Table_Perf[[#This Row],[Year]]=BaseYr,IFERROR(Table_UtilityInput[Annual Electricity 
(kWh)]*3.412,0),
(E47-3.412*SUMIFS(Table_ECM[Annual Electricity Savings
(kWh)],Table_ECM[When will the measure installation be complete and operational?],Table_Perf[[#This Row],[Year]],Table_ECM[Would you like to Include this measure in the decarbonization pathway?],TRUE))))</f>
        <v>0</v>
      </c>
      <c r="F48" s="100" cm="1">
        <f t="array" ref="F48">MAX(0,IF(Table_Perf[[#This Row],[Year]]=BaseYr,IFERROR(Table_UtilityInput[Annual Natural Gas  
(therm)]*100,0),
(F47-100*SUMIFS(Table_ECM[Annual Natural Gas Savings
(therm)],Table_ECM[When will the measure installation be complete and operational?],Table_Perf[[#This Row],[Year]],Table_ECM[Would you like to Include this measure in the decarbonization pathway?],TRUE))))</f>
        <v>0</v>
      </c>
      <c r="G48" s="100" cm="1">
        <f t="array" ref="G48">MAX(0,IF(Table_Perf[[#This Row],[Year]]=BaseYr,IFERROR(Table_UtilityInput[Annual Fuel Oil'#2
(Gallon)]*138,0),
(G47-138*SUMIFS(Table_ECM[Annual Fuel Oil'#2 Savings
(Gallon)],Table_ECM[When will the measure installation be complete and operational?],Table_Perf[[#This Row],[Year]],Table_ECM[Would you like to Include this measure in the decarbonization pathway?],TRUE))))</f>
        <v>0</v>
      </c>
      <c r="H48" s="100" cm="1">
        <f t="array" ref="H48">MAX(0,IF(Table_Perf[[#This Row],[Year]]=BaseYr,IFERROR(Table_UtilityInput[Annual District Steam  
(Mlb for ConEd, kLb for others)]*1194,0),
(H47-1194*SUMIFS(Table_ECM[Annual District Steam Savings
(Mlb for ConEd, klb for others)],Table_ECM[When will the measure installation be complete and operational?],Table_Perf[[#This Row],[Year]],Table_ECM[Would you like to Include this measure in the decarbonization pathway?],TRUE))))</f>
        <v>0</v>
      </c>
      <c r="I48" s="100" cm="1">
        <f t="array" ref="I48">MAX(0,IF(Table_Perf[[#This Row],[Year]]=BaseYr,IFERROR(Table_UtilityInput[Annual Other Fuel 1
(kBtu)],0),
(I47-SUMIFS(Table_ECM[Annual Other Fuel 1 Savings
(kBtu)],Table_ECM[When will the measure installation be complete and operational?],Table_Perf[[#This Row],[Year]],Table_ECM[Would you like to Include this measure in the decarbonization pathway?],TRUE))))</f>
        <v>0</v>
      </c>
      <c r="J48" s="100" cm="1">
        <f t="array" ref="J48">MAX(0,IF(Table_Perf[[#This Row],[Year]]=BaseYr,IFERROR(Table_UtilityInput[Annual Other Fuel 2
(kBtu)],0),
(J47-SUMIFS(Table_ECM[Annual Other Fuel 2 Savings
(kBtu)],Table_ECM[When will the measure installation be complete and operational?],Table_Perf[[#This Row],[Year]],Table_ECM[Would you like to Include this measure in the decarbonization pathway?],TRUE))))</f>
        <v>0</v>
      </c>
      <c r="K48" s="101">
        <f>-SUMIFS(Table_ECM[Cost to Install Measures ($)],Table_ECM[When will the measure installation be complete and operational?],Table_Perf[[#This Row],[Year]],Table_ECM[Would you like to Include this measure in the decarbonization pathway?],TRUE)</f>
        <v>0</v>
      </c>
      <c r="L48" s="102" cm="1">
        <f t="array" ref="L48">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48" s="103"/>
      <c r="N48" s="100" t="e" cm="1">
        <f t="array" ref="N48">Table_Perf[[#This Row],[Electricity (kBtu)]]*INDEX(Table_UtilityDecarb[Carbon Intensity (tCO2e/kBtu)],MATCH(N$46&amp;Table_Perf[[#This Row],[Year]],Table_UtilityDecarb[Fuel Type]&amp;Table_UtilityDecarb[Year],0))</f>
        <v>#N/A</v>
      </c>
      <c r="O48" s="100">
        <f>Table_Perf[[#This Row],[Natural Gas (kBtu)]]*INDEX(Table_UtilityDecarb[Carbon Intensity (tCO2e/kBtu)],MATCH(O$46,Table_UtilityDecarb[Fuel Type],0))</f>
        <v>0</v>
      </c>
      <c r="P48" s="100">
        <f>Table_Perf[[#This Row],[Fuel Oil'#2 (kBtu)]]*INDEX(Table_UtilityDecarb[Carbon Intensity (tCO2e/kBtu)],MATCH(P$46,Table_UtilityDecarb[Fuel Type],0))</f>
        <v>0</v>
      </c>
      <c r="Q48" s="100" t="e" cm="1">
        <f t="array" ref="Q48">Table_Perf[[#This Row],[District Steam (kBtu)]]*INDEX(Table_UtilityDecarb[Carbon Intensity (tCO2e/kBtu)],MATCH(Q$46&amp;Table_Perf[[#This Row],[Year]],Table_UtilityDecarb[Fuel Type]&amp;Table_UtilityDecarb[Year],0))</f>
        <v>#N/A</v>
      </c>
      <c r="R48" s="100" cm="1">
        <f t="array" ref="R48">IF(OR(Table_UtilityInput[Annual Other Fuel 1
(kBtu)]="",NOT(ISNUMBER(Table_UtilityInput[Annual Other Fuel 1
(kBtu)]))),0,Table_Perf[[#This Row],[Other Fuel 1 (kBtu)]]*INDEX(Table_UtilityDecarb[Carbon Intensity (tCO2e/kBtu)],MATCH(R$46,Table_UtilityDecarb[Fuel Type],0)))</f>
        <v>0</v>
      </c>
      <c r="S48" s="100" cm="1">
        <f t="array" ref="S48">IF(OR(Table_UtilityInput[Annual Other Fuel 2
(kBtu)]="",NOT(ISNUMBER(Table_UtilityInput[Annual Other Fuel 2
(kBtu)]))),0,Table_Perf[[#This Row],[Other Fuel 2 (kBtu)]]*INDEX(Table_UtilityDecarb[Carbon Intensity (tCO2e/kBtu)],MATCH(S$46,Table_UtilityDecarb[Fuel Type],0)))</f>
        <v>0</v>
      </c>
      <c r="T48" s="100">
        <f>IF(Table_Perf[[#This Row],[Year]]&gt;2050,NA(),_xlfn.AGGREGATE(9,6,Table_Perf[[#This Row],[LL97 Electricity (tCO2e)]:[LL97 Other Fuel 2 (tCO2e)]]))</f>
        <v>0</v>
      </c>
      <c r="U48" s="100" t="e">
        <f>IF(Table_Perf[[#This Row],[Year]]&lt;2035,NA(),INDEX(Table_LimitsCalc_Sample1[Total Limits (tCO2e)],MATCH(Table_Perf[[#This Row],[Year]],Table_LimitsCalc_Sample1[Year],0)))</f>
        <v>#N/A</v>
      </c>
      <c r="V48" s="100" t="e" cm="1">
        <f t="array" ref="V48">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48" s="100" t="e">
        <f>IF(Table_Perf[[#This Row],[LL97 Emissions Limit (tCO2e)]]="",0,MAX(0,Table_Perf[[#This Row],[LL97 Business-As-Usual Emissions]]-Table_Perf[[#This Row],[LL97 Emissions Limit (tCO2e)]]))</f>
        <v>#N/A</v>
      </c>
      <c r="X48" s="100" t="e">
        <f>IF(Table_Perf[[#This Row],[LL97 Emissions Limit (tCO2e)]]="",0,MAX(0,Table_Perf[[#This Row],[LL97 Emissions After Measures]]-Table_Perf[[#This Row],[LL97 Emissions Limit (tCO2e)]]))</f>
        <v>#N/A</v>
      </c>
      <c r="Y48" s="100" t="e">
        <f>Table_Perf[[#This Row],[LL97 Business-As-Usual Emissions]]-Table_Perf[[#This Row],[LL97 Emissions After Measures]]</f>
        <v>#N/A</v>
      </c>
      <c r="Z48" s="102" t="str">
        <f>IF(Table_Perf[[#This Row],[Year]]&lt;2024,"Not in enforcement period",IF(Table_Perf[[#This Row],[LL97 Excess Emissions After Measures]]=0,"Compliant","Not-Compliant"))</f>
        <v>Not in enforcement period</v>
      </c>
      <c r="AA48" s="104">
        <f>IFERROR(-268*Table_Perf[[#This Row],[LL97 Excess Emissions After Measures]],0)</f>
        <v>0</v>
      </c>
      <c r="AB48" s="102">
        <f>IFERROR(268*MIN(Table_Perf[[#This Row],[LL97 BAU Excess Emissions]],Table_Perf[[#This Row],[LL97 Emissions Reduced by Measures]]),0)</f>
        <v>0</v>
      </c>
      <c r="AC48" s="105" t="str">
        <f>IF(OR(Table_Perf[[#This Row],[Year]]&lt;2024,Table_Perf[[#This Row],[Year]]&gt;2050,ISERROR(Table_Perf[[#This Row],[LL97 Adjusted Penalty After Measures]])),"",Table_Perf[[#This Row],[LL97 Adjusted Penalty After Measures]])</f>
        <v/>
      </c>
      <c r="AD48" s="102">
        <f>IF(Table_Perf[[#This Row],[Year]]&gt;2050,NA(),_xlfn.AGGREGATE(9,6,Table_Perf[[#This Row],[Measure Cost ($)]],Table_Perf[[#This Row],[Utility Savings ($)]],Table_Perf[[#This Row],[LL97 Penalty Avoided by Measures ($)]]))</f>
        <v>0</v>
      </c>
      <c r="AE48" s="102">
        <f>SUM($AD$48:AD48)</f>
        <v>0</v>
      </c>
      <c r="AF48" s="102">
        <f>IF(Table_Perf[[#This Row],[Year]]&gt;2050,NA(),_xlfn.AGGREGATE(9,6,Table_Perf[[#This Row],[Measure Cost ($)]],Table_Perf[[#This Row],[LL97 Adjusted Penalty After Measures]]))</f>
        <v>0</v>
      </c>
      <c r="AG48" s="106">
        <f>Table_Perf[[#This Row],[Year]]</f>
        <v>0</v>
      </c>
      <c r="AH48" s="99">
        <f>COUNTIFS(Table_ECM[When will the measure installation be complete and operational?],"&lt;="&amp;Table_Perf[[#This Row],[Yr]],Table_ECM[Would you like to Include this measure in the decarbonization pathway?],TRUE)</f>
        <v>0</v>
      </c>
      <c r="AI48" s="99" t="str">
        <f>IF(Table_Perf[[#This Row],[Measure Qty]]=AH47,"",_xlfn.CONCAT(Table_Perf[[#This Row],[Measure Qty]], " Measures Done"))</f>
        <v>0 Measures Done</v>
      </c>
      <c r="AJ48" s="107">
        <f>IF(Table_Perf[[#This Row],[Measure Label]]="",NA(),Table_Perf[[#This Row],[LL97 Emissions After Measures]])</f>
        <v>0</v>
      </c>
    </row>
    <row r="49" spans="3:36" hidden="1" outlineLevel="1">
      <c r="C49" s="98">
        <v>1</v>
      </c>
      <c r="D49" s="108">
        <f>IF(BaseYr+Table_Perf[[#This Row],['#]]&gt;EndYr,NA(),BaseYr+Table_Perf[[#This Row],['#]])</f>
        <v>1</v>
      </c>
      <c r="E49" s="100" cm="1">
        <f t="array" ref="E49">MAX(0,IF(Table_Perf[[#This Row],[Year]]=BaseYr,IFERROR(Table_UtilityInput[Annual Electricity 
(kWh)]*3.412,0),
(E48-3.412*SUMIFS(Table_ECM[Annual Electricity Savings
(kWh)],Table_ECM[When will the measure installation be complete and operational?],Table_Perf[[#This Row],[Year]],Table_ECM[Would you like to Include this measure in the decarbonization pathway?],TRUE))))</f>
        <v>0</v>
      </c>
      <c r="F49" s="100" cm="1">
        <f t="array" ref="F49">MAX(0,IF(Table_Perf[[#This Row],[Year]]=BaseYr,IFERROR(Table_UtilityInput[Annual Natural Gas  
(therm)]*100,0),
(F48-100*SUMIFS(Table_ECM[Annual Natural Gas Savings
(therm)],Table_ECM[When will the measure installation be complete and operational?],Table_Perf[[#This Row],[Year]],Table_ECM[Would you like to Include this measure in the decarbonization pathway?],TRUE))))</f>
        <v>0</v>
      </c>
      <c r="G49" s="100" cm="1">
        <f t="array" ref="G49">MAX(0,IF(Table_Perf[[#This Row],[Year]]=BaseYr,IFERROR(Table_UtilityInput[Annual Fuel Oil'#2
(Gallon)]*138,0),
(G48-138*SUMIFS(Table_ECM[Annual Fuel Oil'#2 Savings
(Gallon)],Table_ECM[When will the measure installation be complete and operational?],Table_Perf[[#This Row],[Year]],Table_ECM[Would you like to Include this measure in the decarbonization pathway?],TRUE))))</f>
        <v>0</v>
      </c>
      <c r="H49" s="100" cm="1">
        <f t="array" ref="H49">MAX(0,IF(Table_Perf[[#This Row],[Year]]=BaseYr,IFERROR(Table_UtilityInput[Annual District Steam  
(Mlb for ConEd, kLb for others)]*1194,0),
(H48-1194*SUMIFS(Table_ECM[Annual District Steam Savings
(Mlb for ConEd, klb for others)],Table_ECM[When will the measure installation be complete and operational?],Table_Perf[[#This Row],[Year]],Table_ECM[Would you like to Include this measure in the decarbonization pathway?],TRUE))))</f>
        <v>0</v>
      </c>
      <c r="I49" s="100" cm="1">
        <f t="array" ref="I49">MAX(0,IF(Table_Perf[[#This Row],[Year]]=BaseYr,IFERROR(Table_UtilityInput[Annual Other Fuel 1
(kBtu)],0),
(I48-SUMIFS(Table_ECM[Annual Other Fuel 1 Savings
(kBtu)],Table_ECM[When will the measure installation be complete and operational?],Table_Perf[[#This Row],[Year]],Table_ECM[Would you like to Include this measure in the decarbonization pathway?],TRUE))))</f>
        <v>0</v>
      </c>
      <c r="J49" s="100" cm="1">
        <f t="array" ref="J49">MAX(0,IF(Table_Perf[[#This Row],[Year]]=BaseYr,IFERROR(Table_UtilityInput[Annual Other Fuel 2
(kBtu)],0),
(J48-SUMIFS(Table_ECM[Annual Other Fuel 2 Savings
(kBtu)],Table_ECM[When will the measure installation be complete and operational?],Table_Perf[[#This Row],[Year]],Table_ECM[Would you like to Include this measure in the decarbonization pathway?],TRUE))))</f>
        <v>0</v>
      </c>
      <c r="K49" s="101">
        <f>-SUMIFS(Table_ECM[Cost to Install Measures ($)],Table_ECM[When will the measure installation be complete and operational?],Table_Perf[[#This Row],[Year]],Table_ECM[Would you like to Include this measure in the decarbonization pathway?],TRUE)</f>
        <v>0</v>
      </c>
      <c r="L49" s="102" cm="1">
        <f t="array" ref="L49">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49" s="103"/>
      <c r="N49" s="100" t="e" cm="1">
        <f t="array" ref="N49">Table_Perf[[#This Row],[Electricity (kBtu)]]*INDEX(Table_UtilityDecarb[Carbon Intensity (tCO2e/kBtu)],MATCH(N$46&amp;Table_Perf[[#This Row],[Year]],Table_UtilityDecarb[Fuel Type]&amp;Table_UtilityDecarb[Year],0))</f>
        <v>#N/A</v>
      </c>
      <c r="O49" s="100">
        <f>Table_Perf[[#This Row],[Natural Gas (kBtu)]]*INDEX(Table_UtilityDecarb[Carbon Intensity (tCO2e/kBtu)],MATCH(O$46,Table_UtilityDecarb[Fuel Type],0))</f>
        <v>0</v>
      </c>
      <c r="P49" s="100">
        <f>Table_Perf[[#This Row],[Fuel Oil'#2 (kBtu)]]*INDEX(Table_UtilityDecarb[Carbon Intensity (tCO2e/kBtu)],MATCH(P$46,Table_UtilityDecarb[Fuel Type],0))</f>
        <v>0</v>
      </c>
      <c r="Q49" s="100" t="e" cm="1">
        <f t="array" ref="Q49">Table_Perf[[#This Row],[District Steam (kBtu)]]*INDEX(Table_UtilityDecarb[Carbon Intensity (tCO2e/kBtu)],MATCH(Q$46&amp;Table_Perf[[#This Row],[Year]],Table_UtilityDecarb[Fuel Type]&amp;Table_UtilityDecarb[Year],0))</f>
        <v>#N/A</v>
      </c>
      <c r="R49" s="100" cm="1">
        <f t="array" ref="R49">IF(OR(Table_UtilityInput[Annual Other Fuel 1
(kBtu)]="",NOT(ISNUMBER(Table_UtilityInput[Annual Other Fuel 1
(kBtu)]))),0,Table_Perf[[#This Row],[Other Fuel 1 (kBtu)]]*INDEX(Table_UtilityDecarb[Carbon Intensity (tCO2e/kBtu)],MATCH(R$46,Table_UtilityDecarb[Fuel Type],0)))</f>
        <v>0</v>
      </c>
      <c r="S49" s="100" cm="1">
        <f t="array" ref="S49">IF(OR(Table_UtilityInput[Annual Other Fuel 2
(kBtu)]="",NOT(ISNUMBER(Table_UtilityInput[Annual Other Fuel 2
(kBtu)]))),0,Table_Perf[[#This Row],[Other Fuel 2 (kBtu)]]*INDEX(Table_UtilityDecarb[Carbon Intensity (tCO2e/kBtu)],MATCH(S$46,Table_UtilityDecarb[Fuel Type],0)))</f>
        <v>0</v>
      </c>
      <c r="T49" s="100">
        <f>IF(Table_Perf[[#This Row],[Year]]&gt;2050,NA(),_xlfn.AGGREGATE(9,6,Table_Perf[[#This Row],[LL97 Electricity (tCO2e)]:[LL97 Other Fuel 2 (tCO2e)]]))</f>
        <v>0</v>
      </c>
      <c r="U49" s="100" t="e">
        <f>IF(Table_Perf[[#This Row],[Year]]&lt;2035,NA(),INDEX(Table_LimitsCalc_Sample1[Total Limits (tCO2e)],MATCH(Table_Perf[[#This Row],[Year]],Table_LimitsCalc_Sample1[Year],0)))</f>
        <v>#N/A</v>
      </c>
      <c r="V49" s="100" t="e" cm="1">
        <f t="array" ref="V49">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49" s="100" t="e">
        <f>IF(Table_Perf[[#This Row],[LL97 Emissions Limit (tCO2e)]]="",0,MAX(0,Table_Perf[[#This Row],[LL97 Business-As-Usual Emissions]]-Table_Perf[[#This Row],[LL97 Emissions Limit (tCO2e)]]))</f>
        <v>#N/A</v>
      </c>
      <c r="X49" s="100" t="e">
        <f>IF(Table_Perf[[#This Row],[LL97 Emissions Limit (tCO2e)]]="",0,MAX(0,Table_Perf[[#This Row],[LL97 Emissions After Measures]]-Table_Perf[[#This Row],[LL97 Emissions Limit (tCO2e)]]))</f>
        <v>#N/A</v>
      </c>
      <c r="Y49" s="100" t="e">
        <f>Table_Perf[[#This Row],[LL97 Business-As-Usual Emissions]]-Table_Perf[[#This Row],[LL97 Emissions After Measures]]</f>
        <v>#N/A</v>
      </c>
      <c r="Z49" s="102" t="str">
        <f>IF(Table_Perf[[#This Row],[Year]]&lt;2024,"Not in enforcement period",IF(Table_Perf[[#This Row],[LL97 Excess Emissions After Measures]]=0,"Compliant","Not-Compliant"))</f>
        <v>Not in enforcement period</v>
      </c>
      <c r="AA49" s="104">
        <f>IFERROR(-268*Table_Perf[[#This Row],[LL97 Excess Emissions After Measures]],0)</f>
        <v>0</v>
      </c>
      <c r="AB49" s="102">
        <f>IFERROR(268*MIN(Table_Perf[[#This Row],[LL97 BAU Excess Emissions]],Table_Perf[[#This Row],[LL97 Emissions Reduced by Measures]]),0)</f>
        <v>0</v>
      </c>
      <c r="AC49" s="105" t="str">
        <f>IF(OR(Table_Perf[[#This Row],[Year]]&lt;2024,Table_Perf[[#This Row],[Year]]&gt;2050,ISERROR(Table_Perf[[#This Row],[LL97 Adjusted Penalty After Measures]])),"",Table_Perf[[#This Row],[LL97 Adjusted Penalty After Measures]])</f>
        <v/>
      </c>
      <c r="AD49" s="102">
        <f>IF(Table_Perf[[#This Row],[Year]]&gt;2050,NA(),_xlfn.AGGREGATE(9,6,Table_Perf[[#This Row],[Measure Cost ($)]],Table_Perf[[#This Row],[Utility Savings ($)]],Table_Perf[[#This Row],[LL97 Penalty Avoided by Measures ($)]]))</f>
        <v>0</v>
      </c>
      <c r="AE49" s="102">
        <f>SUM($AD$48:AD49)</f>
        <v>0</v>
      </c>
      <c r="AF49" s="102">
        <f>IF(Table_Perf[[#This Row],[Year]]&gt;2050,NA(),_xlfn.AGGREGATE(9,6,Table_Perf[[#This Row],[Measure Cost ($)]],Table_Perf[[#This Row],[LL97 Adjusted Penalty After Measures]]))</f>
        <v>0</v>
      </c>
      <c r="AG49" s="106">
        <f>Table_Perf[[#This Row],[Year]]</f>
        <v>1</v>
      </c>
      <c r="AH49" s="99">
        <f>COUNTIFS(Table_ECM[When will the measure installation be complete and operational?],"&lt;="&amp;Table_Perf[[#This Row],[Yr]],Table_ECM[Would you like to Include this measure in the decarbonization pathway?],TRUE)</f>
        <v>0</v>
      </c>
      <c r="AI49" s="99" t="str">
        <f>IF(Table_Perf[[#This Row],[Measure Qty]]=AH48,"",_xlfn.CONCAT(Table_Perf[[#This Row],[Measure Qty]], " Measures Done"))</f>
        <v/>
      </c>
      <c r="AJ49" s="107" t="e">
        <f>IF(Table_Perf[[#This Row],[Measure Label]]="",NA(),Table_Perf[[#This Row],[LL97 Emissions After Measures]])</f>
        <v>#N/A</v>
      </c>
    </row>
    <row r="50" spans="3:36" hidden="1" outlineLevel="1">
      <c r="C50" s="98">
        <v>2</v>
      </c>
      <c r="D50" s="108">
        <f>IF(BaseYr+Table_Perf[[#This Row],['#]]&gt;EndYr,NA(),BaseYr+Table_Perf[[#This Row],['#]])</f>
        <v>2</v>
      </c>
      <c r="E50" s="100" cm="1">
        <f t="array" ref="E50">MAX(0,IF(Table_Perf[[#This Row],[Year]]=BaseYr,IFERROR(Table_UtilityInput[Annual Electricity 
(kWh)]*3.412,0),
(E49-3.412*SUMIFS(Table_ECM[Annual Electricity Savings
(kWh)],Table_ECM[When will the measure installation be complete and operational?],Table_Perf[[#This Row],[Year]],Table_ECM[Would you like to Include this measure in the decarbonization pathway?],TRUE))))</f>
        <v>0</v>
      </c>
      <c r="F50" s="100" cm="1">
        <f t="array" ref="F50">MAX(0,IF(Table_Perf[[#This Row],[Year]]=BaseYr,IFERROR(Table_UtilityInput[Annual Natural Gas  
(therm)]*100,0),
(F49-100*SUMIFS(Table_ECM[Annual Natural Gas Savings
(therm)],Table_ECM[When will the measure installation be complete and operational?],Table_Perf[[#This Row],[Year]],Table_ECM[Would you like to Include this measure in the decarbonization pathway?],TRUE))))</f>
        <v>0</v>
      </c>
      <c r="G50" s="100" cm="1">
        <f t="array" ref="G50">MAX(0,IF(Table_Perf[[#This Row],[Year]]=BaseYr,IFERROR(Table_UtilityInput[Annual Fuel Oil'#2
(Gallon)]*138,0),
(G49-138*SUMIFS(Table_ECM[Annual Fuel Oil'#2 Savings
(Gallon)],Table_ECM[When will the measure installation be complete and operational?],Table_Perf[[#This Row],[Year]],Table_ECM[Would you like to Include this measure in the decarbonization pathway?],TRUE))))</f>
        <v>0</v>
      </c>
      <c r="H50" s="100" cm="1">
        <f t="array" ref="H50">MAX(0,IF(Table_Perf[[#This Row],[Year]]=BaseYr,IFERROR(Table_UtilityInput[Annual District Steam  
(Mlb for ConEd, kLb for others)]*1194,0),
(H49-1194*SUMIFS(Table_ECM[Annual District Steam Savings
(Mlb for ConEd, klb for others)],Table_ECM[When will the measure installation be complete and operational?],Table_Perf[[#This Row],[Year]],Table_ECM[Would you like to Include this measure in the decarbonization pathway?],TRUE))))</f>
        <v>0</v>
      </c>
      <c r="I50" s="100" cm="1">
        <f t="array" ref="I50">MAX(0,IF(Table_Perf[[#This Row],[Year]]=BaseYr,IFERROR(Table_UtilityInput[Annual Other Fuel 1
(kBtu)],0),
(I49-SUMIFS(Table_ECM[Annual Other Fuel 1 Savings
(kBtu)],Table_ECM[When will the measure installation be complete and operational?],Table_Perf[[#This Row],[Year]],Table_ECM[Would you like to Include this measure in the decarbonization pathway?],TRUE))))</f>
        <v>0</v>
      </c>
      <c r="J50" s="100" cm="1">
        <f t="array" ref="J50">MAX(0,IF(Table_Perf[[#This Row],[Year]]=BaseYr,IFERROR(Table_UtilityInput[Annual Other Fuel 2
(kBtu)],0),
(J49-SUMIFS(Table_ECM[Annual Other Fuel 2 Savings
(kBtu)],Table_ECM[When will the measure installation be complete and operational?],Table_Perf[[#This Row],[Year]],Table_ECM[Would you like to Include this measure in the decarbonization pathway?],TRUE))))</f>
        <v>0</v>
      </c>
      <c r="K50" s="101">
        <f>-SUMIFS(Table_ECM[Cost to Install Measures ($)],Table_ECM[When will the measure installation be complete and operational?],Table_Perf[[#This Row],[Year]],Table_ECM[Would you like to Include this measure in the decarbonization pathway?],TRUE)</f>
        <v>0</v>
      </c>
      <c r="L50" s="102" cm="1">
        <f t="array" ref="L50">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50" s="103"/>
      <c r="N50" s="100" t="e" cm="1">
        <f t="array" ref="N50">Table_Perf[[#This Row],[Electricity (kBtu)]]*INDEX(Table_UtilityDecarb[Carbon Intensity (tCO2e/kBtu)],MATCH(N$46&amp;Table_Perf[[#This Row],[Year]],Table_UtilityDecarb[Fuel Type]&amp;Table_UtilityDecarb[Year],0))</f>
        <v>#N/A</v>
      </c>
      <c r="O50" s="100">
        <f>Table_Perf[[#This Row],[Natural Gas (kBtu)]]*INDEX(Table_UtilityDecarb[Carbon Intensity (tCO2e/kBtu)],MATCH(O$46,Table_UtilityDecarb[Fuel Type],0))</f>
        <v>0</v>
      </c>
      <c r="P50" s="100">
        <f>Table_Perf[[#This Row],[Fuel Oil'#2 (kBtu)]]*INDEX(Table_UtilityDecarb[Carbon Intensity (tCO2e/kBtu)],MATCH(P$46,Table_UtilityDecarb[Fuel Type],0))</f>
        <v>0</v>
      </c>
      <c r="Q50" s="100" t="e" cm="1">
        <f t="array" ref="Q50">Table_Perf[[#This Row],[District Steam (kBtu)]]*INDEX(Table_UtilityDecarb[Carbon Intensity (tCO2e/kBtu)],MATCH(Q$46&amp;Table_Perf[[#This Row],[Year]],Table_UtilityDecarb[Fuel Type]&amp;Table_UtilityDecarb[Year],0))</f>
        <v>#N/A</v>
      </c>
      <c r="R50" s="100" cm="1">
        <f t="array" ref="R50">IF(OR(Table_UtilityInput[Annual Other Fuel 1
(kBtu)]="",NOT(ISNUMBER(Table_UtilityInput[Annual Other Fuel 1
(kBtu)]))),0,Table_Perf[[#This Row],[Other Fuel 1 (kBtu)]]*INDEX(Table_UtilityDecarb[Carbon Intensity (tCO2e/kBtu)],MATCH(R$46,Table_UtilityDecarb[Fuel Type],0)))</f>
        <v>0</v>
      </c>
      <c r="S50" s="100" cm="1">
        <f t="array" ref="S50">IF(OR(Table_UtilityInput[Annual Other Fuel 2
(kBtu)]="",NOT(ISNUMBER(Table_UtilityInput[Annual Other Fuel 2
(kBtu)]))),0,Table_Perf[[#This Row],[Other Fuel 2 (kBtu)]]*INDEX(Table_UtilityDecarb[Carbon Intensity (tCO2e/kBtu)],MATCH(S$46,Table_UtilityDecarb[Fuel Type],0)))</f>
        <v>0</v>
      </c>
      <c r="T50" s="100">
        <f>IF(Table_Perf[[#This Row],[Year]]&gt;2050,NA(),_xlfn.AGGREGATE(9,6,Table_Perf[[#This Row],[LL97 Electricity (tCO2e)]:[LL97 Other Fuel 2 (tCO2e)]]))</f>
        <v>0</v>
      </c>
      <c r="U50" s="100" t="e">
        <f>IF(Table_Perf[[#This Row],[Year]]&lt;2035,NA(),INDEX(Table_LimitsCalc_Sample1[Total Limits (tCO2e)],MATCH(Table_Perf[[#This Row],[Year]],Table_LimitsCalc_Sample1[Year],0)))</f>
        <v>#N/A</v>
      </c>
      <c r="V50" s="100" t="e" cm="1">
        <f t="array" ref="V50">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50" s="100" t="e">
        <f>IF(Table_Perf[[#This Row],[LL97 Emissions Limit (tCO2e)]]="",0,MAX(0,Table_Perf[[#This Row],[LL97 Business-As-Usual Emissions]]-Table_Perf[[#This Row],[LL97 Emissions Limit (tCO2e)]]))</f>
        <v>#N/A</v>
      </c>
      <c r="X50" s="100" t="e">
        <f>IF(Table_Perf[[#This Row],[LL97 Emissions Limit (tCO2e)]]="",0,MAX(0,Table_Perf[[#This Row],[LL97 Emissions After Measures]]-Table_Perf[[#This Row],[LL97 Emissions Limit (tCO2e)]]))</f>
        <v>#N/A</v>
      </c>
      <c r="Y50" s="100" t="e">
        <f>Table_Perf[[#This Row],[LL97 Business-As-Usual Emissions]]-Table_Perf[[#This Row],[LL97 Emissions After Measures]]</f>
        <v>#N/A</v>
      </c>
      <c r="Z50" s="102" t="str">
        <f>IF(Table_Perf[[#This Row],[Year]]&lt;2024,"Not in enforcement period",IF(Table_Perf[[#This Row],[LL97 Excess Emissions After Measures]]=0,"Compliant","Not-Compliant"))</f>
        <v>Not in enforcement period</v>
      </c>
      <c r="AA50" s="104">
        <f>IFERROR(-268*Table_Perf[[#This Row],[LL97 Excess Emissions After Measures]],0)</f>
        <v>0</v>
      </c>
      <c r="AB50" s="102">
        <f>IFERROR(268*MIN(Table_Perf[[#This Row],[LL97 BAU Excess Emissions]],Table_Perf[[#This Row],[LL97 Emissions Reduced by Measures]]),0)</f>
        <v>0</v>
      </c>
      <c r="AC50" s="105" t="str">
        <f>IF(OR(Table_Perf[[#This Row],[Year]]&lt;2024,Table_Perf[[#This Row],[Year]]&gt;2050,ISERROR(Table_Perf[[#This Row],[LL97 Adjusted Penalty After Measures]])),"",Table_Perf[[#This Row],[LL97 Adjusted Penalty After Measures]])</f>
        <v/>
      </c>
      <c r="AD50" s="102">
        <f>IF(Table_Perf[[#This Row],[Year]]&gt;2050,NA(),_xlfn.AGGREGATE(9,6,Table_Perf[[#This Row],[Measure Cost ($)]],Table_Perf[[#This Row],[Utility Savings ($)]],Table_Perf[[#This Row],[LL97 Penalty Avoided by Measures ($)]]))</f>
        <v>0</v>
      </c>
      <c r="AE50" s="102">
        <f>SUM($AD$48:AD50)</f>
        <v>0</v>
      </c>
      <c r="AF50" s="102">
        <f>IF(Table_Perf[[#This Row],[Year]]&gt;2050,NA(),_xlfn.AGGREGATE(9,6,Table_Perf[[#This Row],[Measure Cost ($)]],Table_Perf[[#This Row],[LL97 Adjusted Penalty After Measures]]))</f>
        <v>0</v>
      </c>
      <c r="AG50" s="106">
        <f>Table_Perf[[#This Row],[Year]]</f>
        <v>2</v>
      </c>
      <c r="AH50" s="99">
        <f>COUNTIFS(Table_ECM[When will the measure installation be complete and operational?],"&lt;="&amp;Table_Perf[[#This Row],[Yr]],Table_ECM[Would you like to Include this measure in the decarbonization pathway?],TRUE)</f>
        <v>0</v>
      </c>
      <c r="AI50" s="99" t="str">
        <f>IF(Table_Perf[[#This Row],[Measure Qty]]=AH49,"",_xlfn.CONCAT(Table_Perf[[#This Row],[Measure Qty]], " Measures Done"))</f>
        <v/>
      </c>
      <c r="AJ50" s="107" t="e">
        <f>IF(Table_Perf[[#This Row],[Measure Label]]="",NA(),Table_Perf[[#This Row],[LL97 Emissions After Measures]])</f>
        <v>#N/A</v>
      </c>
    </row>
    <row r="51" spans="3:36" hidden="1" outlineLevel="1">
      <c r="C51" s="98">
        <v>3</v>
      </c>
      <c r="D51" s="108">
        <f>IF(BaseYr+Table_Perf[[#This Row],['#]]&gt;EndYr,NA(),BaseYr+Table_Perf[[#This Row],['#]])</f>
        <v>3</v>
      </c>
      <c r="E51" s="100" cm="1">
        <f t="array" ref="E51">MAX(0,IF(Table_Perf[[#This Row],[Year]]=BaseYr,IFERROR(Table_UtilityInput[Annual Electricity 
(kWh)]*3.412,0),
(E50-3.412*SUMIFS(Table_ECM[Annual Electricity Savings
(kWh)],Table_ECM[When will the measure installation be complete and operational?],Table_Perf[[#This Row],[Year]],Table_ECM[Would you like to Include this measure in the decarbonization pathway?],TRUE))))</f>
        <v>0</v>
      </c>
      <c r="F51" s="100" cm="1">
        <f t="array" ref="F51">MAX(0,IF(Table_Perf[[#This Row],[Year]]=BaseYr,IFERROR(Table_UtilityInput[Annual Natural Gas  
(therm)]*100,0),
(F50-100*SUMIFS(Table_ECM[Annual Natural Gas Savings
(therm)],Table_ECM[When will the measure installation be complete and operational?],Table_Perf[[#This Row],[Year]],Table_ECM[Would you like to Include this measure in the decarbonization pathway?],TRUE))))</f>
        <v>0</v>
      </c>
      <c r="G51" s="100" cm="1">
        <f t="array" ref="G51">MAX(0,IF(Table_Perf[[#This Row],[Year]]=BaseYr,IFERROR(Table_UtilityInput[Annual Fuel Oil'#2
(Gallon)]*138,0),
(G50-138*SUMIFS(Table_ECM[Annual Fuel Oil'#2 Savings
(Gallon)],Table_ECM[When will the measure installation be complete and operational?],Table_Perf[[#This Row],[Year]],Table_ECM[Would you like to Include this measure in the decarbonization pathway?],TRUE))))</f>
        <v>0</v>
      </c>
      <c r="H51" s="100" cm="1">
        <f t="array" ref="H51">MAX(0,IF(Table_Perf[[#This Row],[Year]]=BaseYr,IFERROR(Table_UtilityInput[Annual District Steam  
(Mlb for ConEd, kLb for others)]*1194,0),
(H50-1194*SUMIFS(Table_ECM[Annual District Steam Savings
(Mlb for ConEd, klb for others)],Table_ECM[When will the measure installation be complete and operational?],Table_Perf[[#This Row],[Year]],Table_ECM[Would you like to Include this measure in the decarbonization pathway?],TRUE))))</f>
        <v>0</v>
      </c>
      <c r="I51" s="100" cm="1">
        <f t="array" ref="I51">MAX(0,IF(Table_Perf[[#This Row],[Year]]=BaseYr,IFERROR(Table_UtilityInput[Annual Other Fuel 1
(kBtu)],0),
(I50-SUMIFS(Table_ECM[Annual Other Fuel 1 Savings
(kBtu)],Table_ECM[When will the measure installation be complete and operational?],Table_Perf[[#This Row],[Year]],Table_ECM[Would you like to Include this measure in the decarbonization pathway?],TRUE))))</f>
        <v>0</v>
      </c>
      <c r="J51" s="100" cm="1">
        <f t="array" ref="J51">MAX(0,IF(Table_Perf[[#This Row],[Year]]=BaseYr,IFERROR(Table_UtilityInput[Annual Other Fuel 2
(kBtu)],0),
(J50-SUMIFS(Table_ECM[Annual Other Fuel 2 Savings
(kBtu)],Table_ECM[When will the measure installation be complete and operational?],Table_Perf[[#This Row],[Year]],Table_ECM[Would you like to Include this measure in the decarbonization pathway?],TRUE))))</f>
        <v>0</v>
      </c>
      <c r="K51" s="101">
        <f>-SUMIFS(Table_ECM[Cost to Install Measures ($)],Table_ECM[When will the measure installation be complete and operational?],Table_Perf[[#This Row],[Year]],Table_ECM[Would you like to Include this measure in the decarbonization pathway?],TRUE)</f>
        <v>0</v>
      </c>
      <c r="L51" s="102" cm="1">
        <f t="array" ref="L51">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51" s="103"/>
      <c r="N51" s="100" t="e" cm="1">
        <f t="array" ref="N51">Table_Perf[[#This Row],[Electricity (kBtu)]]*INDEX(Table_UtilityDecarb[Carbon Intensity (tCO2e/kBtu)],MATCH(N$46&amp;Table_Perf[[#This Row],[Year]],Table_UtilityDecarb[Fuel Type]&amp;Table_UtilityDecarb[Year],0))</f>
        <v>#N/A</v>
      </c>
      <c r="O51" s="100">
        <f>Table_Perf[[#This Row],[Natural Gas (kBtu)]]*INDEX(Table_UtilityDecarb[Carbon Intensity (tCO2e/kBtu)],MATCH(O$46,Table_UtilityDecarb[Fuel Type],0))</f>
        <v>0</v>
      </c>
      <c r="P51" s="100">
        <f>Table_Perf[[#This Row],[Fuel Oil'#2 (kBtu)]]*INDEX(Table_UtilityDecarb[Carbon Intensity (tCO2e/kBtu)],MATCH(P$46,Table_UtilityDecarb[Fuel Type],0))</f>
        <v>0</v>
      </c>
      <c r="Q51" s="100" t="e" cm="1">
        <f t="array" ref="Q51">Table_Perf[[#This Row],[District Steam (kBtu)]]*INDEX(Table_UtilityDecarb[Carbon Intensity (tCO2e/kBtu)],MATCH(Q$46&amp;Table_Perf[[#This Row],[Year]],Table_UtilityDecarb[Fuel Type]&amp;Table_UtilityDecarb[Year],0))</f>
        <v>#N/A</v>
      </c>
      <c r="R51" s="100" cm="1">
        <f t="array" ref="R51">IF(OR(Table_UtilityInput[Annual Other Fuel 1
(kBtu)]="",NOT(ISNUMBER(Table_UtilityInput[Annual Other Fuel 1
(kBtu)]))),0,Table_Perf[[#This Row],[Other Fuel 1 (kBtu)]]*INDEX(Table_UtilityDecarb[Carbon Intensity (tCO2e/kBtu)],MATCH(R$46,Table_UtilityDecarb[Fuel Type],0)))</f>
        <v>0</v>
      </c>
      <c r="S51" s="100" cm="1">
        <f t="array" ref="S51">IF(OR(Table_UtilityInput[Annual Other Fuel 2
(kBtu)]="",NOT(ISNUMBER(Table_UtilityInput[Annual Other Fuel 2
(kBtu)]))),0,Table_Perf[[#This Row],[Other Fuel 2 (kBtu)]]*INDEX(Table_UtilityDecarb[Carbon Intensity (tCO2e/kBtu)],MATCH(S$46,Table_UtilityDecarb[Fuel Type],0)))</f>
        <v>0</v>
      </c>
      <c r="T51" s="100">
        <f>IF(Table_Perf[[#This Row],[Year]]&gt;2050,NA(),_xlfn.AGGREGATE(9,6,Table_Perf[[#This Row],[LL97 Electricity (tCO2e)]:[LL97 Other Fuel 2 (tCO2e)]]))</f>
        <v>0</v>
      </c>
      <c r="U51" s="100" t="e">
        <f>IF(Table_Perf[[#This Row],[Year]]&lt;2035,NA(),INDEX(Table_LimitsCalc_Sample1[Total Limits (tCO2e)],MATCH(Table_Perf[[#This Row],[Year]],Table_LimitsCalc_Sample1[Year],0)))</f>
        <v>#N/A</v>
      </c>
      <c r="V51" s="100" t="e" cm="1">
        <f t="array" ref="V51">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51" s="100" t="e">
        <f>IF(Table_Perf[[#This Row],[LL97 Emissions Limit (tCO2e)]]="",0,MAX(0,Table_Perf[[#This Row],[LL97 Business-As-Usual Emissions]]-Table_Perf[[#This Row],[LL97 Emissions Limit (tCO2e)]]))</f>
        <v>#N/A</v>
      </c>
      <c r="X51" s="100" t="e">
        <f>IF(Table_Perf[[#This Row],[LL97 Emissions Limit (tCO2e)]]="",0,MAX(0,Table_Perf[[#This Row],[LL97 Emissions After Measures]]-Table_Perf[[#This Row],[LL97 Emissions Limit (tCO2e)]]))</f>
        <v>#N/A</v>
      </c>
      <c r="Y51" s="100" t="e">
        <f>Table_Perf[[#This Row],[LL97 Business-As-Usual Emissions]]-Table_Perf[[#This Row],[LL97 Emissions After Measures]]</f>
        <v>#N/A</v>
      </c>
      <c r="Z51" s="102" t="str">
        <f>IF(Table_Perf[[#This Row],[Year]]&lt;2024,"Not in enforcement period",IF(Table_Perf[[#This Row],[LL97 Excess Emissions After Measures]]=0,"Compliant","Not-Compliant"))</f>
        <v>Not in enforcement period</v>
      </c>
      <c r="AA51" s="104">
        <f>IFERROR(-268*Table_Perf[[#This Row],[LL97 Excess Emissions After Measures]],0)</f>
        <v>0</v>
      </c>
      <c r="AB51" s="102">
        <f>IFERROR(268*MIN(Table_Perf[[#This Row],[LL97 BAU Excess Emissions]],Table_Perf[[#This Row],[LL97 Emissions Reduced by Measures]]),0)</f>
        <v>0</v>
      </c>
      <c r="AC51" s="105" t="str">
        <f>IF(OR(Table_Perf[[#This Row],[Year]]&lt;2024,Table_Perf[[#This Row],[Year]]&gt;2050,ISERROR(Table_Perf[[#This Row],[LL97 Adjusted Penalty After Measures]])),"",Table_Perf[[#This Row],[LL97 Adjusted Penalty After Measures]])</f>
        <v/>
      </c>
      <c r="AD51" s="102">
        <f>IF(Table_Perf[[#This Row],[Year]]&gt;2050,NA(),_xlfn.AGGREGATE(9,6,Table_Perf[[#This Row],[Measure Cost ($)]],Table_Perf[[#This Row],[Utility Savings ($)]],Table_Perf[[#This Row],[LL97 Penalty Avoided by Measures ($)]]))</f>
        <v>0</v>
      </c>
      <c r="AE51" s="102">
        <f>SUM($AD$48:AD51)</f>
        <v>0</v>
      </c>
      <c r="AF51" s="102">
        <f>IF(Table_Perf[[#This Row],[Year]]&gt;2050,NA(),_xlfn.AGGREGATE(9,6,Table_Perf[[#This Row],[Measure Cost ($)]],Table_Perf[[#This Row],[LL97 Adjusted Penalty After Measures]]))</f>
        <v>0</v>
      </c>
      <c r="AG51" s="106">
        <f>Table_Perf[[#This Row],[Year]]</f>
        <v>3</v>
      </c>
      <c r="AH51" s="99">
        <f>COUNTIFS(Table_ECM[When will the measure installation be complete and operational?],"&lt;="&amp;Table_Perf[[#This Row],[Yr]],Table_ECM[Would you like to Include this measure in the decarbonization pathway?],TRUE)</f>
        <v>0</v>
      </c>
      <c r="AI51" s="99" t="str">
        <f>IF(Table_Perf[[#This Row],[Measure Qty]]=AH50,"",_xlfn.CONCAT(Table_Perf[[#This Row],[Measure Qty]], " Measures Done"))</f>
        <v/>
      </c>
      <c r="AJ51" s="107" t="e">
        <f>IF(Table_Perf[[#This Row],[Measure Label]]="",NA(),Table_Perf[[#This Row],[LL97 Emissions After Measures]])</f>
        <v>#N/A</v>
      </c>
    </row>
    <row r="52" spans="3:36" hidden="1" outlineLevel="1">
      <c r="C52" s="98">
        <v>4</v>
      </c>
      <c r="D52" s="108">
        <f>IF(BaseYr+Table_Perf[[#This Row],['#]]&gt;EndYr,NA(),BaseYr+Table_Perf[[#This Row],['#]])</f>
        <v>4</v>
      </c>
      <c r="E52" s="100" cm="1">
        <f t="array" ref="E52">MAX(0,IF(Table_Perf[[#This Row],[Year]]=BaseYr,IFERROR(Table_UtilityInput[Annual Electricity 
(kWh)]*3.412,0),
(E51-3.412*SUMIFS(Table_ECM[Annual Electricity Savings
(kWh)],Table_ECM[When will the measure installation be complete and operational?],Table_Perf[[#This Row],[Year]],Table_ECM[Would you like to Include this measure in the decarbonization pathway?],TRUE))))</f>
        <v>0</v>
      </c>
      <c r="F52" s="100" cm="1">
        <f t="array" ref="F52">MAX(0,IF(Table_Perf[[#This Row],[Year]]=BaseYr,IFERROR(Table_UtilityInput[Annual Natural Gas  
(therm)]*100,0),
(F51-100*SUMIFS(Table_ECM[Annual Natural Gas Savings
(therm)],Table_ECM[When will the measure installation be complete and operational?],Table_Perf[[#This Row],[Year]],Table_ECM[Would you like to Include this measure in the decarbonization pathway?],TRUE))))</f>
        <v>0</v>
      </c>
      <c r="G52" s="100" cm="1">
        <f t="array" ref="G52">MAX(0,IF(Table_Perf[[#This Row],[Year]]=BaseYr,IFERROR(Table_UtilityInput[Annual Fuel Oil'#2
(Gallon)]*138,0),
(G51-138*SUMIFS(Table_ECM[Annual Fuel Oil'#2 Savings
(Gallon)],Table_ECM[When will the measure installation be complete and operational?],Table_Perf[[#This Row],[Year]],Table_ECM[Would you like to Include this measure in the decarbonization pathway?],TRUE))))</f>
        <v>0</v>
      </c>
      <c r="H52" s="100" cm="1">
        <f t="array" ref="H52">MAX(0,IF(Table_Perf[[#This Row],[Year]]=BaseYr,IFERROR(Table_UtilityInput[Annual District Steam  
(Mlb for ConEd, kLb for others)]*1194,0),
(H51-1194*SUMIFS(Table_ECM[Annual District Steam Savings
(Mlb for ConEd, klb for others)],Table_ECM[When will the measure installation be complete and operational?],Table_Perf[[#This Row],[Year]],Table_ECM[Would you like to Include this measure in the decarbonization pathway?],TRUE))))</f>
        <v>0</v>
      </c>
      <c r="I52" s="100" cm="1">
        <f t="array" ref="I52">MAX(0,IF(Table_Perf[[#This Row],[Year]]=BaseYr,IFERROR(Table_UtilityInput[Annual Other Fuel 1
(kBtu)],0),
(I51-SUMIFS(Table_ECM[Annual Other Fuel 1 Savings
(kBtu)],Table_ECM[When will the measure installation be complete and operational?],Table_Perf[[#This Row],[Year]],Table_ECM[Would you like to Include this measure in the decarbonization pathway?],TRUE))))</f>
        <v>0</v>
      </c>
      <c r="J52" s="100" cm="1">
        <f t="array" ref="J52">MAX(0,IF(Table_Perf[[#This Row],[Year]]=BaseYr,IFERROR(Table_UtilityInput[Annual Other Fuel 2
(kBtu)],0),
(J51-SUMIFS(Table_ECM[Annual Other Fuel 2 Savings
(kBtu)],Table_ECM[When will the measure installation be complete and operational?],Table_Perf[[#This Row],[Year]],Table_ECM[Would you like to Include this measure in the decarbonization pathway?],TRUE))))</f>
        <v>0</v>
      </c>
      <c r="K52" s="101">
        <f>-SUMIFS(Table_ECM[Cost to Install Measures ($)],Table_ECM[When will the measure installation be complete and operational?],Table_Perf[[#This Row],[Year]],Table_ECM[Would you like to Include this measure in the decarbonization pathway?],TRUE)</f>
        <v>0</v>
      </c>
      <c r="L52" s="102" cm="1">
        <f t="array" ref="L52">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52" s="103"/>
      <c r="N52" s="100" t="e" cm="1">
        <f t="array" ref="N52">Table_Perf[[#This Row],[Electricity (kBtu)]]*INDEX(Table_UtilityDecarb[Carbon Intensity (tCO2e/kBtu)],MATCH(N$46&amp;Table_Perf[[#This Row],[Year]],Table_UtilityDecarb[Fuel Type]&amp;Table_UtilityDecarb[Year],0))</f>
        <v>#N/A</v>
      </c>
      <c r="O52" s="100">
        <f>Table_Perf[[#This Row],[Natural Gas (kBtu)]]*INDEX(Table_UtilityDecarb[Carbon Intensity (tCO2e/kBtu)],MATCH(O$46,Table_UtilityDecarb[Fuel Type],0))</f>
        <v>0</v>
      </c>
      <c r="P52" s="100">
        <f>Table_Perf[[#This Row],[Fuel Oil'#2 (kBtu)]]*INDEX(Table_UtilityDecarb[Carbon Intensity (tCO2e/kBtu)],MATCH(P$46,Table_UtilityDecarb[Fuel Type],0))</f>
        <v>0</v>
      </c>
      <c r="Q52" s="100" t="e" cm="1">
        <f t="array" ref="Q52">Table_Perf[[#This Row],[District Steam (kBtu)]]*INDEX(Table_UtilityDecarb[Carbon Intensity (tCO2e/kBtu)],MATCH(Q$46&amp;Table_Perf[[#This Row],[Year]],Table_UtilityDecarb[Fuel Type]&amp;Table_UtilityDecarb[Year],0))</f>
        <v>#N/A</v>
      </c>
      <c r="R52" s="100" cm="1">
        <f t="array" ref="R52">IF(OR(Table_UtilityInput[Annual Other Fuel 1
(kBtu)]="",NOT(ISNUMBER(Table_UtilityInput[Annual Other Fuel 1
(kBtu)]))),0,Table_Perf[[#This Row],[Other Fuel 1 (kBtu)]]*INDEX(Table_UtilityDecarb[Carbon Intensity (tCO2e/kBtu)],MATCH(R$46,Table_UtilityDecarb[Fuel Type],0)))</f>
        <v>0</v>
      </c>
      <c r="S52" s="100" cm="1">
        <f t="array" ref="S52">IF(OR(Table_UtilityInput[Annual Other Fuel 2
(kBtu)]="",NOT(ISNUMBER(Table_UtilityInput[Annual Other Fuel 2
(kBtu)]))),0,Table_Perf[[#This Row],[Other Fuel 2 (kBtu)]]*INDEX(Table_UtilityDecarb[Carbon Intensity (tCO2e/kBtu)],MATCH(S$46,Table_UtilityDecarb[Fuel Type],0)))</f>
        <v>0</v>
      </c>
      <c r="T52" s="100">
        <f>IF(Table_Perf[[#This Row],[Year]]&gt;2050,NA(),_xlfn.AGGREGATE(9,6,Table_Perf[[#This Row],[LL97 Electricity (tCO2e)]:[LL97 Other Fuel 2 (tCO2e)]]))</f>
        <v>0</v>
      </c>
      <c r="U52" s="100" t="e">
        <f>IF(Table_Perf[[#This Row],[Year]]&lt;2035,NA(),INDEX(Table_LimitsCalc_Sample1[Total Limits (tCO2e)],MATCH(Table_Perf[[#This Row],[Year]],Table_LimitsCalc_Sample1[Year],0)))</f>
        <v>#N/A</v>
      </c>
      <c r="V52" s="100" t="e" cm="1">
        <f t="array" ref="V52">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52" s="100" t="e">
        <f>IF(Table_Perf[[#This Row],[LL97 Emissions Limit (tCO2e)]]="",0,MAX(0,Table_Perf[[#This Row],[LL97 Business-As-Usual Emissions]]-Table_Perf[[#This Row],[LL97 Emissions Limit (tCO2e)]]))</f>
        <v>#N/A</v>
      </c>
      <c r="X52" s="100" t="e">
        <f>IF(Table_Perf[[#This Row],[LL97 Emissions Limit (tCO2e)]]="",0,MAX(0,Table_Perf[[#This Row],[LL97 Emissions After Measures]]-Table_Perf[[#This Row],[LL97 Emissions Limit (tCO2e)]]))</f>
        <v>#N/A</v>
      </c>
      <c r="Y52" s="100" t="e">
        <f>Table_Perf[[#This Row],[LL97 Business-As-Usual Emissions]]-Table_Perf[[#This Row],[LL97 Emissions After Measures]]</f>
        <v>#N/A</v>
      </c>
      <c r="Z52" s="102" t="str">
        <f>IF(Table_Perf[[#This Row],[Year]]&lt;2024,"Not in enforcement period",IF(Table_Perf[[#This Row],[LL97 Excess Emissions After Measures]]=0,"Compliant","Not-Compliant"))</f>
        <v>Not in enforcement period</v>
      </c>
      <c r="AA52" s="104">
        <f>IFERROR(-268*Table_Perf[[#This Row],[LL97 Excess Emissions After Measures]],0)</f>
        <v>0</v>
      </c>
      <c r="AB52" s="102">
        <f>IFERROR(268*MIN(Table_Perf[[#This Row],[LL97 BAU Excess Emissions]],Table_Perf[[#This Row],[LL97 Emissions Reduced by Measures]]),0)</f>
        <v>0</v>
      </c>
      <c r="AC52" s="105" t="str">
        <f>IF(OR(Table_Perf[[#This Row],[Year]]&lt;2024,Table_Perf[[#This Row],[Year]]&gt;2050,ISERROR(Table_Perf[[#This Row],[LL97 Adjusted Penalty After Measures]])),"",Table_Perf[[#This Row],[LL97 Adjusted Penalty After Measures]])</f>
        <v/>
      </c>
      <c r="AD52" s="102">
        <f>IF(Table_Perf[[#This Row],[Year]]&gt;2050,NA(),_xlfn.AGGREGATE(9,6,Table_Perf[[#This Row],[Measure Cost ($)]],Table_Perf[[#This Row],[Utility Savings ($)]],Table_Perf[[#This Row],[LL97 Penalty Avoided by Measures ($)]]))</f>
        <v>0</v>
      </c>
      <c r="AE52" s="102">
        <f>SUM($AD$48:AD52)</f>
        <v>0</v>
      </c>
      <c r="AF52" s="102">
        <f>IF(Table_Perf[[#This Row],[Year]]&gt;2050,NA(),_xlfn.AGGREGATE(9,6,Table_Perf[[#This Row],[Measure Cost ($)]],Table_Perf[[#This Row],[LL97 Adjusted Penalty After Measures]]))</f>
        <v>0</v>
      </c>
      <c r="AG52" s="106">
        <f>Table_Perf[[#This Row],[Year]]</f>
        <v>4</v>
      </c>
      <c r="AH52" s="99">
        <f>COUNTIFS(Table_ECM[When will the measure installation be complete and operational?],"&lt;="&amp;Table_Perf[[#This Row],[Yr]],Table_ECM[Would you like to Include this measure in the decarbonization pathway?],TRUE)</f>
        <v>0</v>
      </c>
      <c r="AI52" s="99" t="str">
        <f>IF(Table_Perf[[#This Row],[Measure Qty]]=AH51,"",_xlfn.CONCAT(Table_Perf[[#This Row],[Measure Qty]], " Measures Done"))</f>
        <v/>
      </c>
      <c r="AJ52" s="107" t="e">
        <f>IF(Table_Perf[[#This Row],[Measure Label]]="",NA(),Table_Perf[[#This Row],[LL97 Emissions After Measures]])</f>
        <v>#N/A</v>
      </c>
    </row>
    <row r="53" spans="3:36" hidden="1" outlineLevel="1">
      <c r="C53" s="98">
        <v>5</v>
      </c>
      <c r="D53" s="108">
        <f>IF(BaseYr+Table_Perf[[#This Row],['#]]&gt;EndYr,NA(),BaseYr+Table_Perf[[#This Row],['#]])</f>
        <v>5</v>
      </c>
      <c r="E53" s="100" cm="1">
        <f t="array" ref="E53">MAX(0,IF(Table_Perf[[#This Row],[Year]]=BaseYr,IFERROR(Table_UtilityInput[Annual Electricity 
(kWh)]*3.412,0),
(E52-3.412*SUMIFS(Table_ECM[Annual Electricity Savings
(kWh)],Table_ECM[When will the measure installation be complete and operational?],Table_Perf[[#This Row],[Year]],Table_ECM[Would you like to Include this measure in the decarbonization pathway?],TRUE))))</f>
        <v>0</v>
      </c>
      <c r="F53" s="100" cm="1">
        <f t="array" ref="F53">MAX(0,IF(Table_Perf[[#This Row],[Year]]=BaseYr,IFERROR(Table_UtilityInput[Annual Natural Gas  
(therm)]*100,0),
(F52-100*SUMIFS(Table_ECM[Annual Natural Gas Savings
(therm)],Table_ECM[When will the measure installation be complete and operational?],Table_Perf[[#This Row],[Year]],Table_ECM[Would you like to Include this measure in the decarbonization pathway?],TRUE))))</f>
        <v>0</v>
      </c>
      <c r="G53" s="100" cm="1">
        <f t="array" ref="G53">MAX(0,IF(Table_Perf[[#This Row],[Year]]=BaseYr,IFERROR(Table_UtilityInput[Annual Fuel Oil'#2
(Gallon)]*138,0),
(G52-138*SUMIFS(Table_ECM[Annual Fuel Oil'#2 Savings
(Gallon)],Table_ECM[When will the measure installation be complete and operational?],Table_Perf[[#This Row],[Year]],Table_ECM[Would you like to Include this measure in the decarbonization pathway?],TRUE))))</f>
        <v>0</v>
      </c>
      <c r="H53" s="100" cm="1">
        <f t="array" ref="H53">MAX(0,IF(Table_Perf[[#This Row],[Year]]=BaseYr,IFERROR(Table_UtilityInput[Annual District Steam  
(Mlb for ConEd, kLb for others)]*1194,0),
(H52-1194*SUMIFS(Table_ECM[Annual District Steam Savings
(Mlb for ConEd, klb for others)],Table_ECM[When will the measure installation be complete and operational?],Table_Perf[[#This Row],[Year]],Table_ECM[Would you like to Include this measure in the decarbonization pathway?],TRUE))))</f>
        <v>0</v>
      </c>
      <c r="I53" s="100" cm="1">
        <f t="array" ref="I53">MAX(0,IF(Table_Perf[[#This Row],[Year]]=BaseYr,IFERROR(Table_UtilityInput[Annual Other Fuel 1
(kBtu)],0),
(I52-SUMIFS(Table_ECM[Annual Other Fuel 1 Savings
(kBtu)],Table_ECM[When will the measure installation be complete and operational?],Table_Perf[[#This Row],[Year]],Table_ECM[Would you like to Include this measure in the decarbonization pathway?],TRUE))))</f>
        <v>0</v>
      </c>
      <c r="J53" s="100" cm="1">
        <f t="array" ref="J53">MAX(0,IF(Table_Perf[[#This Row],[Year]]=BaseYr,IFERROR(Table_UtilityInput[Annual Other Fuel 2
(kBtu)],0),
(J52-SUMIFS(Table_ECM[Annual Other Fuel 2 Savings
(kBtu)],Table_ECM[When will the measure installation be complete and operational?],Table_Perf[[#This Row],[Year]],Table_ECM[Would you like to Include this measure in the decarbonization pathway?],TRUE))))</f>
        <v>0</v>
      </c>
      <c r="K53" s="101">
        <f>-SUMIFS(Table_ECM[Cost to Install Measures ($)],Table_ECM[When will the measure installation be complete and operational?],Table_Perf[[#This Row],[Year]],Table_ECM[Would you like to Include this measure in the decarbonization pathway?],TRUE)</f>
        <v>0</v>
      </c>
      <c r="L53" s="102" cm="1">
        <f t="array" ref="L53">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53" s="103"/>
      <c r="N53" s="100" t="e" cm="1">
        <f t="array" ref="N53">Table_Perf[[#This Row],[Electricity (kBtu)]]*INDEX(Table_UtilityDecarb[Carbon Intensity (tCO2e/kBtu)],MATCH(N$46&amp;Table_Perf[[#This Row],[Year]],Table_UtilityDecarb[Fuel Type]&amp;Table_UtilityDecarb[Year],0))</f>
        <v>#N/A</v>
      </c>
      <c r="O53" s="100">
        <f>Table_Perf[[#This Row],[Natural Gas (kBtu)]]*INDEX(Table_UtilityDecarb[Carbon Intensity (tCO2e/kBtu)],MATCH(O$46,Table_UtilityDecarb[Fuel Type],0))</f>
        <v>0</v>
      </c>
      <c r="P53" s="100">
        <f>Table_Perf[[#This Row],[Fuel Oil'#2 (kBtu)]]*INDEX(Table_UtilityDecarb[Carbon Intensity (tCO2e/kBtu)],MATCH(P$46,Table_UtilityDecarb[Fuel Type],0))</f>
        <v>0</v>
      </c>
      <c r="Q53" s="100" t="e" cm="1">
        <f t="array" ref="Q53">Table_Perf[[#This Row],[District Steam (kBtu)]]*INDEX(Table_UtilityDecarb[Carbon Intensity (tCO2e/kBtu)],MATCH(Q$46&amp;Table_Perf[[#This Row],[Year]],Table_UtilityDecarb[Fuel Type]&amp;Table_UtilityDecarb[Year],0))</f>
        <v>#N/A</v>
      </c>
      <c r="R53" s="100" cm="1">
        <f t="array" ref="R53">IF(OR(Table_UtilityInput[Annual Other Fuel 1
(kBtu)]="",NOT(ISNUMBER(Table_UtilityInput[Annual Other Fuel 1
(kBtu)]))),0,Table_Perf[[#This Row],[Other Fuel 1 (kBtu)]]*INDEX(Table_UtilityDecarb[Carbon Intensity (tCO2e/kBtu)],MATCH(R$46,Table_UtilityDecarb[Fuel Type],0)))</f>
        <v>0</v>
      </c>
      <c r="S53" s="100" cm="1">
        <f t="array" ref="S53">IF(OR(Table_UtilityInput[Annual Other Fuel 2
(kBtu)]="",NOT(ISNUMBER(Table_UtilityInput[Annual Other Fuel 2
(kBtu)]))),0,Table_Perf[[#This Row],[Other Fuel 2 (kBtu)]]*INDEX(Table_UtilityDecarb[Carbon Intensity (tCO2e/kBtu)],MATCH(S$46,Table_UtilityDecarb[Fuel Type],0)))</f>
        <v>0</v>
      </c>
      <c r="T53" s="100">
        <f>IF(Table_Perf[[#This Row],[Year]]&gt;2050,NA(),_xlfn.AGGREGATE(9,6,Table_Perf[[#This Row],[LL97 Electricity (tCO2e)]:[LL97 Other Fuel 2 (tCO2e)]]))</f>
        <v>0</v>
      </c>
      <c r="U53" s="100" t="e">
        <f>IF(Table_Perf[[#This Row],[Year]]&lt;2035,NA(),INDEX(Table_LimitsCalc_Sample1[Total Limits (tCO2e)],MATCH(Table_Perf[[#This Row],[Year]],Table_LimitsCalc_Sample1[Year],0)))</f>
        <v>#N/A</v>
      </c>
      <c r="V53" s="100" t="e" cm="1">
        <f t="array" ref="V53">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53" s="100" t="e">
        <f>IF(Table_Perf[[#This Row],[LL97 Emissions Limit (tCO2e)]]="",0,MAX(0,Table_Perf[[#This Row],[LL97 Business-As-Usual Emissions]]-Table_Perf[[#This Row],[LL97 Emissions Limit (tCO2e)]]))</f>
        <v>#N/A</v>
      </c>
      <c r="X53" s="100" t="e">
        <f>IF(Table_Perf[[#This Row],[LL97 Emissions Limit (tCO2e)]]="",0,MAX(0,Table_Perf[[#This Row],[LL97 Emissions After Measures]]-Table_Perf[[#This Row],[LL97 Emissions Limit (tCO2e)]]))</f>
        <v>#N/A</v>
      </c>
      <c r="Y53" s="100" t="e">
        <f>Table_Perf[[#This Row],[LL97 Business-As-Usual Emissions]]-Table_Perf[[#This Row],[LL97 Emissions After Measures]]</f>
        <v>#N/A</v>
      </c>
      <c r="Z53" s="102" t="str">
        <f>IF(Table_Perf[[#This Row],[Year]]&lt;2024,"Not in enforcement period",IF(Table_Perf[[#This Row],[LL97 Excess Emissions After Measures]]=0,"Compliant","Not-Compliant"))</f>
        <v>Not in enforcement period</v>
      </c>
      <c r="AA53" s="104">
        <f>IFERROR(-268*Table_Perf[[#This Row],[LL97 Excess Emissions After Measures]],0)</f>
        <v>0</v>
      </c>
      <c r="AB53" s="102">
        <f>IFERROR(268*MIN(Table_Perf[[#This Row],[LL97 BAU Excess Emissions]],Table_Perf[[#This Row],[LL97 Emissions Reduced by Measures]]),0)</f>
        <v>0</v>
      </c>
      <c r="AC53" s="105" t="str">
        <f>IF(OR(Table_Perf[[#This Row],[Year]]&lt;2024,Table_Perf[[#This Row],[Year]]&gt;2050,ISERROR(Table_Perf[[#This Row],[LL97 Adjusted Penalty After Measures]])),"",Table_Perf[[#This Row],[LL97 Adjusted Penalty After Measures]])</f>
        <v/>
      </c>
      <c r="AD53" s="102">
        <f>IF(Table_Perf[[#This Row],[Year]]&gt;2050,NA(),_xlfn.AGGREGATE(9,6,Table_Perf[[#This Row],[Measure Cost ($)]],Table_Perf[[#This Row],[Utility Savings ($)]],Table_Perf[[#This Row],[LL97 Penalty Avoided by Measures ($)]]))</f>
        <v>0</v>
      </c>
      <c r="AE53" s="102">
        <f>SUM($AD$48:AD53)</f>
        <v>0</v>
      </c>
      <c r="AF53" s="102">
        <f>IF(Table_Perf[[#This Row],[Year]]&gt;2050,NA(),_xlfn.AGGREGATE(9,6,Table_Perf[[#This Row],[Measure Cost ($)]],Table_Perf[[#This Row],[LL97 Adjusted Penalty After Measures]]))</f>
        <v>0</v>
      </c>
      <c r="AG53" s="106">
        <f>Table_Perf[[#This Row],[Year]]</f>
        <v>5</v>
      </c>
      <c r="AH53" s="99">
        <f>COUNTIFS(Table_ECM[When will the measure installation be complete and operational?],"&lt;="&amp;Table_Perf[[#This Row],[Yr]],Table_ECM[Would you like to Include this measure in the decarbonization pathway?],TRUE)</f>
        <v>0</v>
      </c>
      <c r="AI53" s="99" t="str">
        <f>IF(Table_Perf[[#This Row],[Measure Qty]]=AH52,"",_xlfn.CONCAT(Table_Perf[[#This Row],[Measure Qty]], " Measures Done"))</f>
        <v/>
      </c>
      <c r="AJ53" s="107" t="e">
        <f>IF(Table_Perf[[#This Row],[Measure Label]]="",NA(),Table_Perf[[#This Row],[LL97 Emissions After Measures]])</f>
        <v>#N/A</v>
      </c>
    </row>
    <row r="54" spans="3:36" hidden="1" outlineLevel="1">
      <c r="C54" s="98">
        <v>6</v>
      </c>
      <c r="D54" s="108">
        <f>IF(BaseYr+Table_Perf[[#This Row],['#]]&gt;EndYr,NA(),BaseYr+Table_Perf[[#This Row],['#]])</f>
        <v>6</v>
      </c>
      <c r="E54" s="109" cm="1">
        <f t="array" ref="E54">MAX(0,IF(Table_Perf[[#This Row],[Year]]=BaseYr,IFERROR(Table_UtilityInput[Annual Electricity 
(kWh)]*3.412,0),
(E53-3.412*SUMIFS(Table_ECM[Annual Electricity Savings
(kWh)],Table_ECM[When will the measure installation be complete and operational?],Table_Perf[[#This Row],[Year]],Table_ECM[Would you like to Include this measure in the decarbonization pathway?],TRUE))))</f>
        <v>0</v>
      </c>
      <c r="F54" s="109" cm="1">
        <f t="array" ref="F54">MAX(0,IF(Table_Perf[[#This Row],[Year]]=BaseYr,IFERROR(Table_UtilityInput[Annual Natural Gas  
(therm)]*100,0),
(F53-100*SUMIFS(Table_ECM[Annual Natural Gas Savings
(therm)],Table_ECM[When will the measure installation be complete and operational?],Table_Perf[[#This Row],[Year]],Table_ECM[Would you like to Include this measure in the decarbonization pathway?],TRUE))))</f>
        <v>0</v>
      </c>
      <c r="G54" s="109" cm="1">
        <f t="array" ref="G54">MAX(0,IF(Table_Perf[[#This Row],[Year]]=BaseYr,IFERROR(Table_UtilityInput[Annual Fuel Oil'#2
(Gallon)]*138,0),
(G53-138*SUMIFS(Table_ECM[Annual Fuel Oil'#2 Savings
(Gallon)],Table_ECM[When will the measure installation be complete and operational?],Table_Perf[[#This Row],[Year]],Table_ECM[Would you like to Include this measure in the decarbonization pathway?],TRUE))))</f>
        <v>0</v>
      </c>
      <c r="H54" s="109" cm="1">
        <f t="array" ref="H54">MAX(0,IF(Table_Perf[[#This Row],[Year]]=BaseYr,IFERROR(Table_UtilityInput[Annual District Steam  
(Mlb for ConEd, kLb for others)]*1194,0),
(H53-1194*SUMIFS(Table_ECM[Annual District Steam Savings
(Mlb for ConEd, klb for others)],Table_ECM[When will the measure installation be complete and operational?],Table_Perf[[#This Row],[Year]],Table_ECM[Would you like to Include this measure in the decarbonization pathway?],TRUE))))</f>
        <v>0</v>
      </c>
      <c r="I54" s="109" cm="1">
        <f t="array" ref="I54">MAX(0,IF(Table_Perf[[#This Row],[Year]]=BaseYr,IFERROR(Table_UtilityInput[Annual Other Fuel 1
(kBtu)],0),
(I53-SUMIFS(Table_ECM[Annual Other Fuel 1 Savings
(kBtu)],Table_ECM[When will the measure installation be complete and operational?],Table_Perf[[#This Row],[Year]],Table_ECM[Would you like to Include this measure in the decarbonization pathway?],TRUE))))</f>
        <v>0</v>
      </c>
      <c r="J54" s="110" cm="1">
        <f t="array" ref="J54">MAX(0,IF(Table_Perf[[#This Row],[Year]]=BaseYr,IFERROR(Table_UtilityInput[Annual Other Fuel 2
(kBtu)],0),
(J53-SUMIFS(Table_ECM[Annual Other Fuel 2 Savings
(kBtu)],Table_ECM[When will the measure installation be complete and operational?],Table_Perf[[#This Row],[Year]],Table_ECM[Would you like to Include this measure in the decarbonization pathway?],TRUE))))</f>
        <v>0</v>
      </c>
      <c r="K54" s="101">
        <f>-SUMIFS(Table_ECM[Cost to Install Measures ($)],Table_ECM[When will the measure installation be complete and operational?],Table_Perf[[#This Row],[Year]],Table_ECM[Would you like to Include this measure in the decarbonization pathway?],TRUE)</f>
        <v>0</v>
      </c>
      <c r="L54" s="102" cm="1">
        <f t="array" ref="L54">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54" s="103"/>
      <c r="N54" s="109" t="e" cm="1">
        <f t="array" ref="N54">Table_Perf[[#This Row],[Electricity (kBtu)]]*INDEX(Table_UtilityDecarb[Carbon Intensity (tCO2e/kBtu)],MATCH(N$46&amp;Table_Perf[[#This Row],[Year]],Table_UtilityDecarb[Fuel Type]&amp;Table_UtilityDecarb[Year],0))</f>
        <v>#N/A</v>
      </c>
      <c r="O54" s="100">
        <f>Table_Perf[[#This Row],[Natural Gas (kBtu)]]*INDEX(Table_UtilityDecarb[Carbon Intensity (tCO2e/kBtu)],MATCH(O$46,Table_UtilityDecarb[Fuel Type],0))</f>
        <v>0</v>
      </c>
      <c r="P54" s="109">
        <f>Table_Perf[[#This Row],[Fuel Oil'#2 (kBtu)]]*INDEX(Table_UtilityDecarb[Carbon Intensity (tCO2e/kBtu)],MATCH(P$46,Table_UtilityDecarb[Fuel Type],0))</f>
        <v>0</v>
      </c>
      <c r="Q54" s="109" t="e" cm="1">
        <f t="array" ref="Q54">Table_Perf[[#This Row],[District Steam (kBtu)]]*INDEX(Table_UtilityDecarb[Carbon Intensity (tCO2e/kBtu)],MATCH(Q$46&amp;Table_Perf[[#This Row],[Year]],Table_UtilityDecarb[Fuel Type]&amp;Table_UtilityDecarb[Year],0))</f>
        <v>#N/A</v>
      </c>
      <c r="R54" s="109" cm="1">
        <f t="array" ref="R54">IF(OR(Table_UtilityInput[Annual Other Fuel 1
(kBtu)]="",NOT(ISNUMBER(Table_UtilityInput[Annual Other Fuel 1
(kBtu)]))),0,Table_Perf[[#This Row],[Other Fuel 1 (kBtu)]]*INDEX(Table_UtilityDecarb[Carbon Intensity (tCO2e/kBtu)],MATCH(R$46,Table_UtilityDecarb[Fuel Type],0)))</f>
        <v>0</v>
      </c>
      <c r="S54" s="109" cm="1">
        <f t="array" ref="S54">IF(OR(Table_UtilityInput[Annual Other Fuel 2
(kBtu)]="",NOT(ISNUMBER(Table_UtilityInput[Annual Other Fuel 2
(kBtu)]))),0,Table_Perf[[#This Row],[Other Fuel 2 (kBtu)]]*INDEX(Table_UtilityDecarb[Carbon Intensity (tCO2e/kBtu)],MATCH(S$46,Table_UtilityDecarb[Fuel Type],0)))</f>
        <v>0</v>
      </c>
      <c r="T54" s="100">
        <f>IF(Table_Perf[[#This Row],[Year]]&gt;2050,NA(),_xlfn.AGGREGATE(9,6,Table_Perf[[#This Row],[LL97 Electricity (tCO2e)]:[LL97 Other Fuel 2 (tCO2e)]]))</f>
        <v>0</v>
      </c>
      <c r="U54" s="100" t="e">
        <f>IF(Table_Perf[[#This Row],[Year]]&lt;2035,NA(),INDEX(Table_LimitsCalc_Sample1[Total Limits (tCO2e)],MATCH(Table_Perf[[#This Row],[Year]],Table_LimitsCalc_Sample1[Year],0)))</f>
        <v>#N/A</v>
      </c>
      <c r="V54" s="100" t="e" cm="1">
        <f t="array" ref="V54">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54" s="100" t="e">
        <f>IF(Table_Perf[[#This Row],[LL97 Emissions Limit (tCO2e)]]="",0,MAX(0,Table_Perf[[#This Row],[LL97 Business-As-Usual Emissions]]-Table_Perf[[#This Row],[LL97 Emissions Limit (tCO2e)]]))</f>
        <v>#N/A</v>
      </c>
      <c r="X54" s="100" t="e">
        <f>IF(Table_Perf[[#This Row],[LL97 Emissions Limit (tCO2e)]]="",0,MAX(0,Table_Perf[[#This Row],[LL97 Emissions After Measures]]-Table_Perf[[#This Row],[LL97 Emissions Limit (tCO2e)]]))</f>
        <v>#N/A</v>
      </c>
      <c r="Y54" s="100" t="e">
        <f>Table_Perf[[#This Row],[LL97 Business-As-Usual Emissions]]-Table_Perf[[#This Row],[LL97 Emissions After Measures]]</f>
        <v>#N/A</v>
      </c>
      <c r="Z54" s="102" t="str">
        <f>IF(Table_Perf[[#This Row],[Year]]&lt;2024,"Not in enforcement period",IF(Table_Perf[[#This Row],[LL97 Excess Emissions After Measures]]=0,"Compliant","Not-Compliant"))</f>
        <v>Not in enforcement period</v>
      </c>
      <c r="AA54" s="104">
        <f>IFERROR(-268*Table_Perf[[#This Row],[LL97 Excess Emissions After Measures]],0)</f>
        <v>0</v>
      </c>
      <c r="AB54" s="102">
        <f>IFERROR(268*MIN(Table_Perf[[#This Row],[LL97 BAU Excess Emissions]],Table_Perf[[#This Row],[LL97 Emissions Reduced by Measures]]),0)</f>
        <v>0</v>
      </c>
      <c r="AC54" s="105" t="str">
        <f>IF(OR(Table_Perf[[#This Row],[Year]]&lt;2024,Table_Perf[[#This Row],[Year]]&gt;2050,ISERROR(Table_Perf[[#This Row],[LL97 Adjusted Penalty After Measures]])),"",Table_Perf[[#This Row],[LL97 Adjusted Penalty After Measures]])</f>
        <v/>
      </c>
      <c r="AD54" s="102">
        <f>IF(Table_Perf[[#This Row],[Year]]&gt;2050,NA(),_xlfn.AGGREGATE(9,6,Table_Perf[[#This Row],[Measure Cost ($)]],Table_Perf[[#This Row],[Utility Savings ($)]],Table_Perf[[#This Row],[LL97 Penalty Avoided by Measures ($)]]))</f>
        <v>0</v>
      </c>
      <c r="AE54" s="102">
        <f>SUM($AD$48:AD54)</f>
        <v>0</v>
      </c>
      <c r="AF54" s="102">
        <f>IF(Table_Perf[[#This Row],[Year]]&gt;2050,NA(),_xlfn.AGGREGATE(9,6,Table_Perf[[#This Row],[Measure Cost ($)]],Table_Perf[[#This Row],[LL97 Adjusted Penalty After Measures]]))</f>
        <v>0</v>
      </c>
      <c r="AG54" s="106">
        <f>Table_Perf[[#This Row],[Year]]</f>
        <v>6</v>
      </c>
      <c r="AH54" s="99">
        <f>COUNTIFS(Table_ECM[When will the measure installation be complete and operational?],"&lt;="&amp;Table_Perf[[#This Row],[Yr]],Table_ECM[Would you like to Include this measure in the decarbonization pathway?],TRUE)</f>
        <v>0</v>
      </c>
      <c r="AI54" s="99" t="str">
        <f>IF(Table_Perf[[#This Row],[Measure Qty]]=AH53,"",_xlfn.CONCAT(Table_Perf[[#This Row],[Measure Qty]], " Measures Done"))</f>
        <v/>
      </c>
      <c r="AJ54" s="107" t="e">
        <f>IF(Table_Perf[[#This Row],[Measure Label]]="",NA(),Table_Perf[[#This Row],[LL97 Emissions After Measures]])</f>
        <v>#N/A</v>
      </c>
    </row>
    <row r="55" spans="3:36" hidden="1" outlineLevel="1">
      <c r="C55" s="98">
        <v>7</v>
      </c>
      <c r="D55" s="108">
        <f>IF(BaseYr+Table_Perf[[#This Row],['#]]&gt;EndYr,NA(),BaseYr+Table_Perf[[#This Row],['#]])</f>
        <v>7</v>
      </c>
      <c r="E55" s="109" cm="1">
        <f t="array" ref="E55">MAX(0,IF(Table_Perf[[#This Row],[Year]]=BaseYr,IFERROR(Table_UtilityInput[Annual Electricity 
(kWh)]*3.412,0),
(E54-3.412*SUMIFS(Table_ECM[Annual Electricity Savings
(kWh)],Table_ECM[When will the measure installation be complete and operational?],Table_Perf[[#This Row],[Year]],Table_ECM[Would you like to Include this measure in the decarbonization pathway?],TRUE))))</f>
        <v>0</v>
      </c>
      <c r="F55" s="109" cm="1">
        <f t="array" ref="F55">MAX(0,IF(Table_Perf[[#This Row],[Year]]=BaseYr,IFERROR(Table_UtilityInput[Annual Natural Gas  
(therm)]*100,0),
(F54-100*SUMIFS(Table_ECM[Annual Natural Gas Savings
(therm)],Table_ECM[When will the measure installation be complete and operational?],Table_Perf[[#This Row],[Year]],Table_ECM[Would you like to Include this measure in the decarbonization pathway?],TRUE))))</f>
        <v>0</v>
      </c>
      <c r="G55" s="109" cm="1">
        <f t="array" ref="G55">MAX(0,IF(Table_Perf[[#This Row],[Year]]=BaseYr,IFERROR(Table_UtilityInput[Annual Fuel Oil'#2
(Gallon)]*138,0),
(G54-138*SUMIFS(Table_ECM[Annual Fuel Oil'#2 Savings
(Gallon)],Table_ECM[When will the measure installation be complete and operational?],Table_Perf[[#This Row],[Year]],Table_ECM[Would you like to Include this measure in the decarbonization pathway?],TRUE))))</f>
        <v>0</v>
      </c>
      <c r="H55" s="109" cm="1">
        <f t="array" ref="H55">MAX(0,IF(Table_Perf[[#This Row],[Year]]=BaseYr,IFERROR(Table_UtilityInput[Annual District Steam  
(Mlb for ConEd, kLb for others)]*1194,0),
(H54-1194*SUMIFS(Table_ECM[Annual District Steam Savings
(Mlb for ConEd, klb for others)],Table_ECM[When will the measure installation be complete and operational?],Table_Perf[[#This Row],[Year]],Table_ECM[Would you like to Include this measure in the decarbonization pathway?],TRUE))))</f>
        <v>0</v>
      </c>
      <c r="I55" s="109" cm="1">
        <f t="array" ref="I55">MAX(0,IF(Table_Perf[[#This Row],[Year]]=BaseYr,IFERROR(Table_UtilityInput[Annual Other Fuel 1
(kBtu)],0),
(I54-SUMIFS(Table_ECM[Annual Other Fuel 1 Savings
(kBtu)],Table_ECM[When will the measure installation be complete and operational?],Table_Perf[[#This Row],[Year]],Table_ECM[Would you like to Include this measure in the decarbonization pathway?],TRUE))))</f>
        <v>0</v>
      </c>
      <c r="J55" s="110" cm="1">
        <f t="array" ref="J55">MAX(0,IF(Table_Perf[[#This Row],[Year]]=BaseYr,IFERROR(Table_UtilityInput[Annual Other Fuel 2
(kBtu)],0),
(J54-SUMIFS(Table_ECM[Annual Other Fuel 2 Savings
(kBtu)],Table_ECM[When will the measure installation be complete and operational?],Table_Perf[[#This Row],[Year]],Table_ECM[Would you like to Include this measure in the decarbonization pathway?],TRUE))))</f>
        <v>0</v>
      </c>
      <c r="K55" s="101">
        <f>-SUMIFS(Table_ECM[Cost to Install Measures ($)],Table_ECM[When will the measure installation be complete and operational?],Table_Perf[[#This Row],[Year]],Table_ECM[Would you like to Include this measure in the decarbonization pathway?],TRUE)</f>
        <v>0</v>
      </c>
      <c r="L55" s="102" cm="1">
        <f t="array" ref="L55">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55" s="103"/>
      <c r="N55" s="100" t="e" cm="1">
        <f t="array" ref="N55">Table_Perf[[#This Row],[Electricity (kBtu)]]*INDEX(Table_UtilityDecarb[Carbon Intensity (tCO2e/kBtu)],MATCH(N$46&amp;Table_Perf[[#This Row],[Year]],Table_UtilityDecarb[Fuel Type]&amp;Table_UtilityDecarb[Year],0))</f>
        <v>#N/A</v>
      </c>
      <c r="O55" s="100">
        <f>Table_Perf[[#This Row],[Natural Gas (kBtu)]]*INDEX(Table_UtilityDecarb[Carbon Intensity (tCO2e/kBtu)],MATCH(O$46,Table_UtilityDecarb[Fuel Type],0))</f>
        <v>0</v>
      </c>
      <c r="P55" s="100">
        <f>Table_Perf[[#This Row],[Fuel Oil'#2 (kBtu)]]*INDEX(Table_UtilityDecarb[Carbon Intensity (tCO2e/kBtu)],MATCH(P$46,Table_UtilityDecarb[Fuel Type],0))</f>
        <v>0</v>
      </c>
      <c r="Q55" s="100" t="e" cm="1">
        <f t="array" ref="Q55">Table_Perf[[#This Row],[District Steam (kBtu)]]*INDEX(Table_UtilityDecarb[Carbon Intensity (tCO2e/kBtu)],MATCH(Q$46&amp;Table_Perf[[#This Row],[Year]],Table_UtilityDecarb[Fuel Type]&amp;Table_UtilityDecarb[Year],0))</f>
        <v>#N/A</v>
      </c>
      <c r="R55" s="100" cm="1">
        <f t="array" ref="R55">IF(OR(Table_UtilityInput[Annual Other Fuel 1
(kBtu)]="",NOT(ISNUMBER(Table_UtilityInput[Annual Other Fuel 1
(kBtu)]))),0,Table_Perf[[#This Row],[Other Fuel 1 (kBtu)]]*INDEX(Table_UtilityDecarb[Carbon Intensity (tCO2e/kBtu)],MATCH(R$46,Table_UtilityDecarb[Fuel Type],0)))</f>
        <v>0</v>
      </c>
      <c r="S55" s="100" cm="1">
        <f t="array" ref="S55">IF(OR(Table_UtilityInput[Annual Other Fuel 2
(kBtu)]="",NOT(ISNUMBER(Table_UtilityInput[Annual Other Fuel 2
(kBtu)]))),0,Table_Perf[[#This Row],[Other Fuel 2 (kBtu)]]*INDEX(Table_UtilityDecarb[Carbon Intensity (tCO2e/kBtu)],MATCH(S$46,Table_UtilityDecarb[Fuel Type],0)))</f>
        <v>0</v>
      </c>
      <c r="T55" s="100">
        <f>IF(Table_Perf[[#This Row],[Year]]&gt;2050,NA(),_xlfn.AGGREGATE(9,6,Table_Perf[[#This Row],[LL97 Electricity (tCO2e)]:[LL97 Other Fuel 2 (tCO2e)]]))</f>
        <v>0</v>
      </c>
      <c r="U55" s="100" t="e">
        <f>IF(Table_Perf[[#This Row],[Year]]&lt;2035,NA(),INDEX(Table_LimitsCalc_Sample1[Total Limits (tCO2e)],MATCH(Table_Perf[[#This Row],[Year]],Table_LimitsCalc_Sample1[Year],0)))</f>
        <v>#N/A</v>
      </c>
      <c r="V55" s="100" t="e" cm="1">
        <f t="array" ref="V55">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55" s="100" t="e">
        <f>IF(Table_Perf[[#This Row],[LL97 Emissions Limit (tCO2e)]]="",0,MAX(0,Table_Perf[[#This Row],[LL97 Business-As-Usual Emissions]]-Table_Perf[[#This Row],[LL97 Emissions Limit (tCO2e)]]))</f>
        <v>#N/A</v>
      </c>
      <c r="X55" s="100" t="e">
        <f>IF(Table_Perf[[#This Row],[LL97 Emissions Limit (tCO2e)]]="",0,MAX(0,Table_Perf[[#This Row],[LL97 Emissions After Measures]]-Table_Perf[[#This Row],[LL97 Emissions Limit (tCO2e)]]))</f>
        <v>#N/A</v>
      </c>
      <c r="Y55" s="100" t="e">
        <f>Table_Perf[[#This Row],[LL97 Business-As-Usual Emissions]]-Table_Perf[[#This Row],[LL97 Emissions After Measures]]</f>
        <v>#N/A</v>
      </c>
      <c r="Z55" s="102" t="str">
        <f>IF(Table_Perf[[#This Row],[Year]]&lt;2024,"Not in enforcement period",IF(Table_Perf[[#This Row],[LL97 Excess Emissions After Measures]]=0,"Compliant","Not-Compliant"))</f>
        <v>Not in enforcement period</v>
      </c>
      <c r="AA55" s="104">
        <f>IFERROR(-268*Table_Perf[[#This Row],[LL97 Excess Emissions After Measures]],0)</f>
        <v>0</v>
      </c>
      <c r="AB55" s="102">
        <f>IFERROR(268*MIN(Table_Perf[[#This Row],[LL97 BAU Excess Emissions]],Table_Perf[[#This Row],[LL97 Emissions Reduced by Measures]]),0)</f>
        <v>0</v>
      </c>
      <c r="AC55" s="105" t="str">
        <f>IF(OR(Table_Perf[[#This Row],[Year]]&lt;2024,Table_Perf[[#This Row],[Year]]&gt;2050,ISERROR(Table_Perf[[#This Row],[LL97 Adjusted Penalty After Measures]])),"",Table_Perf[[#This Row],[LL97 Adjusted Penalty After Measures]])</f>
        <v/>
      </c>
      <c r="AD55" s="102">
        <f>IF(Table_Perf[[#This Row],[Year]]&gt;2050,NA(),_xlfn.AGGREGATE(9,6,Table_Perf[[#This Row],[Measure Cost ($)]],Table_Perf[[#This Row],[Utility Savings ($)]],Table_Perf[[#This Row],[LL97 Penalty Avoided by Measures ($)]]))</f>
        <v>0</v>
      </c>
      <c r="AE55" s="102">
        <f>SUM($AD$48:AD55)</f>
        <v>0</v>
      </c>
      <c r="AF55" s="102">
        <f>IF(Table_Perf[[#This Row],[Year]]&gt;2050,NA(),_xlfn.AGGREGATE(9,6,Table_Perf[[#This Row],[Measure Cost ($)]],Table_Perf[[#This Row],[LL97 Adjusted Penalty After Measures]]))</f>
        <v>0</v>
      </c>
      <c r="AG55" s="111">
        <f>Table_Perf[[#This Row],[Year]]</f>
        <v>7</v>
      </c>
      <c r="AH55" s="99">
        <f>COUNTIFS(Table_ECM[When will the measure installation be complete and operational?],"&lt;="&amp;Table_Perf[[#This Row],[Yr]],Table_ECM[Would you like to Include this measure in the decarbonization pathway?],TRUE)</f>
        <v>0</v>
      </c>
      <c r="AI55" s="99" t="str">
        <f>IF(Table_Perf[[#This Row],[Measure Qty]]=AH54,"",_xlfn.CONCAT(Table_Perf[[#This Row],[Measure Qty]], " Measures Done"))</f>
        <v/>
      </c>
      <c r="AJ55" s="107" t="e">
        <f>IF(Table_Perf[[#This Row],[Measure Label]]="",NA(),Table_Perf[[#This Row],[LL97 Emissions After Measures]])</f>
        <v>#N/A</v>
      </c>
    </row>
    <row r="56" spans="3:36" hidden="1" outlineLevel="1">
      <c r="C56" s="98">
        <v>8</v>
      </c>
      <c r="D56" s="108">
        <f>IF(BaseYr+Table_Perf[[#This Row],['#]]&gt;EndYr,NA(),BaseYr+Table_Perf[[#This Row],['#]])</f>
        <v>8</v>
      </c>
      <c r="E56" s="109" cm="1">
        <f t="array" ref="E56">MAX(0,IF(Table_Perf[[#This Row],[Year]]=BaseYr,IFERROR(Table_UtilityInput[Annual Electricity 
(kWh)]*3.412,0),
(E55-3.412*SUMIFS(Table_ECM[Annual Electricity Savings
(kWh)],Table_ECM[When will the measure installation be complete and operational?],Table_Perf[[#This Row],[Year]],Table_ECM[Would you like to Include this measure in the decarbonization pathway?],TRUE))))</f>
        <v>0</v>
      </c>
      <c r="F56" s="109" cm="1">
        <f t="array" ref="F56">MAX(0,IF(Table_Perf[[#This Row],[Year]]=BaseYr,IFERROR(Table_UtilityInput[Annual Natural Gas  
(therm)]*100,0),
(F55-100*SUMIFS(Table_ECM[Annual Natural Gas Savings
(therm)],Table_ECM[When will the measure installation be complete and operational?],Table_Perf[[#This Row],[Year]],Table_ECM[Would you like to Include this measure in the decarbonization pathway?],TRUE))))</f>
        <v>0</v>
      </c>
      <c r="G56" s="109" cm="1">
        <f t="array" ref="G56">MAX(0,IF(Table_Perf[[#This Row],[Year]]=BaseYr,IFERROR(Table_UtilityInput[Annual Fuel Oil'#2
(Gallon)]*138,0),
(G55-138*SUMIFS(Table_ECM[Annual Fuel Oil'#2 Savings
(Gallon)],Table_ECM[When will the measure installation be complete and operational?],Table_Perf[[#This Row],[Year]],Table_ECM[Would you like to Include this measure in the decarbonization pathway?],TRUE))))</f>
        <v>0</v>
      </c>
      <c r="H56" s="109" cm="1">
        <f t="array" ref="H56">MAX(0,IF(Table_Perf[[#This Row],[Year]]=BaseYr,IFERROR(Table_UtilityInput[Annual District Steam  
(Mlb for ConEd, kLb for others)]*1194,0),
(H55-1194*SUMIFS(Table_ECM[Annual District Steam Savings
(Mlb for ConEd, klb for others)],Table_ECM[When will the measure installation be complete and operational?],Table_Perf[[#This Row],[Year]],Table_ECM[Would you like to Include this measure in the decarbonization pathway?],TRUE))))</f>
        <v>0</v>
      </c>
      <c r="I56" s="109" cm="1">
        <f t="array" ref="I56">MAX(0,IF(Table_Perf[[#This Row],[Year]]=BaseYr,IFERROR(Table_UtilityInput[Annual Other Fuel 1
(kBtu)],0),
(I55-SUMIFS(Table_ECM[Annual Other Fuel 1 Savings
(kBtu)],Table_ECM[When will the measure installation be complete and operational?],Table_Perf[[#This Row],[Year]],Table_ECM[Would you like to Include this measure in the decarbonization pathway?],TRUE))))</f>
        <v>0</v>
      </c>
      <c r="J56" s="110" cm="1">
        <f t="array" ref="J56">MAX(0,IF(Table_Perf[[#This Row],[Year]]=BaseYr,IFERROR(Table_UtilityInput[Annual Other Fuel 2
(kBtu)],0),
(J55-SUMIFS(Table_ECM[Annual Other Fuel 2 Savings
(kBtu)],Table_ECM[When will the measure installation be complete and operational?],Table_Perf[[#This Row],[Year]],Table_ECM[Would you like to Include this measure in the decarbonization pathway?],TRUE))))</f>
        <v>0</v>
      </c>
      <c r="K56" s="101">
        <f>-SUMIFS(Table_ECM[Cost to Install Measures ($)],Table_ECM[When will the measure installation be complete and operational?],Table_Perf[[#This Row],[Year]],Table_ECM[Would you like to Include this measure in the decarbonization pathway?],TRUE)</f>
        <v>0</v>
      </c>
      <c r="L56" s="102" cm="1">
        <f t="array" ref="L56">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56" s="103"/>
      <c r="N56" s="100" t="e" cm="1">
        <f t="array" ref="N56">Table_Perf[[#This Row],[Electricity (kBtu)]]*INDEX(Table_UtilityDecarb[Carbon Intensity (tCO2e/kBtu)],MATCH(N$46&amp;Table_Perf[[#This Row],[Year]],Table_UtilityDecarb[Fuel Type]&amp;Table_UtilityDecarb[Year],0))</f>
        <v>#N/A</v>
      </c>
      <c r="O56" s="100">
        <f>Table_Perf[[#This Row],[Natural Gas (kBtu)]]*INDEX(Table_UtilityDecarb[Carbon Intensity (tCO2e/kBtu)],MATCH(O$46,Table_UtilityDecarb[Fuel Type],0))</f>
        <v>0</v>
      </c>
      <c r="P56" s="100">
        <f>Table_Perf[[#This Row],[Fuel Oil'#2 (kBtu)]]*INDEX(Table_UtilityDecarb[Carbon Intensity (tCO2e/kBtu)],MATCH(P$46,Table_UtilityDecarb[Fuel Type],0))</f>
        <v>0</v>
      </c>
      <c r="Q56" s="100" t="e" cm="1">
        <f t="array" ref="Q56">Table_Perf[[#This Row],[District Steam (kBtu)]]*INDEX(Table_UtilityDecarb[Carbon Intensity (tCO2e/kBtu)],MATCH(Q$46&amp;Table_Perf[[#This Row],[Year]],Table_UtilityDecarb[Fuel Type]&amp;Table_UtilityDecarb[Year],0))</f>
        <v>#N/A</v>
      </c>
      <c r="R56" s="100" cm="1">
        <f t="array" ref="R56">IF(OR(Table_UtilityInput[Annual Other Fuel 1
(kBtu)]="",NOT(ISNUMBER(Table_UtilityInput[Annual Other Fuel 1
(kBtu)]))),0,Table_Perf[[#This Row],[Other Fuel 1 (kBtu)]]*INDEX(Table_UtilityDecarb[Carbon Intensity (tCO2e/kBtu)],MATCH(R$46,Table_UtilityDecarb[Fuel Type],0)))</f>
        <v>0</v>
      </c>
      <c r="S56" s="100" cm="1">
        <f t="array" ref="S56">IF(OR(Table_UtilityInput[Annual Other Fuel 2
(kBtu)]="",NOT(ISNUMBER(Table_UtilityInput[Annual Other Fuel 2
(kBtu)]))),0,Table_Perf[[#This Row],[Other Fuel 2 (kBtu)]]*INDEX(Table_UtilityDecarb[Carbon Intensity (tCO2e/kBtu)],MATCH(S$46,Table_UtilityDecarb[Fuel Type],0)))</f>
        <v>0</v>
      </c>
      <c r="T56" s="100">
        <f>IF(Table_Perf[[#This Row],[Year]]&gt;2050,NA(),_xlfn.AGGREGATE(9,6,Table_Perf[[#This Row],[LL97 Electricity (tCO2e)]:[LL97 Other Fuel 2 (tCO2e)]]))</f>
        <v>0</v>
      </c>
      <c r="U56" s="100" t="e">
        <f>IF(Table_Perf[[#This Row],[Year]]&lt;2035,NA(),INDEX(Table_LimitsCalc_Sample1[Total Limits (tCO2e)],MATCH(Table_Perf[[#This Row],[Year]],Table_LimitsCalc_Sample1[Year],0)))</f>
        <v>#N/A</v>
      </c>
      <c r="V56" s="100" t="e" cm="1">
        <f t="array" ref="V56">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56" s="100" t="e">
        <f>IF(Table_Perf[[#This Row],[LL97 Emissions Limit (tCO2e)]]="",0,MAX(0,Table_Perf[[#This Row],[LL97 Business-As-Usual Emissions]]-Table_Perf[[#This Row],[LL97 Emissions Limit (tCO2e)]]))</f>
        <v>#N/A</v>
      </c>
      <c r="X56" s="100" t="e">
        <f>IF(Table_Perf[[#This Row],[LL97 Emissions Limit (tCO2e)]]="",0,MAX(0,Table_Perf[[#This Row],[LL97 Emissions After Measures]]-Table_Perf[[#This Row],[LL97 Emissions Limit (tCO2e)]]))</f>
        <v>#N/A</v>
      </c>
      <c r="Y56" s="100" t="e">
        <f>Table_Perf[[#This Row],[LL97 Business-As-Usual Emissions]]-Table_Perf[[#This Row],[LL97 Emissions After Measures]]</f>
        <v>#N/A</v>
      </c>
      <c r="Z56" s="102" t="str">
        <f>IF(Table_Perf[[#This Row],[Year]]&lt;2024,"Not in enforcement period",IF(Table_Perf[[#This Row],[LL97 Excess Emissions After Measures]]=0,"Compliant","Not-Compliant"))</f>
        <v>Not in enforcement period</v>
      </c>
      <c r="AA56" s="104">
        <f>IFERROR(-268*Table_Perf[[#This Row],[LL97 Excess Emissions After Measures]],0)</f>
        <v>0</v>
      </c>
      <c r="AB56" s="102">
        <f>IFERROR(268*MIN(Table_Perf[[#This Row],[LL97 BAU Excess Emissions]],Table_Perf[[#This Row],[LL97 Emissions Reduced by Measures]]),0)</f>
        <v>0</v>
      </c>
      <c r="AC56" s="105" t="str">
        <f>IF(OR(Table_Perf[[#This Row],[Year]]&lt;2024,Table_Perf[[#This Row],[Year]]&gt;2050,ISERROR(Table_Perf[[#This Row],[LL97 Adjusted Penalty After Measures]])),"",Table_Perf[[#This Row],[LL97 Adjusted Penalty After Measures]])</f>
        <v/>
      </c>
      <c r="AD56" s="102">
        <f>IF(Table_Perf[[#This Row],[Year]]&gt;2050,NA(),_xlfn.AGGREGATE(9,6,Table_Perf[[#This Row],[Measure Cost ($)]],Table_Perf[[#This Row],[Utility Savings ($)]],Table_Perf[[#This Row],[LL97 Penalty Avoided by Measures ($)]]))</f>
        <v>0</v>
      </c>
      <c r="AE56" s="102">
        <f>SUM($AD$48:AD56)</f>
        <v>0</v>
      </c>
      <c r="AF56" s="102">
        <f>IF(Table_Perf[[#This Row],[Year]]&gt;2050,NA(),_xlfn.AGGREGATE(9,6,Table_Perf[[#This Row],[Measure Cost ($)]],Table_Perf[[#This Row],[LL97 Adjusted Penalty After Measures]]))</f>
        <v>0</v>
      </c>
      <c r="AG56" s="106">
        <f>Table_Perf[[#This Row],[Year]]</f>
        <v>8</v>
      </c>
      <c r="AH56" s="99">
        <f>COUNTIFS(Table_ECM[When will the measure installation be complete and operational?],"&lt;="&amp;Table_Perf[[#This Row],[Yr]],Table_ECM[Would you like to Include this measure in the decarbonization pathway?],TRUE)</f>
        <v>0</v>
      </c>
      <c r="AI56" s="99" t="str">
        <f>IF(Table_Perf[[#This Row],[Measure Qty]]=AH55,"",_xlfn.CONCAT(Table_Perf[[#This Row],[Measure Qty]], " Measures Done"))</f>
        <v/>
      </c>
      <c r="AJ56" s="107" t="e">
        <f>IF(Table_Perf[[#This Row],[Measure Label]]="",NA(),Table_Perf[[#This Row],[LL97 Emissions After Measures]])</f>
        <v>#N/A</v>
      </c>
    </row>
    <row r="57" spans="3:36" hidden="1" outlineLevel="1">
      <c r="C57" s="98">
        <v>9</v>
      </c>
      <c r="D57" s="108">
        <f>IF(BaseYr+Table_Perf[[#This Row],['#]]&gt;EndYr,NA(),BaseYr+Table_Perf[[#This Row],['#]])</f>
        <v>9</v>
      </c>
      <c r="E57" s="109" cm="1">
        <f t="array" ref="E57">MAX(0,IF(Table_Perf[[#This Row],[Year]]=BaseYr,IFERROR(Table_UtilityInput[Annual Electricity 
(kWh)]*3.412,0),
(E56-3.412*SUMIFS(Table_ECM[Annual Electricity Savings
(kWh)],Table_ECM[When will the measure installation be complete and operational?],Table_Perf[[#This Row],[Year]],Table_ECM[Would you like to Include this measure in the decarbonization pathway?],TRUE))))</f>
        <v>0</v>
      </c>
      <c r="F57" s="109" cm="1">
        <f t="array" ref="F57">MAX(0,IF(Table_Perf[[#This Row],[Year]]=BaseYr,IFERROR(Table_UtilityInput[Annual Natural Gas  
(therm)]*100,0),
(F56-100*SUMIFS(Table_ECM[Annual Natural Gas Savings
(therm)],Table_ECM[When will the measure installation be complete and operational?],Table_Perf[[#This Row],[Year]],Table_ECM[Would you like to Include this measure in the decarbonization pathway?],TRUE))))</f>
        <v>0</v>
      </c>
      <c r="G57" s="109" cm="1">
        <f t="array" ref="G57">MAX(0,IF(Table_Perf[[#This Row],[Year]]=BaseYr,IFERROR(Table_UtilityInput[Annual Fuel Oil'#2
(Gallon)]*138,0),
(G56-138*SUMIFS(Table_ECM[Annual Fuel Oil'#2 Savings
(Gallon)],Table_ECM[When will the measure installation be complete and operational?],Table_Perf[[#This Row],[Year]],Table_ECM[Would you like to Include this measure in the decarbonization pathway?],TRUE))))</f>
        <v>0</v>
      </c>
      <c r="H57" s="109" cm="1">
        <f t="array" ref="H57">MAX(0,IF(Table_Perf[[#This Row],[Year]]=BaseYr,IFERROR(Table_UtilityInput[Annual District Steam  
(Mlb for ConEd, kLb for others)]*1194,0),
(H56-1194*SUMIFS(Table_ECM[Annual District Steam Savings
(Mlb for ConEd, klb for others)],Table_ECM[When will the measure installation be complete and operational?],Table_Perf[[#This Row],[Year]],Table_ECM[Would you like to Include this measure in the decarbonization pathway?],TRUE))))</f>
        <v>0</v>
      </c>
      <c r="I57" s="109" cm="1">
        <f t="array" ref="I57">MAX(0,IF(Table_Perf[[#This Row],[Year]]=BaseYr,IFERROR(Table_UtilityInput[Annual Other Fuel 1
(kBtu)],0),
(I56-SUMIFS(Table_ECM[Annual Other Fuel 1 Savings
(kBtu)],Table_ECM[When will the measure installation be complete and operational?],Table_Perf[[#This Row],[Year]],Table_ECM[Would you like to Include this measure in the decarbonization pathway?],TRUE))))</f>
        <v>0</v>
      </c>
      <c r="J57" s="110" cm="1">
        <f t="array" ref="J57">MAX(0,IF(Table_Perf[[#This Row],[Year]]=BaseYr,IFERROR(Table_UtilityInput[Annual Other Fuel 2
(kBtu)],0),
(J56-SUMIFS(Table_ECM[Annual Other Fuel 2 Savings
(kBtu)],Table_ECM[When will the measure installation be complete and operational?],Table_Perf[[#This Row],[Year]],Table_ECM[Would you like to Include this measure in the decarbonization pathway?],TRUE))))</f>
        <v>0</v>
      </c>
      <c r="K57" s="101">
        <f>-SUMIFS(Table_ECM[Cost to Install Measures ($)],Table_ECM[When will the measure installation be complete and operational?],Table_Perf[[#This Row],[Year]],Table_ECM[Would you like to Include this measure in the decarbonization pathway?],TRUE)</f>
        <v>0</v>
      </c>
      <c r="L57" s="102" cm="1">
        <f t="array" ref="L57">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57" s="103"/>
      <c r="N57" s="100" t="e" cm="1">
        <f t="array" ref="N57">Table_Perf[[#This Row],[Electricity (kBtu)]]*INDEX(Table_UtilityDecarb[Carbon Intensity (tCO2e/kBtu)],MATCH(N$46&amp;Table_Perf[[#This Row],[Year]],Table_UtilityDecarb[Fuel Type]&amp;Table_UtilityDecarb[Year],0))</f>
        <v>#N/A</v>
      </c>
      <c r="O57" s="100">
        <f>Table_Perf[[#This Row],[Natural Gas (kBtu)]]*INDEX(Table_UtilityDecarb[Carbon Intensity (tCO2e/kBtu)],MATCH(O$46,Table_UtilityDecarb[Fuel Type],0))</f>
        <v>0</v>
      </c>
      <c r="P57" s="100">
        <f>Table_Perf[[#This Row],[Fuel Oil'#2 (kBtu)]]*INDEX(Table_UtilityDecarb[Carbon Intensity (tCO2e/kBtu)],MATCH(P$46,Table_UtilityDecarb[Fuel Type],0))</f>
        <v>0</v>
      </c>
      <c r="Q57" s="100" t="e" cm="1">
        <f t="array" ref="Q57">Table_Perf[[#This Row],[District Steam (kBtu)]]*INDEX(Table_UtilityDecarb[Carbon Intensity (tCO2e/kBtu)],MATCH(Q$46&amp;Table_Perf[[#This Row],[Year]],Table_UtilityDecarb[Fuel Type]&amp;Table_UtilityDecarb[Year],0))</f>
        <v>#N/A</v>
      </c>
      <c r="R57" s="100" cm="1">
        <f t="array" ref="R57">IF(OR(Table_UtilityInput[Annual Other Fuel 1
(kBtu)]="",NOT(ISNUMBER(Table_UtilityInput[Annual Other Fuel 1
(kBtu)]))),0,Table_Perf[[#This Row],[Other Fuel 1 (kBtu)]]*INDEX(Table_UtilityDecarb[Carbon Intensity (tCO2e/kBtu)],MATCH(R$46,Table_UtilityDecarb[Fuel Type],0)))</f>
        <v>0</v>
      </c>
      <c r="S57" s="100" cm="1">
        <f t="array" ref="S57">IF(OR(Table_UtilityInput[Annual Other Fuel 2
(kBtu)]="",NOT(ISNUMBER(Table_UtilityInput[Annual Other Fuel 2
(kBtu)]))),0,Table_Perf[[#This Row],[Other Fuel 2 (kBtu)]]*INDEX(Table_UtilityDecarb[Carbon Intensity (tCO2e/kBtu)],MATCH(S$46,Table_UtilityDecarb[Fuel Type],0)))</f>
        <v>0</v>
      </c>
      <c r="T57" s="100">
        <f>IF(Table_Perf[[#This Row],[Year]]&gt;2050,NA(),_xlfn.AGGREGATE(9,6,Table_Perf[[#This Row],[LL97 Electricity (tCO2e)]:[LL97 Other Fuel 2 (tCO2e)]]))</f>
        <v>0</v>
      </c>
      <c r="U57" s="100" t="e">
        <f>IF(Table_Perf[[#This Row],[Year]]&lt;2035,NA(),INDEX(Table_LimitsCalc_Sample1[Total Limits (tCO2e)],MATCH(Table_Perf[[#This Row],[Year]],Table_LimitsCalc_Sample1[Year],0)))</f>
        <v>#N/A</v>
      </c>
      <c r="V57" s="100" t="e" cm="1">
        <f t="array" ref="V57">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57" s="100" t="e">
        <f>IF(Table_Perf[[#This Row],[LL97 Emissions Limit (tCO2e)]]="",0,MAX(0,Table_Perf[[#This Row],[LL97 Business-As-Usual Emissions]]-Table_Perf[[#This Row],[LL97 Emissions Limit (tCO2e)]]))</f>
        <v>#N/A</v>
      </c>
      <c r="X57" s="100" t="e">
        <f>IF(Table_Perf[[#This Row],[LL97 Emissions Limit (tCO2e)]]="",0,MAX(0,Table_Perf[[#This Row],[LL97 Emissions After Measures]]-Table_Perf[[#This Row],[LL97 Emissions Limit (tCO2e)]]))</f>
        <v>#N/A</v>
      </c>
      <c r="Y57" s="100" t="e">
        <f>Table_Perf[[#This Row],[LL97 Business-As-Usual Emissions]]-Table_Perf[[#This Row],[LL97 Emissions After Measures]]</f>
        <v>#N/A</v>
      </c>
      <c r="Z57" s="102" t="str">
        <f>IF(Table_Perf[[#This Row],[Year]]&lt;2024,"Not in enforcement period",IF(Table_Perf[[#This Row],[LL97 Excess Emissions After Measures]]=0,"Compliant","Not-Compliant"))</f>
        <v>Not in enforcement period</v>
      </c>
      <c r="AA57" s="104">
        <f>IFERROR(-268*Table_Perf[[#This Row],[LL97 Excess Emissions After Measures]],0)</f>
        <v>0</v>
      </c>
      <c r="AB57" s="102">
        <f>IFERROR(268*MIN(Table_Perf[[#This Row],[LL97 BAU Excess Emissions]],Table_Perf[[#This Row],[LL97 Emissions Reduced by Measures]]),0)</f>
        <v>0</v>
      </c>
      <c r="AC57" s="105" t="str">
        <f>IF(OR(Table_Perf[[#This Row],[Year]]&lt;2024,Table_Perf[[#This Row],[Year]]&gt;2050,ISERROR(Table_Perf[[#This Row],[LL97 Adjusted Penalty After Measures]])),"",Table_Perf[[#This Row],[LL97 Adjusted Penalty After Measures]])</f>
        <v/>
      </c>
      <c r="AD57" s="102">
        <f>IF(Table_Perf[[#This Row],[Year]]&gt;2050,NA(),_xlfn.AGGREGATE(9,6,Table_Perf[[#This Row],[Measure Cost ($)]],Table_Perf[[#This Row],[Utility Savings ($)]],Table_Perf[[#This Row],[LL97 Penalty Avoided by Measures ($)]]))</f>
        <v>0</v>
      </c>
      <c r="AE57" s="102">
        <f>SUM($AD$48:AD57)</f>
        <v>0</v>
      </c>
      <c r="AF57" s="102">
        <f>IF(Table_Perf[[#This Row],[Year]]&gt;2050,NA(),_xlfn.AGGREGATE(9,6,Table_Perf[[#This Row],[Measure Cost ($)]],Table_Perf[[#This Row],[LL97 Adjusted Penalty After Measures]]))</f>
        <v>0</v>
      </c>
      <c r="AG57" s="106">
        <f>Table_Perf[[#This Row],[Year]]</f>
        <v>9</v>
      </c>
      <c r="AH57" s="99">
        <f>COUNTIFS(Table_ECM[When will the measure installation be complete and operational?],"&lt;="&amp;Table_Perf[[#This Row],[Yr]],Table_ECM[Would you like to Include this measure in the decarbonization pathway?],TRUE)</f>
        <v>0</v>
      </c>
      <c r="AI57" s="99" t="str">
        <f>IF(Table_Perf[[#This Row],[Measure Qty]]=AH56,"",_xlfn.CONCAT(Table_Perf[[#This Row],[Measure Qty]], " Measures Done"))</f>
        <v/>
      </c>
      <c r="AJ57" s="107" t="e">
        <f>IF(Table_Perf[[#This Row],[Measure Label]]="",NA(),Table_Perf[[#This Row],[LL97 Emissions After Measures]])</f>
        <v>#N/A</v>
      </c>
    </row>
    <row r="58" spans="3:36" hidden="1" outlineLevel="1">
      <c r="C58" s="98">
        <v>10</v>
      </c>
      <c r="D58" s="108">
        <f>IF(BaseYr+Table_Perf[[#This Row],['#]]&gt;EndYr,NA(),BaseYr+Table_Perf[[#This Row],['#]])</f>
        <v>10</v>
      </c>
      <c r="E58" s="109" cm="1">
        <f t="array" ref="E58">MAX(0,IF(Table_Perf[[#This Row],[Year]]=BaseYr,IFERROR(Table_UtilityInput[Annual Electricity 
(kWh)]*3.412,0),
(E57-3.412*SUMIFS(Table_ECM[Annual Electricity Savings
(kWh)],Table_ECM[When will the measure installation be complete and operational?],Table_Perf[[#This Row],[Year]],Table_ECM[Would you like to Include this measure in the decarbonization pathway?],TRUE))))</f>
        <v>0</v>
      </c>
      <c r="F58" s="109" cm="1">
        <f t="array" ref="F58">MAX(0,IF(Table_Perf[[#This Row],[Year]]=BaseYr,IFERROR(Table_UtilityInput[Annual Natural Gas  
(therm)]*100,0),
(F57-100*SUMIFS(Table_ECM[Annual Natural Gas Savings
(therm)],Table_ECM[When will the measure installation be complete and operational?],Table_Perf[[#This Row],[Year]],Table_ECM[Would you like to Include this measure in the decarbonization pathway?],TRUE))))</f>
        <v>0</v>
      </c>
      <c r="G58" s="109" cm="1">
        <f t="array" ref="G58">MAX(0,IF(Table_Perf[[#This Row],[Year]]=BaseYr,IFERROR(Table_UtilityInput[Annual Fuel Oil'#2
(Gallon)]*138,0),
(G57-138*SUMIFS(Table_ECM[Annual Fuel Oil'#2 Savings
(Gallon)],Table_ECM[When will the measure installation be complete and operational?],Table_Perf[[#This Row],[Year]],Table_ECM[Would you like to Include this measure in the decarbonization pathway?],TRUE))))</f>
        <v>0</v>
      </c>
      <c r="H58" s="109" cm="1">
        <f t="array" ref="H58">MAX(0,IF(Table_Perf[[#This Row],[Year]]=BaseYr,IFERROR(Table_UtilityInput[Annual District Steam  
(Mlb for ConEd, kLb for others)]*1194,0),
(H57-1194*SUMIFS(Table_ECM[Annual District Steam Savings
(Mlb for ConEd, klb for others)],Table_ECM[When will the measure installation be complete and operational?],Table_Perf[[#This Row],[Year]],Table_ECM[Would you like to Include this measure in the decarbonization pathway?],TRUE))))</f>
        <v>0</v>
      </c>
      <c r="I58" s="109" cm="1">
        <f t="array" ref="I58">MAX(0,IF(Table_Perf[[#This Row],[Year]]=BaseYr,IFERROR(Table_UtilityInput[Annual Other Fuel 1
(kBtu)],0),
(I57-SUMIFS(Table_ECM[Annual Other Fuel 1 Savings
(kBtu)],Table_ECM[When will the measure installation be complete and operational?],Table_Perf[[#This Row],[Year]],Table_ECM[Would you like to Include this measure in the decarbonization pathway?],TRUE))))</f>
        <v>0</v>
      </c>
      <c r="J58" s="110" cm="1">
        <f t="array" ref="J58">MAX(0,IF(Table_Perf[[#This Row],[Year]]=BaseYr,IFERROR(Table_UtilityInput[Annual Other Fuel 2
(kBtu)],0),
(J57-SUMIFS(Table_ECM[Annual Other Fuel 2 Savings
(kBtu)],Table_ECM[When will the measure installation be complete and operational?],Table_Perf[[#This Row],[Year]],Table_ECM[Would you like to Include this measure in the decarbonization pathway?],TRUE))))</f>
        <v>0</v>
      </c>
      <c r="K58" s="101">
        <f>-SUMIFS(Table_ECM[Cost to Install Measures ($)],Table_ECM[When will the measure installation be complete and operational?],Table_Perf[[#This Row],[Year]],Table_ECM[Would you like to Include this measure in the decarbonization pathway?],TRUE)</f>
        <v>0</v>
      </c>
      <c r="L58" s="102" cm="1">
        <f t="array" ref="L58">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58" s="103"/>
      <c r="N58" s="100" t="e" cm="1">
        <f t="array" ref="N58">Table_Perf[[#This Row],[Electricity (kBtu)]]*INDEX(Table_UtilityDecarb[Carbon Intensity (tCO2e/kBtu)],MATCH(N$46&amp;Table_Perf[[#This Row],[Year]],Table_UtilityDecarb[Fuel Type]&amp;Table_UtilityDecarb[Year],0))</f>
        <v>#N/A</v>
      </c>
      <c r="O58" s="100">
        <f>Table_Perf[[#This Row],[Natural Gas (kBtu)]]*INDEX(Table_UtilityDecarb[Carbon Intensity (tCO2e/kBtu)],MATCH(O$46,Table_UtilityDecarb[Fuel Type],0))</f>
        <v>0</v>
      </c>
      <c r="P58" s="100">
        <f>Table_Perf[[#This Row],[Fuel Oil'#2 (kBtu)]]*INDEX(Table_UtilityDecarb[Carbon Intensity (tCO2e/kBtu)],MATCH(P$46,Table_UtilityDecarb[Fuel Type],0))</f>
        <v>0</v>
      </c>
      <c r="Q58" s="100" t="e" cm="1">
        <f t="array" ref="Q58">Table_Perf[[#This Row],[District Steam (kBtu)]]*INDEX(Table_UtilityDecarb[Carbon Intensity (tCO2e/kBtu)],MATCH(Q$46&amp;Table_Perf[[#This Row],[Year]],Table_UtilityDecarb[Fuel Type]&amp;Table_UtilityDecarb[Year],0))</f>
        <v>#N/A</v>
      </c>
      <c r="R58" s="100" cm="1">
        <f t="array" ref="R58">IF(OR(Table_UtilityInput[Annual Other Fuel 1
(kBtu)]="",NOT(ISNUMBER(Table_UtilityInput[Annual Other Fuel 1
(kBtu)]))),0,Table_Perf[[#This Row],[Other Fuel 1 (kBtu)]]*INDEX(Table_UtilityDecarb[Carbon Intensity (tCO2e/kBtu)],MATCH(R$46,Table_UtilityDecarb[Fuel Type],0)))</f>
        <v>0</v>
      </c>
      <c r="S58" s="100" cm="1">
        <f t="array" ref="S58">IF(OR(Table_UtilityInput[Annual Other Fuel 2
(kBtu)]="",NOT(ISNUMBER(Table_UtilityInput[Annual Other Fuel 2
(kBtu)]))),0,Table_Perf[[#This Row],[Other Fuel 2 (kBtu)]]*INDEX(Table_UtilityDecarb[Carbon Intensity (tCO2e/kBtu)],MATCH(S$46,Table_UtilityDecarb[Fuel Type],0)))</f>
        <v>0</v>
      </c>
      <c r="T58" s="100">
        <f>IF(Table_Perf[[#This Row],[Year]]&gt;2050,NA(),_xlfn.AGGREGATE(9,6,Table_Perf[[#This Row],[LL97 Electricity (tCO2e)]:[LL97 Other Fuel 2 (tCO2e)]]))</f>
        <v>0</v>
      </c>
      <c r="U58" s="100" t="e">
        <f>IF(Table_Perf[[#This Row],[Year]]&lt;2035,NA(),INDEX(Table_LimitsCalc_Sample1[Total Limits (tCO2e)],MATCH(Table_Perf[[#This Row],[Year]],Table_LimitsCalc_Sample1[Year],0)))</f>
        <v>#N/A</v>
      </c>
      <c r="V58" s="100" t="e" cm="1">
        <f t="array" ref="V58">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58" s="100" t="e">
        <f>IF(Table_Perf[[#This Row],[LL97 Emissions Limit (tCO2e)]]="",0,MAX(0,Table_Perf[[#This Row],[LL97 Business-As-Usual Emissions]]-Table_Perf[[#This Row],[LL97 Emissions Limit (tCO2e)]]))</f>
        <v>#N/A</v>
      </c>
      <c r="X58" s="100" t="e">
        <f>IF(Table_Perf[[#This Row],[LL97 Emissions Limit (tCO2e)]]="",0,MAX(0,Table_Perf[[#This Row],[LL97 Emissions After Measures]]-Table_Perf[[#This Row],[LL97 Emissions Limit (tCO2e)]]))</f>
        <v>#N/A</v>
      </c>
      <c r="Y58" s="100" t="e">
        <f>Table_Perf[[#This Row],[LL97 Business-As-Usual Emissions]]-Table_Perf[[#This Row],[LL97 Emissions After Measures]]</f>
        <v>#N/A</v>
      </c>
      <c r="Z58" s="102" t="str">
        <f>IF(Table_Perf[[#This Row],[Year]]&lt;2024,"Not in enforcement period",IF(Table_Perf[[#This Row],[LL97 Excess Emissions After Measures]]=0,"Compliant","Not-Compliant"))</f>
        <v>Not in enforcement period</v>
      </c>
      <c r="AA58" s="104">
        <f>IFERROR(-268*Table_Perf[[#This Row],[LL97 Excess Emissions After Measures]],0)</f>
        <v>0</v>
      </c>
      <c r="AB58" s="102">
        <f>IFERROR(268*MIN(Table_Perf[[#This Row],[LL97 BAU Excess Emissions]],Table_Perf[[#This Row],[LL97 Emissions Reduced by Measures]]),0)</f>
        <v>0</v>
      </c>
      <c r="AC58" s="105" t="str">
        <f>IF(OR(Table_Perf[[#This Row],[Year]]&lt;2024,Table_Perf[[#This Row],[Year]]&gt;2050,ISERROR(Table_Perf[[#This Row],[LL97 Adjusted Penalty After Measures]])),"",Table_Perf[[#This Row],[LL97 Adjusted Penalty After Measures]])</f>
        <v/>
      </c>
      <c r="AD58" s="102">
        <f>IF(Table_Perf[[#This Row],[Year]]&gt;2050,NA(),_xlfn.AGGREGATE(9,6,Table_Perf[[#This Row],[Measure Cost ($)]],Table_Perf[[#This Row],[Utility Savings ($)]],Table_Perf[[#This Row],[LL97 Penalty Avoided by Measures ($)]]))</f>
        <v>0</v>
      </c>
      <c r="AE58" s="102">
        <f>SUM($AD$48:AD58)</f>
        <v>0</v>
      </c>
      <c r="AF58" s="102">
        <f>IF(Table_Perf[[#This Row],[Year]]&gt;2050,NA(),_xlfn.AGGREGATE(9,6,Table_Perf[[#This Row],[Measure Cost ($)]],Table_Perf[[#This Row],[LL97 Adjusted Penalty After Measures]]))</f>
        <v>0</v>
      </c>
      <c r="AG58" s="106">
        <f>Table_Perf[[#This Row],[Year]]</f>
        <v>10</v>
      </c>
      <c r="AH58" s="99">
        <f>COUNTIFS(Table_ECM[When will the measure installation be complete and operational?],"&lt;="&amp;Table_Perf[[#This Row],[Yr]],Table_ECM[Would you like to Include this measure in the decarbonization pathway?],TRUE)</f>
        <v>0</v>
      </c>
      <c r="AI58" s="99" t="str">
        <f>IF(Table_Perf[[#This Row],[Measure Qty]]=AH57,"",_xlfn.CONCAT(Table_Perf[[#This Row],[Measure Qty]], " Measures Done"))</f>
        <v/>
      </c>
      <c r="AJ58" s="107" t="e">
        <f>IF(Table_Perf[[#This Row],[Measure Label]]="",NA(),Table_Perf[[#This Row],[LL97 Emissions After Measures]])</f>
        <v>#N/A</v>
      </c>
    </row>
    <row r="59" spans="3:36" hidden="1" outlineLevel="1">
      <c r="C59" s="98">
        <v>11</v>
      </c>
      <c r="D59" s="108">
        <f>IF(BaseYr+Table_Perf[[#This Row],['#]]&gt;EndYr,NA(),BaseYr+Table_Perf[[#This Row],['#]])</f>
        <v>11</v>
      </c>
      <c r="E59" s="109" cm="1">
        <f t="array" ref="E59">MAX(0,IF(Table_Perf[[#This Row],[Year]]=BaseYr,IFERROR(Table_UtilityInput[Annual Electricity 
(kWh)]*3.412,0),
(E58-3.412*SUMIFS(Table_ECM[Annual Electricity Savings
(kWh)],Table_ECM[When will the measure installation be complete and operational?],Table_Perf[[#This Row],[Year]],Table_ECM[Would you like to Include this measure in the decarbonization pathway?],TRUE))))</f>
        <v>0</v>
      </c>
      <c r="F59" s="109" cm="1">
        <f t="array" ref="F59">MAX(0,IF(Table_Perf[[#This Row],[Year]]=BaseYr,IFERROR(Table_UtilityInput[Annual Natural Gas  
(therm)]*100,0),
(F58-100*SUMIFS(Table_ECM[Annual Natural Gas Savings
(therm)],Table_ECM[When will the measure installation be complete and operational?],Table_Perf[[#This Row],[Year]],Table_ECM[Would you like to Include this measure in the decarbonization pathway?],TRUE))))</f>
        <v>0</v>
      </c>
      <c r="G59" s="109" cm="1">
        <f t="array" ref="G59">MAX(0,IF(Table_Perf[[#This Row],[Year]]=BaseYr,IFERROR(Table_UtilityInput[Annual Fuel Oil'#2
(Gallon)]*138,0),
(G58-138*SUMIFS(Table_ECM[Annual Fuel Oil'#2 Savings
(Gallon)],Table_ECM[When will the measure installation be complete and operational?],Table_Perf[[#This Row],[Year]],Table_ECM[Would you like to Include this measure in the decarbonization pathway?],TRUE))))</f>
        <v>0</v>
      </c>
      <c r="H59" s="109" cm="1">
        <f t="array" ref="H59">MAX(0,IF(Table_Perf[[#This Row],[Year]]=BaseYr,IFERROR(Table_UtilityInput[Annual District Steam  
(Mlb for ConEd, kLb for others)]*1194,0),
(H58-1194*SUMIFS(Table_ECM[Annual District Steam Savings
(Mlb for ConEd, klb for others)],Table_ECM[When will the measure installation be complete and operational?],Table_Perf[[#This Row],[Year]],Table_ECM[Would you like to Include this measure in the decarbonization pathway?],TRUE))))</f>
        <v>0</v>
      </c>
      <c r="I59" s="109" cm="1">
        <f t="array" ref="I59">MAX(0,IF(Table_Perf[[#This Row],[Year]]=BaseYr,IFERROR(Table_UtilityInput[Annual Other Fuel 1
(kBtu)],0),
(I58-SUMIFS(Table_ECM[Annual Other Fuel 1 Savings
(kBtu)],Table_ECM[When will the measure installation be complete and operational?],Table_Perf[[#This Row],[Year]],Table_ECM[Would you like to Include this measure in the decarbonization pathway?],TRUE))))</f>
        <v>0</v>
      </c>
      <c r="J59" s="110" cm="1">
        <f t="array" ref="J59">MAX(0,IF(Table_Perf[[#This Row],[Year]]=BaseYr,IFERROR(Table_UtilityInput[Annual Other Fuel 2
(kBtu)],0),
(J58-SUMIFS(Table_ECM[Annual Other Fuel 2 Savings
(kBtu)],Table_ECM[When will the measure installation be complete and operational?],Table_Perf[[#This Row],[Year]],Table_ECM[Would you like to Include this measure in the decarbonization pathway?],TRUE))))</f>
        <v>0</v>
      </c>
      <c r="K59" s="101">
        <f>-SUMIFS(Table_ECM[Cost to Install Measures ($)],Table_ECM[When will the measure installation be complete and operational?],Table_Perf[[#This Row],[Year]],Table_ECM[Would you like to Include this measure in the decarbonization pathway?],TRUE)</f>
        <v>0</v>
      </c>
      <c r="L59" s="102" cm="1">
        <f t="array" ref="L59">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59" s="103"/>
      <c r="N59" s="100" t="e" cm="1">
        <f t="array" ref="N59">Table_Perf[[#This Row],[Electricity (kBtu)]]*INDEX(Table_UtilityDecarb[Carbon Intensity (tCO2e/kBtu)],MATCH(N$46&amp;Table_Perf[[#This Row],[Year]],Table_UtilityDecarb[Fuel Type]&amp;Table_UtilityDecarb[Year],0))</f>
        <v>#N/A</v>
      </c>
      <c r="O59" s="100">
        <f>Table_Perf[[#This Row],[Natural Gas (kBtu)]]*INDEX(Table_UtilityDecarb[Carbon Intensity (tCO2e/kBtu)],MATCH(O$46,Table_UtilityDecarb[Fuel Type],0))</f>
        <v>0</v>
      </c>
      <c r="P59" s="100">
        <f>Table_Perf[[#This Row],[Fuel Oil'#2 (kBtu)]]*INDEX(Table_UtilityDecarb[Carbon Intensity (tCO2e/kBtu)],MATCH(P$46,Table_UtilityDecarb[Fuel Type],0))</f>
        <v>0</v>
      </c>
      <c r="Q59" s="100" t="e" cm="1">
        <f t="array" ref="Q59">Table_Perf[[#This Row],[District Steam (kBtu)]]*INDEX(Table_UtilityDecarb[Carbon Intensity (tCO2e/kBtu)],MATCH(Q$46&amp;Table_Perf[[#This Row],[Year]],Table_UtilityDecarb[Fuel Type]&amp;Table_UtilityDecarb[Year],0))</f>
        <v>#N/A</v>
      </c>
      <c r="R59" s="100" cm="1">
        <f t="array" ref="R59">IF(OR(Table_UtilityInput[Annual Other Fuel 1
(kBtu)]="",NOT(ISNUMBER(Table_UtilityInput[Annual Other Fuel 1
(kBtu)]))),0,Table_Perf[[#This Row],[Other Fuel 1 (kBtu)]]*INDEX(Table_UtilityDecarb[Carbon Intensity (tCO2e/kBtu)],MATCH(R$46,Table_UtilityDecarb[Fuel Type],0)))</f>
        <v>0</v>
      </c>
      <c r="S59" s="100" cm="1">
        <f t="array" ref="S59">IF(OR(Table_UtilityInput[Annual Other Fuel 2
(kBtu)]="",NOT(ISNUMBER(Table_UtilityInput[Annual Other Fuel 2
(kBtu)]))),0,Table_Perf[[#This Row],[Other Fuel 2 (kBtu)]]*INDEX(Table_UtilityDecarb[Carbon Intensity (tCO2e/kBtu)],MATCH(S$46,Table_UtilityDecarb[Fuel Type],0)))</f>
        <v>0</v>
      </c>
      <c r="T59" s="100">
        <f>IF(Table_Perf[[#This Row],[Year]]&gt;2050,NA(),_xlfn.AGGREGATE(9,6,Table_Perf[[#This Row],[LL97 Electricity (tCO2e)]:[LL97 Other Fuel 2 (tCO2e)]]))</f>
        <v>0</v>
      </c>
      <c r="U59" s="100" t="e">
        <f>IF(Table_Perf[[#This Row],[Year]]&lt;2035,NA(),INDEX(Table_LimitsCalc_Sample1[Total Limits (tCO2e)],MATCH(Table_Perf[[#This Row],[Year]],Table_LimitsCalc_Sample1[Year],0)))</f>
        <v>#N/A</v>
      </c>
      <c r="V59" s="100" t="e" cm="1">
        <f t="array" ref="V59">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59" s="100" t="e">
        <f>IF(Table_Perf[[#This Row],[LL97 Emissions Limit (tCO2e)]]="",0,MAX(0,Table_Perf[[#This Row],[LL97 Business-As-Usual Emissions]]-Table_Perf[[#This Row],[LL97 Emissions Limit (tCO2e)]]))</f>
        <v>#N/A</v>
      </c>
      <c r="X59" s="100" t="e">
        <f>IF(Table_Perf[[#This Row],[LL97 Emissions Limit (tCO2e)]]="",0,MAX(0,Table_Perf[[#This Row],[LL97 Emissions After Measures]]-Table_Perf[[#This Row],[LL97 Emissions Limit (tCO2e)]]))</f>
        <v>#N/A</v>
      </c>
      <c r="Y59" s="100" t="e">
        <f>Table_Perf[[#This Row],[LL97 Business-As-Usual Emissions]]-Table_Perf[[#This Row],[LL97 Emissions After Measures]]</f>
        <v>#N/A</v>
      </c>
      <c r="Z59" s="102" t="str">
        <f>IF(Table_Perf[[#This Row],[Year]]&lt;2024,"Not in enforcement period",IF(Table_Perf[[#This Row],[LL97 Excess Emissions After Measures]]=0,"Compliant","Not-Compliant"))</f>
        <v>Not in enforcement period</v>
      </c>
      <c r="AA59" s="104">
        <f>IFERROR(-268*Table_Perf[[#This Row],[LL97 Excess Emissions After Measures]],0)</f>
        <v>0</v>
      </c>
      <c r="AB59" s="102">
        <f>IFERROR(268*MIN(Table_Perf[[#This Row],[LL97 BAU Excess Emissions]],Table_Perf[[#This Row],[LL97 Emissions Reduced by Measures]]),0)</f>
        <v>0</v>
      </c>
      <c r="AC59" s="105" t="str">
        <f>IF(OR(Table_Perf[[#This Row],[Year]]&lt;2024,Table_Perf[[#This Row],[Year]]&gt;2050,ISERROR(Table_Perf[[#This Row],[LL97 Adjusted Penalty After Measures]])),"",Table_Perf[[#This Row],[LL97 Adjusted Penalty After Measures]])</f>
        <v/>
      </c>
      <c r="AD59" s="102">
        <f>IF(Table_Perf[[#This Row],[Year]]&gt;2050,NA(),_xlfn.AGGREGATE(9,6,Table_Perf[[#This Row],[Measure Cost ($)]],Table_Perf[[#This Row],[Utility Savings ($)]],Table_Perf[[#This Row],[LL97 Penalty Avoided by Measures ($)]]))</f>
        <v>0</v>
      </c>
      <c r="AE59" s="102">
        <f>SUM($AD$48:AD59)</f>
        <v>0</v>
      </c>
      <c r="AF59" s="102">
        <f>IF(Table_Perf[[#This Row],[Year]]&gt;2050,NA(),_xlfn.AGGREGATE(9,6,Table_Perf[[#This Row],[Measure Cost ($)]],Table_Perf[[#This Row],[LL97 Adjusted Penalty After Measures]]))</f>
        <v>0</v>
      </c>
      <c r="AG59" s="106">
        <f>Table_Perf[[#This Row],[Year]]</f>
        <v>11</v>
      </c>
      <c r="AH59" s="99">
        <f>COUNTIFS(Table_ECM[When will the measure installation be complete and operational?],"&lt;="&amp;Table_Perf[[#This Row],[Yr]],Table_ECM[Would you like to Include this measure in the decarbonization pathway?],TRUE)</f>
        <v>0</v>
      </c>
      <c r="AI59" s="99" t="str">
        <f>IF(Table_Perf[[#This Row],[Measure Qty]]=AH58,"",_xlfn.CONCAT(Table_Perf[[#This Row],[Measure Qty]], " Measures Done"))</f>
        <v/>
      </c>
      <c r="AJ59" s="107" t="e">
        <f>IF(Table_Perf[[#This Row],[Measure Label]]="",NA(),Table_Perf[[#This Row],[LL97 Emissions After Measures]])</f>
        <v>#N/A</v>
      </c>
    </row>
    <row r="60" spans="3:36" hidden="1" outlineLevel="1">
      <c r="C60" s="98">
        <v>12</v>
      </c>
      <c r="D60" s="108">
        <f>IF(BaseYr+Table_Perf[[#This Row],['#]]&gt;EndYr,NA(),BaseYr+Table_Perf[[#This Row],['#]])</f>
        <v>12</v>
      </c>
      <c r="E60" s="109" cm="1">
        <f t="array" ref="E60">MAX(0,IF(Table_Perf[[#This Row],[Year]]=BaseYr,IFERROR(Table_UtilityInput[Annual Electricity 
(kWh)]*3.412,0),
(E59-3.412*SUMIFS(Table_ECM[Annual Electricity Savings
(kWh)],Table_ECM[When will the measure installation be complete and operational?],Table_Perf[[#This Row],[Year]],Table_ECM[Would you like to Include this measure in the decarbonization pathway?],TRUE))))</f>
        <v>0</v>
      </c>
      <c r="F60" s="109" cm="1">
        <f t="array" ref="F60">MAX(0,IF(Table_Perf[[#This Row],[Year]]=BaseYr,IFERROR(Table_UtilityInput[Annual Natural Gas  
(therm)]*100,0),
(F59-100*SUMIFS(Table_ECM[Annual Natural Gas Savings
(therm)],Table_ECM[When will the measure installation be complete and operational?],Table_Perf[[#This Row],[Year]],Table_ECM[Would you like to Include this measure in the decarbonization pathway?],TRUE))))</f>
        <v>0</v>
      </c>
      <c r="G60" s="109" cm="1">
        <f t="array" ref="G60">MAX(0,IF(Table_Perf[[#This Row],[Year]]=BaseYr,IFERROR(Table_UtilityInput[Annual Fuel Oil'#2
(Gallon)]*138,0),
(G59-138*SUMIFS(Table_ECM[Annual Fuel Oil'#2 Savings
(Gallon)],Table_ECM[When will the measure installation be complete and operational?],Table_Perf[[#This Row],[Year]],Table_ECM[Would you like to Include this measure in the decarbonization pathway?],TRUE))))</f>
        <v>0</v>
      </c>
      <c r="H60" s="109" cm="1">
        <f t="array" ref="H60">MAX(0,IF(Table_Perf[[#This Row],[Year]]=BaseYr,IFERROR(Table_UtilityInput[Annual District Steam  
(Mlb for ConEd, kLb for others)]*1194,0),
(H59-1194*SUMIFS(Table_ECM[Annual District Steam Savings
(Mlb for ConEd, klb for others)],Table_ECM[When will the measure installation be complete and operational?],Table_Perf[[#This Row],[Year]],Table_ECM[Would you like to Include this measure in the decarbonization pathway?],TRUE))))</f>
        <v>0</v>
      </c>
      <c r="I60" s="109" cm="1">
        <f t="array" ref="I60">MAX(0,IF(Table_Perf[[#This Row],[Year]]=BaseYr,IFERROR(Table_UtilityInput[Annual Other Fuel 1
(kBtu)],0),
(I59-SUMIFS(Table_ECM[Annual Other Fuel 1 Savings
(kBtu)],Table_ECM[When will the measure installation be complete and operational?],Table_Perf[[#This Row],[Year]],Table_ECM[Would you like to Include this measure in the decarbonization pathway?],TRUE))))</f>
        <v>0</v>
      </c>
      <c r="J60" s="110" cm="1">
        <f t="array" ref="J60">MAX(0,IF(Table_Perf[[#This Row],[Year]]=BaseYr,IFERROR(Table_UtilityInput[Annual Other Fuel 2
(kBtu)],0),
(J59-SUMIFS(Table_ECM[Annual Other Fuel 2 Savings
(kBtu)],Table_ECM[When will the measure installation be complete and operational?],Table_Perf[[#This Row],[Year]],Table_ECM[Would you like to Include this measure in the decarbonization pathway?],TRUE))))</f>
        <v>0</v>
      </c>
      <c r="K60" s="101">
        <f>-SUMIFS(Table_ECM[Cost to Install Measures ($)],Table_ECM[When will the measure installation be complete and operational?],Table_Perf[[#This Row],[Year]],Table_ECM[Would you like to Include this measure in the decarbonization pathway?],TRUE)</f>
        <v>0</v>
      </c>
      <c r="L60" s="102" cm="1">
        <f t="array" ref="L60">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60" s="103"/>
      <c r="N60" s="100" t="e" cm="1">
        <f t="array" ref="N60">Table_Perf[[#This Row],[Electricity (kBtu)]]*INDEX(Table_UtilityDecarb[Carbon Intensity (tCO2e/kBtu)],MATCH(N$46&amp;Table_Perf[[#This Row],[Year]],Table_UtilityDecarb[Fuel Type]&amp;Table_UtilityDecarb[Year],0))</f>
        <v>#N/A</v>
      </c>
      <c r="O60" s="100">
        <f>Table_Perf[[#This Row],[Natural Gas (kBtu)]]*INDEX(Table_UtilityDecarb[Carbon Intensity (tCO2e/kBtu)],MATCH(O$46,Table_UtilityDecarb[Fuel Type],0))</f>
        <v>0</v>
      </c>
      <c r="P60" s="100">
        <f>Table_Perf[[#This Row],[Fuel Oil'#2 (kBtu)]]*INDEX(Table_UtilityDecarb[Carbon Intensity (tCO2e/kBtu)],MATCH(P$46,Table_UtilityDecarb[Fuel Type],0))</f>
        <v>0</v>
      </c>
      <c r="Q60" s="100" t="e" cm="1">
        <f t="array" ref="Q60">Table_Perf[[#This Row],[District Steam (kBtu)]]*INDEX(Table_UtilityDecarb[Carbon Intensity (tCO2e/kBtu)],MATCH(Q$46&amp;Table_Perf[[#This Row],[Year]],Table_UtilityDecarb[Fuel Type]&amp;Table_UtilityDecarb[Year],0))</f>
        <v>#N/A</v>
      </c>
      <c r="R60" s="100" cm="1">
        <f t="array" ref="R60">IF(OR(Table_UtilityInput[Annual Other Fuel 1
(kBtu)]="",NOT(ISNUMBER(Table_UtilityInput[Annual Other Fuel 1
(kBtu)]))),0,Table_Perf[[#This Row],[Other Fuel 1 (kBtu)]]*INDEX(Table_UtilityDecarb[Carbon Intensity (tCO2e/kBtu)],MATCH(R$46,Table_UtilityDecarb[Fuel Type],0)))</f>
        <v>0</v>
      </c>
      <c r="S60" s="100" cm="1">
        <f t="array" ref="S60">IF(OR(Table_UtilityInput[Annual Other Fuel 2
(kBtu)]="",NOT(ISNUMBER(Table_UtilityInput[Annual Other Fuel 2
(kBtu)]))),0,Table_Perf[[#This Row],[Other Fuel 2 (kBtu)]]*INDEX(Table_UtilityDecarb[Carbon Intensity (tCO2e/kBtu)],MATCH(S$46,Table_UtilityDecarb[Fuel Type],0)))</f>
        <v>0</v>
      </c>
      <c r="T60" s="100">
        <f>IF(Table_Perf[[#This Row],[Year]]&gt;2050,NA(),_xlfn.AGGREGATE(9,6,Table_Perf[[#This Row],[LL97 Electricity (tCO2e)]:[LL97 Other Fuel 2 (tCO2e)]]))</f>
        <v>0</v>
      </c>
      <c r="U60" s="100" t="e">
        <f>IF(Table_Perf[[#This Row],[Year]]&lt;2035,NA(),INDEX(Table_LimitsCalc_Sample1[Total Limits (tCO2e)],MATCH(Table_Perf[[#This Row],[Year]],Table_LimitsCalc_Sample1[Year],0)))</f>
        <v>#N/A</v>
      </c>
      <c r="V60" s="100" t="e" cm="1">
        <f t="array" ref="V60">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60" s="100" t="e">
        <f>IF(Table_Perf[[#This Row],[LL97 Emissions Limit (tCO2e)]]="",0,MAX(0,Table_Perf[[#This Row],[LL97 Business-As-Usual Emissions]]-Table_Perf[[#This Row],[LL97 Emissions Limit (tCO2e)]]))</f>
        <v>#N/A</v>
      </c>
      <c r="X60" s="100" t="e">
        <f>IF(Table_Perf[[#This Row],[LL97 Emissions Limit (tCO2e)]]="",0,MAX(0,Table_Perf[[#This Row],[LL97 Emissions After Measures]]-Table_Perf[[#This Row],[LL97 Emissions Limit (tCO2e)]]))</f>
        <v>#N/A</v>
      </c>
      <c r="Y60" s="100" t="e">
        <f>Table_Perf[[#This Row],[LL97 Business-As-Usual Emissions]]-Table_Perf[[#This Row],[LL97 Emissions After Measures]]</f>
        <v>#N/A</v>
      </c>
      <c r="Z60" s="102" t="str">
        <f>IF(Table_Perf[[#This Row],[Year]]&lt;2024,"Not in enforcement period",IF(Table_Perf[[#This Row],[LL97 Excess Emissions After Measures]]=0,"Compliant","Not-Compliant"))</f>
        <v>Not in enforcement period</v>
      </c>
      <c r="AA60" s="104">
        <f>IFERROR(-268*Table_Perf[[#This Row],[LL97 Excess Emissions After Measures]],0)</f>
        <v>0</v>
      </c>
      <c r="AB60" s="102">
        <f>IFERROR(268*MIN(Table_Perf[[#This Row],[LL97 BAU Excess Emissions]],Table_Perf[[#This Row],[LL97 Emissions Reduced by Measures]]),0)</f>
        <v>0</v>
      </c>
      <c r="AC60" s="105" t="str">
        <f>IF(OR(Table_Perf[[#This Row],[Year]]&lt;2024,Table_Perf[[#This Row],[Year]]&gt;2050,ISERROR(Table_Perf[[#This Row],[LL97 Adjusted Penalty After Measures]])),"",Table_Perf[[#This Row],[LL97 Adjusted Penalty After Measures]])</f>
        <v/>
      </c>
      <c r="AD60" s="102">
        <f>IF(Table_Perf[[#This Row],[Year]]&gt;2050,NA(),_xlfn.AGGREGATE(9,6,Table_Perf[[#This Row],[Measure Cost ($)]],Table_Perf[[#This Row],[Utility Savings ($)]],Table_Perf[[#This Row],[LL97 Penalty Avoided by Measures ($)]]))</f>
        <v>0</v>
      </c>
      <c r="AE60" s="102">
        <f>SUM($AD$48:AD60)</f>
        <v>0</v>
      </c>
      <c r="AF60" s="102">
        <f>IF(Table_Perf[[#This Row],[Year]]&gt;2050,NA(),_xlfn.AGGREGATE(9,6,Table_Perf[[#This Row],[Measure Cost ($)]],Table_Perf[[#This Row],[LL97 Adjusted Penalty After Measures]]))</f>
        <v>0</v>
      </c>
      <c r="AG60" s="106">
        <f>Table_Perf[[#This Row],[Year]]</f>
        <v>12</v>
      </c>
      <c r="AH60" s="99">
        <f>COUNTIFS(Table_ECM[When will the measure installation be complete and operational?],"&lt;="&amp;Table_Perf[[#This Row],[Yr]],Table_ECM[Would you like to Include this measure in the decarbonization pathway?],TRUE)</f>
        <v>0</v>
      </c>
      <c r="AI60" s="99" t="str">
        <f>IF(Table_Perf[[#This Row],[Measure Qty]]=AH59,"",_xlfn.CONCAT(Table_Perf[[#This Row],[Measure Qty]], " Measures Done"))</f>
        <v/>
      </c>
      <c r="AJ60" s="107" t="e">
        <f>IF(Table_Perf[[#This Row],[Measure Label]]="",NA(),Table_Perf[[#This Row],[LL97 Emissions After Measures]])</f>
        <v>#N/A</v>
      </c>
    </row>
    <row r="61" spans="3:36" hidden="1" outlineLevel="1">
      <c r="C61" s="98">
        <v>13</v>
      </c>
      <c r="D61" s="108">
        <f>IF(BaseYr+Table_Perf[[#This Row],['#]]&gt;EndYr,NA(),BaseYr+Table_Perf[[#This Row],['#]])</f>
        <v>13</v>
      </c>
      <c r="E61" s="109" cm="1">
        <f t="array" ref="E61">MAX(0,IF(Table_Perf[[#This Row],[Year]]=BaseYr,IFERROR(Table_UtilityInput[Annual Electricity 
(kWh)]*3.412,0),
(E60-3.412*SUMIFS(Table_ECM[Annual Electricity Savings
(kWh)],Table_ECM[When will the measure installation be complete and operational?],Table_Perf[[#This Row],[Year]],Table_ECM[Would you like to Include this measure in the decarbonization pathway?],TRUE))))</f>
        <v>0</v>
      </c>
      <c r="F61" s="109" cm="1">
        <f t="array" ref="F61">MAX(0,IF(Table_Perf[[#This Row],[Year]]=BaseYr,IFERROR(Table_UtilityInput[Annual Natural Gas  
(therm)]*100,0),
(F60-100*SUMIFS(Table_ECM[Annual Natural Gas Savings
(therm)],Table_ECM[When will the measure installation be complete and operational?],Table_Perf[[#This Row],[Year]],Table_ECM[Would you like to Include this measure in the decarbonization pathway?],TRUE))))</f>
        <v>0</v>
      </c>
      <c r="G61" s="109" cm="1">
        <f t="array" ref="G61">MAX(0,IF(Table_Perf[[#This Row],[Year]]=BaseYr,IFERROR(Table_UtilityInput[Annual Fuel Oil'#2
(Gallon)]*138,0),
(G60-138*SUMIFS(Table_ECM[Annual Fuel Oil'#2 Savings
(Gallon)],Table_ECM[When will the measure installation be complete and operational?],Table_Perf[[#This Row],[Year]],Table_ECM[Would you like to Include this measure in the decarbonization pathway?],TRUE))))</f>
        <v>0</v>
      </c>
      <c r="H61" s="109" cm="1">
        <f t="array" ref="H61">MAX(0,IF(Table_Perf[[#This Row],[Year]]=BaseYr,IFERROR(Table_UtilityInput[Annual District Steam  
(Mlb for ConEd, kLb for others)]*1194,0),
(H60-1194*SUMIFS(Table_ECM[Annual District Steam Savings
(Mlb for ConEd, klb for others)],Table_ECM[When will the measure installation be complete and operational?],Table_Perf[[#This Row],[Year]],Table_ECM[Would you like to Include this measure in the decarbonization pathway?],TRUE))))</f>
        <v>0</v>
      </c>
      <c r="I61" s="109" cm="1">
        <f t="array" ref="I61">MAX(0,IF(Table_Perf[[#This Row],[Year]]=BaseYr,IFERROR(Table_UtilityInput[Annual Other Fuel 1
(kBtu)],0),
(I60-SUMIFS(Table_ECM[Annual Other Fuel 1 Savings
(kBtu)],Table_ECM[When will the measure installation be complete and operational?],Table_Perf[[#This Row],[Year]],Table_ECM[Would you like to Include this measure in the decarbonization pathway?],TRUE))))</f>
        <v>0</v>
      </c>
      <c r="J61" s="110" cm="1">
        <f t="array" ref="J61">MAX(0,IF(Table_Perf[[#This Row],[Year]]=BaseYr,IFERROR(Table_UtilityInput[Annual Other Fuel 2
(kBtu)],0),
(J60-SUMIFS(Table_ECM[Annual Other Fuel 2 Savings
(kBtu)],Table_ECM[When will the measure installation be complete and operational?],Table_Perf[[#This Row],[Year]],Table_ECM[Would you like to Include this measure in the decarbonization pathway?],TRUE))))</f>
        <v>0</v>
      </c>
      <c r="K61" s="101">
        <f>-SUMIFS(Table_ECM[Cost to Install Measures ($)],Table_ECM[When will the measure installation be complete and operational?],Table_Perf[[#This Row],[Year]],Table_ECM[Would you like to Include this measure in the decarbonization pathway?],TRUE)</f>
        <v>0</v>
      </c>
      <c r="L61" s="102" cm="1">
        <f t="array" ref="L61">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61" s="103"/>
      <c r="N61" s="100" t="e" cm="1">
        <f t="array" ref="N61">Table_Perf[[#This Row],[Electricity (kBtu)]]*INDEX(Table_UtilityDecarb[Carbon Intensity (tCO2e/kBtu)],MATCH(N$46&amp;Table_Perf[[#This Row],[Year]],Table_UtilityDecarb[Fuel Type]&amp;Table_UtilityDecarb[Year],0))</f>
        <v>#N/A</v>
      </c>
      <c r="O61" s="100">
        <f>Table_Perf[[#This Row],[Natural Gas (kBtu)]]*INDEX(Table_UtilityDecarb[Carbon Intensity (tCO2e/kBtu)],MATCH(O$46,Table_UtilityDecarb[Fuel Type],0))</f>
        <v>0</v>
      </c>
      <c r="P61" s="100">
        <f>Table_Perf[[#This Row],[Fuel Oil'#2 (kBtu)]]*INDEX(Table_UtilityDecarb[Carbon Intensity (tCO2e/kBtu)],MATCH(P$46,Table_UtilityDecarb[Fuel Type],0))</f>
        <v>0</v>
      </c>
      <c r="Q61" s="100" t="e" cm="1">
        <f t="array" ref="Q61">Table_Perf[[#This Row],[District Steam (kBtu)]]*INDEX(Table_UtilityDecarb[Carbon Intensity (tCO2e/kBtu)],MATCH(Q$46&amp;Table_Perf[[#This Row],[Year]],Table_UtilityDecarb[Fuel Type]&amp;Table_UtilityDecarb[Year],0))</f>
        <v>#N/A</v>
      </c>
      <c r="R61" s="100" cm="1">
        <f t="array" ref="R61">IF(OR(Table_UtilityInput[Annual Other Fuel 1
(kBtu)]="",NOT(ISNUMBER(Table_UtilityInput[Annual Other Fuel 1
(kBtu)]))),0,Table_Perf[[#This Row],[Other Fuel 1 (kBtu)]]*INDEX(Table_UtilityDecarb[Carbon Intensity (tCO2e/kBtu)],MATCH(R$46,Table_UtilityDecarb[Fuel Type],0)))</f>
        <v>0</v>
      </c>
      <c r="S61" s="100" cm="1">
        <f t="array" ref="S61">IF(OR(Table_UtilityInput[Annual Other Fuel 2
(kBtu)]="",NOT(ISNUMBER(Table_UtilityInput[Annual Other Fuel 2
(kBtu)]))),0,Table_Perf[[#This Row],[Other Fuel 2 (kBtu)]]*INDEX(Table_UtilityDecarb[Carbon Intensity (tCO2e/kBtu)],MATCH(S$46,Table_UtilityDecarb[Fuel Type],0)))</f>
        <v>0</v>
      </c>
      <c r="T61" s="100">
        <f>IF(Table_Perf[[#This Row],[Year]]&gt;2050,NA(),_xlfn.AGGREGATE(9,6,Table_Perf[[#This Row],[LL97 Electricity (tCO2e)]:[LL97 Other Fuel 2 (tCO2e)]]))</f>
        <v>0</v>
      </c>
      <c r="U61" s="100" t="e">
        <f>IF(Table_Perf[[#This Row],[Year]]&lt;2035,NA(),INDEX(Table_LimitsCalc_Sample1[Total Limits (tCO2e)],MATCH(Table_Perf[[#This Row],[Year]],Table_LimitsCalc_Sample1[Year],0)))</f>
        <v>#N/A</v>
      </c>
      <c r="V61" s="100" t="e" cm="1">
        <f t="array" ref="V61">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61" s="100" t="e">
        <f>IF(Table_Perf[[#This Row],[LL97 Emissions Limit (tCO2e)]]="",0,MAX(0,Table_Perf[[#This Row],[LL97 Business-As-Usual Emissions]]-Table_Perf[[#This Row],[LL97 Emissions Limit (tCO2e)]]))</f>
        <v>#N/A</v>
      </c>
      <c r="X61" s="100" t="e">
        <f>IF(Table_Perf[[#This Row],[LL97 Emissions Limit (tCO2e)]]="",0,MAX(0,Table_Perf[[#This Row],[LL97 Emissions After Measures]]-Table_Perf[[#This Row],[LL97 Emissions Limit (tCO2e)]]))</f>
        <v>#N/A</v>
      </c>
      <c r="Y61" s="100" t="e">
        <f>Table_Perf[[#This Row],[LL97 Business-As-Usual Emissions]]-Table_Perf[[#This Row],[LL97 Emissions After Measures]]</f>
        <v>#N/A</v>
      </c>
      <c r="Z61" s="102" t="str">
        <f>IF(Table_Perf[[#This Row],[Year]]&lt;2024,"Not in enforcement period",IF(Table_Perf[[#This Row],[LL97 Excess Emissions After Measures]]=0,"Compliant","Not-Compliant"))</f>
        <v>Not in enforcement period</v>
      </c>
      <c r="AA61" s="104">
        <f>IFERROR(-268*Table_Perf[[#This Row],[LL97 Excess Emissions After Measures]],0)</f>
        <v>0</v>
      </c>
      <c r="AB61" s="102">
        <f>IFERROR(268*MIN(Table_Perf[[#This Row],[LL97 BAU Excess Emissions]],Table_Perf[[#This Row],[LL97 Emissions Reduced by Measures]]),0)</f>
        <v>0</v>
      </c>
      <c r="AC61" s="105" t="str">
        <f>IF(OR(Table_Perf[[#This Row],[Year]]&lt;2024,Table_Perf[[#This Row],[Year]]&gt;2050,ISERROR(Table_Perf[[#This Row],[LL97 Adjusted Penalty After Measures]])),"",Table_Perf[[#This Row],[LL97 Adjusted Penalty After Measures]])</f>
        <v/>
      </c>
      <c r="AD61" s="102">
        <f>IF(Table_Perf[[#This Row],[Year]]&gt;2050,NA(),_xlfn.AGGREGATE(9,6,Table_Perf[[#This Row],[Measure Cost ($)]],Table_Perf[[#This Row],[Utility Savings ($)]],Table_Perf[[#This Row],[LL97 Penalty Avoided by Measures ($)]]))</f>
        <v>0</v>
      </c>
      <c r="AE61" s="102">
        <f>SUM($AD$48:AD61)</f>
        <v>0</v>
      </c>
      <c r="AF61" s="102">
        <f>IF(Table_Perf[[#This Row],[Year]]&gt;2050,NA(),_xlfn.AGGREGATE(9,6,Table_Perf[[#This Row],[Measure Cost ($)]],Table_Perf[[#This Row],[LL97 Adjusted Penalty After Measures]]))</f>
        <v>0</v>
      </c>
      <c r="AG61" s="106">
        <f>Table_Perf[[#This Row],[Year]]</f>
        <v>13</v>
      </c>
      <c r="AH61" s="99">
        <f>COUNTIFS(Table_ECM[When will the measure installation be complete and operational?],"&lt;="&amp;Table_Perf[[#This Row],[Yr]],Table_ECM[Would you like to Include this measure in the decarbonization pathway?],TRUE)</f>
        <v>0</v>
      </c>
      <c r="AI61" s="99" t="str">
        <f>IF(Table_Perf[[#This Row],[Measure Qty]]=AH60,"",_xlfn.CONCAT(Table_Perf[[#This Row],[Measure Qty]], " Measures Done"))</f>
        <v/>
      </c>
      <c r="AJ61" s="107" t="e">
        <f>IF(Table_Perf[[#This Row],[Measure Label]]="",NA(),Table_Perf[[#This Row],[LL97 Emissions After Measures]])</f>
        <v>#N/A</v>
      </c>
    </row>
    <row r="62" spans="3:36" hidden="1" outlineLevel="1">
      <c r="C62" s="98">
        <v>14</v>
      </c>
      <c r="D62" s="108">
        <f>IF(BaseYr+Table_Perf[[#This Row],['#]]&gt;EndYr,NA(),BaseYr+Table_Perf[[#This Row],['#]])</f>
        <v>14</v>
      </c>
      <c r="E62" s="109" cm="1">
        <f t="array" ref="E62">MAX(0,IF(Table_Perf[[#This Row],[Year]]=BaseYr,IFERROR(Table_UtilityInput[Annual Electricity 
(kWh)]*3.412,0),
(E61-3.412*SUMIFS(Table_ECM[Annual Electricity Savings
(kWh)],Table_ECM[When will the measure installation be complete and operational?],Table_Perf[[#This Row],[Year]],Table_ECM[Would you like to Include this measure in the decarbonization pathway?],TRUE))))</f>
        <v>0</v>
      </c>
      <c r="F62" s="109" cm="1">
        <f t="array" ref="F62">MAX(0,IF(Table_Perf[[#This Row],[Year]]=BaseYr,IFERROR(Table_UtilityInput[Annual Natural Gas  
(therm)]*100,0),
(F61-100*SUMIFS(Table_ECM[Annual Natural Gas Savings
(therm)],Table_ECM[When will the measure installation be complete and operational?],Table_Perf[[#This Row],[Year]],Table_ECM[Would you like to Include this measure in the decarbonization pathway?],TRUE))))</f>
        <v>0</v>
      </c>
      <c r="G62" s="109" cm="1">
        <f t="array" ref="G62">MAX(0,IF(Table_Perf[[#This Row],[Year]]=BaseYr,IFERROR(Table_UtilityInput[Annual Fuel Oil'#2
(Gallon)]*138,0),
(G61-138*SUMIFS(Table_ECM[Annual Fuel Oil'#2 Savings
(Gallon)],Table_ECM[When will the measure installation be complete and operational?],Table_Perf[[#This Row],[Year]],Table_ECM[Would you like to Include this measure in the decarbonization pathway?],TRUE))))</f>
        <v>0</v>
      </c>
      <c r="H62" s="109" cm="1">
        <f t="array" ref="H62">MAX(0,IF(Table_Perf[[#This Row],[Year]]=BaseYr,IFERROR(Table_UtilityInput[Annual District Steam  
(Mlb for ConEd, kLb for others)]*1194,0),
(H61-1194*SUMIFS(Table_ECM[Annual District Steam Savings
(Mlb for ConEd, klb for others)],Table_ECM[When will the measure installation be complete and operational?],Table_Perf[[#This Row],[Year]],Table_ECM[Would you like to Include this measure in the decarbonization pathway?],TRUE))))</f>
        <v>0</v>
      </c>
      <c r="I62" s="109" cm="1">
        <f t="array" ref="I62">MAX(0,IF(Table_Perf[[#This Row],[Year]]=BaseYr,IFERROR(Table_UtilityInput[Annual Other Fuel 1
(kBtu)],0),
(I61-SUMIFS(Table_ECM[Annual Other Fuel 1 Savings
(kBtu)],Table_ECM[When will the measure installation be complete and operational?],Table_Perf[[#This Row],[Year]],Table_ECM[Would you like to Include this measure in the decarbonization pathway?],TRUE))))</f>
        <v>0</v>
      </c>
      <c r="J62" s="110" cm="1">
        <f t="array" ref="J62">MAX(0,IF(Table_Perf[[#This Row],[Year]]=BaseYr,IFERROR(Table_UtilityInput[Annual Other Fuel 2
(kBtu)],0),
(J61-SUMIFS(Table_ECM[Annual Other Fuel 2 Savings
(kBtu)],Table_ECM[When will the measure installation be complete and operational?],Table_Perf[[#This Row],[Year]],Table_ECM[Would you like to Include this measure in the decarbonization pathway?],TRUE))))</f>
        <v>0</v>
      </c>
      <c r="K62" s="101">
        <f>-SUMIFS(Table_ECM[Cost to Install Measures ($)],Table_ECM[When will the measure installation be complete and operational?],Table_Perf[[#This Row],[Year]],Table_ECM[Would you like to Include this measure in the decarbonization pathway?],TRUE)</f>
        <v>0</v>
      </c>
      <c r="L62" s="102" cm="1">
        <f t="array" ref="L62">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62" s="103"/>
      <c r="N62" s="100" t="e" cm="1">
        <f t="array" ref="N62">Table_Perf[[#This Row],[Electricity (kBtu)]]*INDEX(Table_UtilityDecarb[Carbon Intensity (tCO2e/kBtu)],MATCH(N$46&amp;Table_Perf[[#This Row],[Year]],Table_UtilityDecarb[Fuel Type]&amp;Table_UtilityDecarb[Year],0))</f>
        <v>#N/A</v>
      </c>
      <c r="O62" s="100">
        <f>Table_Perf[[#This Row],[Natural Gas (kBtu)]]*INDEX(Table_UtilityDecarb[Carbon Intensity (tCO2e/kBtu)],MATCH(O$46,Table_UtilityDecarb[Fuel Type],0))</f>
        <v>0</v>
      </c>
      <c r="P62" s="100">
        <f>Table_Perf[[#This Row],[Fuel Oil'#2 (kBtu)]]*INDEX(Table_UtilityDecarb[Carbon Intensity (tCO2e/kBtu)],MATCH(P$46,Table_UtilityDecarb[Fuel Type],0))</f>
        <v>0</v>
      </c>
      <c r="Q62" s="100" t="e" cm="1">
        <f t="array" ref="Q62">Table_Perf[[#This Row],[District Steam (kBtu)]]*INDEX(Table_UtilityDecarb[Carbon Intensity (tCO2e/kBtu)],MATCH(Q$46&amp;Table_Perf[[#This Row],[Year]],Table_UtilityDecarb[Fuel Type]&amp;Table_UtilityDecarb[Year],0))</f>
        <v>#N/A</v>
      </c>
      <c r="R62" s="100" cm="1">
        <f t="array" ref="R62">IF(OR(Table_UtilityInput[Annual Other Fuel 1
(kBtu)]="",NOT(ISNUMBER(Table_UtilityInput[Annual Other Fuel 1
(kBtu)]))),0,Table_Perf[[#This Row],[Other Fuel 1 (kBtu)]]*INDEX(Table_UtilityDecarb[Carbon Intensity (tCO2e/kBtu)],MATCH(R$46,Table_UtilityDecarb[Fuel Type],0)))</f>
        <v>0</v>
      </c>
      <c r="S62" s="100" cm="1">
        <f t="array" ref="S62">IF(OR(Table_UtilityInput[Annual Other Fuel 2
(kBtu)]="",NOT(ISNUMBER(Table_UtilityInput[Annual Other Fuel 2
(kBtu)]))),0,Table_Perf[[#This Row],[Other Fuel 2 (kBtu)]]*INDEX(Table_UtilityDecarb[Carbon Intensity (tCO2e/kBtu)],MATCH(S$46,Table_UtilityDecarb[Fuel Type],0)))</f>
        <v>0</v>
      </c>
      <c r="T62" s="100">
        <f>IF(Table_Perf[[#This Row],[Year]]&gt;2050,NA(),_xlfn.AGGREGATE(9,6,Table_Perf[[#This Row],[LL97 Electricity (tCO2e)]:[LL97 Other Fuel 2 (tCO2e)]]))</f>
        <v>0</v>
      </c>
      <c r="U62" s="100" t="e">
        <f>IF(Table_Perf[[#This Row],[Year]]&lt;2035,NA(),INDEX(Table_LimitsCalc_Sample1[Total Limits (tCO2e)],MATCH(Table_Perf[[#This Row],[Year]],Table_LimitsCalc_Sample1[Year],0)))</f>
        <v>#N/A</v>
      </c>
      <c r="V62" s="100" t="e" cm="1">
        <f t="array" ref="V62">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62" s="100" t="e">
        <f>IF(Table_Perf[[#This Row],[LL97 Emissions Limit (tCO2e)]]="",0,MAX(0,Table_Perf[[#This Row],[LL97 Business-As-Usual Emissions]]-Table_Perf[[#This Row],[LL97 Emissions Limit (tCO2e)]]))</f>
        <v>#N/A</v>
      </c>
      <c r="X62" s="100" t="e">
        <f>IF(Table_Perf[[#This Row],[LL97 Emissions Limit (tCO2e)]]="",0,MAX(0,Table_Perf[[#This Row],[LL97 Emissions After Measures]]-Table_Perf[[#This Row],[LL97 Emissions Limit (tCO2e)]]))</f>
        <v>#N/A</v>
      </c>
      <c r="Y62" s="100" t="e">
        <f>Table_Perf[[#This Row],[LL97 Business-As-Usual Emissions]]-Table_Perf[[#This Row],[LL97 Emissions After Measures]]</f>
        <v>#N/A</v>
      </c>
      <c r="Z62" s="102" t="str">
        <f>IF(Table_Perf[[#This Row],[Year]]&lt;2024,"Not in enforcement period",IF(Table_Perf[[#This Row],[LL97 Excess Emissions After Measures]]=0,"Compliant","Not-Compliant"))</f>
        <v>Not in enforcement period</v>
      </c>
      <c r="AA62" s="104">
        <f>IFERROR(-268*Table_Perf[[#This Row],[LL97 Excess Emissions After Measures]],0)</f>
        <v>0</v>
      </c>
      <c r="AB62" s="102">
        <f>IFERROR(268*MIN(Table_Perf[[#This Row],[LL97 BAU Excess Emissions]],Table_Perf[[#This Row],[LL97 Emissions Reduced by Measures]]),0)</f>
        <v>0</v>
      </c>
      <c r="AC62" s="105" t="str">
        <f>IF(OR(Table_Perf[[#This Row],[Year]]&lt;2024,Table_Perf[[#This Row],[Year]]&gt;2050,ISERROR(Table_Perf[[#This Row],[LL97 Adjusted Penalty After Measures]])),"",Table_Perf[[#This Row],[LL97 Adjusted Penalty After Measures]])</f>
        <v/>
      </c>
      <c r="AD62" s="102">
        <f>IF(Table_Perf[[#This Row],[Year]]&gt;2050,NA(),_xlfn.AGGREGATE(9,6,Table_Perf[[#This Row],[Measure Cost ($)]],Table_Perf[[#This Row],[Utility Savings ($)]],Table_Perf[[#This Row],[LL97 Penalty Avoided by Measures ($)]]))</f>
        <v>0</v>
      </c>
      <c r="AE62" s="102">
        <f>SUM($AD$48:AD62)</f>
        <v>0</v>
      </c>
      <c r="AF62" s="102">
        <f>IF(Table_Perf[[#This Row],[Year]]&gt;2050,NA(),_xlfn.AGGREGATE(9,6,Table_Perf[[#This Row],[Measure Cost ($)]],Table_Perf[[#This Row],[LL97 Adjusted Penalty After Measures]]))</f>
        <v>0</v>
      </c>
      <c r="AG62" s="106">
        <f>Table_Perf[[#This Row],[Year]]</f>
        <v>14</v>
      </c>
      <c r="AH62" s="99">
        <f>COUNTIFS(Table_ECM[When will the measure installation be complete and operational?],"&lt;="&amp;Table_Perf[[#This Row],[Yr]],Table_ECM[Would you like to Include this measure in the decarbonization pathway?],TRUE)</f>
        <v>0</v>
      </c>
      <c r="AI62" s="99" t="str">
        <f>IF(Table_Perf[[#This Row],[Measure Qty]]=AH61,"",_xlfn.CONCAT(Table_Perf[[#This Row],[Measure Qty]], " Measures Done"))</f>
        <v/>
      </c>
      <c r="AJ62" s="107" t="e">
        <f>IF(Table_Perf[[#This Row],[Measure Label]]="",NA(),Table_Perf[[#This Row],[LL97 Emissions After Measures]])</f>
        <v>#N/A</v>
      </c>
    </row>
    <row r="63" spans="3:36" hidden="1" outlineLevel="1">
      <c r="C63" s="98">
        <v>15</v>
      </c>
      <c r="D63" s="108">
        <f>IF(BaseYr+Table_Perf[[#This Row],['#]]&gt;EndYr,NA(),BaseYr+Table_Perf[[#This Row],['#]])</f>
        <v>15</v>
      </c>
      <c r="E63" s="109" cm="1">
        <f t="array" ref="E63">MAX(0,IF(Table_Perf[[#This Row],[Year]]=BaseYr,IFERROR(Table_UtilityInput[Annual Electricity 
(kWh)]*3.412,0),
(E62-3.412*SUMIFS(Table_ECM[Annual Electricity Savings
(kWh)],Table_ECM[When will the measure installation be complete and operational?],Table_Perf[[#This Row],[Year]],Table_ECM[Would you like to Include this measure in the decarbonization pathway?],TRUE))))</f>
        <v>0</v>
      </c>
      <c r="F63" s="109" cm="1">
        <f t="array" ref="F63">MAX(0,IF(Table_Perf[[#This Row],[Year]]=BaseYr,IFERROR(Table_UtilityInput[Annual Natural Gas  
(therm)]*100,0),
(F62-100*SUMIFS(Table_ECM[Annual Natural Gas Savings
(therm)],Table_ECM[When will the measure installation be complete and operational?],Table_Perf[[#This Row],[Year]],Table_ECM[Would you like to Include this measure in the decarbonization pathway?],TRUE))))</f>
        <v>0</v>
      </c>
      <c r="G63" s="109" cm="1">
        <f t="array" ref="G63">MAX(0,IF(Table_Perf[[#This Row],[Year]]=BaseYr,IFERROR(Table_UtilityInput[Annual Fuel Oil'#2
(Gallon)]*138,0),
(G62-138*SUMIFS(Table_ECM[Annual Fuel Oil'#2 Savings
(Gallon)],Table_ECM[When will the measure installation be complete and operational?],Table_Perf[[#This Row],[Year]],Table_ECM[Would you like to Include this measure in the decarbonization pathway?],TRUE))))</f>
        <v>0</v>
      </c>
      <c r="H63" s="109" cm="1">
        <f t="array" ref="H63">MAX(0,IF(Table_Perf[[#This Row],[Year]]=BaseYr,IFERROR(Table_UtilityInput[Annual District Steam  
(Mlb for ConEd, kLb for others)]*1194,0),
(H62-1194*SUMIFS(Table_ECM[Annual District Steam Savings
(Mlb for ConEd, klb for others)],Table_ECM[When will the measure installation be complete and operational?],Table_Perf[[#This Row],[Year]],Table_ECM[Would you like to Include this measure in the decarbonization pathway?],TRUE))))</f>
        <v>0</v>
      </c>
      <c r="I63" s="109" cm="1">
        <f t="array" ref="I63">MAX(0,IF(Table_Perf[[#This Row],[Year]]=BaseYr,IFERROR(Table_UtilityInput[Annual Other Fuel 1
(kBtu)],0),
(I62-SUMIFS(Table_ECM[Annual Other Fuel 1 Savings
(kBtu)],Table_ECM[When will the measure installation be complete and operational?],Table_Perf[[#This Row],[Year]],Table_ECM[Would you like to Include this measure in the decarbonization pathway?],TRUE))))</f>
        <v>0</v>
      </c>
      <c r="J63" s="110" cm="1">
        <f t="array" ref="J63">MAX(0,IF(Table_Perf[[#This Row],[Year]]=BaseYr,IFERROR(Table_UtilityInput[Annual Other Fuel 2
(kBtu)],0),
(J62-SUMIFS(Table_ECM[Annual Other Fuel 2 Savings
(kBtu)],Table_ECM[When will the measure installation be complete and operational?],Table_Perf[[#This Row],[Year]],Table_ECM[Would you like to Include this measure in the decarbonization pathway?],TRUE))))</f>
        <v>0</v>
      </c>
      <c r="K63" s="101">
        <f>-SUMIFS(Table_ECM[Cost to Install Measures ($)],Table_ECM[When will the measure installation be complete and operational?],Table_Perf[[#This Row],[Year]],Table_ECM[Would you like to Include this measure in the decarbonization pathway?],TRUE)</f>
        <v>0</v>
      </c>
      <c r="L63" s="102" cm="1">
        <f t="array" ref="L63">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63" s="103"/>
      <c r="N63" s="100" t="e" cm="1">
        <f t="array" ref="N63">Table_Perf[[#This Row],[Electricity (kBtu)]]*INDEX(Table_UtilityDecarb[Carbon Intensity (tCO2e/kBtu)],MATCH(N$46&amp;Table_Perf[[#This Row],[Year]],Table_UtilityDecarb[Fuel Type]&amp;Table_UtilityDecarb[Year],0))</f>
        <v>#N/A</v>
      </c>
      <c r="O63" s="100">
        <f>Table_Perf[[#This Row],[Natural Gas (kBtu)]]*INDEX(Table_UtilityDecarb[Carbon Intensity (tCO2e/kBtu)],MATCH(O$46,Table_UtilityDecarb[Fuel Type],0))</f>
        <v>0</v>
      </c>
      <c r="P63" s="100">
        <f>Table_Perf[[#This Row],[Fuel Oil'#2 (kBtu)]]*INDEX(Table_UtilityDecarb[Carbon Intensity (tCO2e/kBtu)],MATCH(P$46,Table_UtilityDecarb[Fuel Type],0))</f>
        <v>0</v>
      </c>
      <c r="Q63" s="100" t="e" cm="1">
        <f t="array" ref="Q63">Table_Perf[[#This Row],[District Steam (kBtu)]]*INDEX(Table_UtilityDecarb[Carbon Intensity (tCO2e/kBtu)],MATCH(Q$46&amp;Table_Perf[[#This Row],[Year]],Table_UtilityDecarb[Fuel Type]&amp;Table_UtilityDecarb[Year],0))</f>
        <v>#N/A</v>
      </c>
      <c r="R63" s="100" cm="1">
        <f t="array" ref="R63">IF(OR(Table_UtilityInput[Annual Other Fuel 1
(kBtu)]="",NOT(ISNUMBER(Table_UtilityInput[Annual Other Fuel 1
(kBtu)]))),0,Table_Perf[[#This Row],[Other Fuel 1 (kBtu)]]*INDEX(Table_UtilityDecarb[Carbon Intensity (tCO2e/kBtu)],MATCH(R$46,Table_UtilityDecarb[Fuel Type],0)))</f>
        <v>0</v>
      </c>
      <c r="S63" s="100" cm="1">
        <f t="array" ref="S63">IF(OR(Table_UtilityInput[Annual Other Fuel 2
(kBtu)]="",NOT(ISNUMBER(Table_UtilityInput[Annual Other Fuel 2
(kBtu)]))),0,Table_Perf[[#This Row],[Other Fuel 2 (kBtu)]]*INDEX(Table_UtilityDecarb[Carbon Intensity (tCO2e/kBtu)],MATCH(S$46,Table_UtilityDecarb[Fuel Type],0)))</f>
        <v>0</v>
      </c>
      <c r="T63" s="100">
        <f>IF(Table_Perf[[#This Row],[Year]]&gt;2050,NA(),_xlfn.AGGREGATE(9,6,Table_Perf[[#This Row],[LL97 Electricity (tCO2e)]:[LL97 Other Fuel 2 (tCO2e)]]))</f>
        <v>0</v>
      </c>
      <c r="U63" s="100" t="e">
        <f>IF(Table_Perf[[#This Row],[Year]]&lt;2035,NA(),INDEX(Table_LimitsCalc_Sample1[Total Limits (tCO2e)],MATCH(Table_Perf[[#This Row],[Year]],Table_LimitsCalc_Sample1[Year],0)))</f>
        <v>#N/A</v>
      </c>
      <c r="V63" s="100" t="e" cm="1">
        <f t="array" ref="V63">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63" s="100" t="e">
        <f>IF(Table_Perf[[#This Row],[LL97 Emissions Limit (tCO2e)]]="",0,MAX(0,Table_Perf[[#This Row],[LL97 Business-As-Usual Emissions]]-Table_Perf[[#This Row],[LL97 Emissions Limit (tCO2e)]]))</f>
        <v>#N/A</v>
      </c>
      <c r="X63" s="100" t="e">
        <f>IF(Table_Perf[[#This Row],[LL97 Emissions Limit (tCO2e)]]="",0,MAX(0,Table_Perf[[#This Row],[LL97 Emissions After Measures]]-Table_Perf[[#This Row],[LL97 Emissions Limit (tCO2e)]]))</f>
        <v>#N/A</v>
      </c>
      <c r="Y63" s="100" t="e">
        <f>Table_Perf[[#This Row],[LL97 Business-As-Usual Emissions]]-Table_Perf[[#This Row],[LL97 Emissions After Measures]]</f>
        <v>#N/A</v>
      </c>
      <c r="Z63" s="102" t="str">
        <f>IF(Table_Perf[[#This Row],[Year]]&lt;2024,"Not in enforcement period",IF(Table_Perf[[#This Row],[LL97 Excess Emissions After Measures]]=0,"Compliant","Not-Compliant"))</f>
        <v>Not in enforcement period</v>
      </c>
      <c r="AA63" s="104">
        <f>IFERROR(-268*Table_Perf[[#This Row],[LL97 Excess Emissions After Measures]],0)</f>
        <v>0</v>
      </c>
      <c r="AB63" s="102">
        <f>IFERROR(268*MIN(Table_Perf[[#This Row],[LL97 BAU Excess Emissions]],Table_Perf[[#This Row],[LL97 Emissions Reduced by Measures]]),0)</f>
        <v>0</v>
      </c>
      <c r="AC63" s="105" t="str">
        <f>IF(OR(Table_Perf[[#This Row],[Year]]&lt;2024,Table_Perf[[#This Row],[Year]]&gt;2050,ISERROR(Table_Perf[[#This Row],[LL97 Adjusted Penalty After Measures]])),"",Table_Perf[[#This Row],[LL97 Adjusted Penalty After Measures]])</f>
        <v/>
      </c>
      <c r="AD63" s="102">
        <f>IF(Table_Perf[[#This Row],[Year]]&gt;2050,NA(),_xlfn.AGGREGATE(9,6,Table_Perf[[#This Row],[Measure Cost ($)]],Table_Perf[[#This Row],[Utility Savings ($)]],Table_Perf[[#This Row],[LL97 Penalty Avoided by Measures ($)]]))</f>
        <v>0</v>
      </c>
      <c r="AE63" s="102">
        <f>SUM($AD$48:AD63)</f>
        <v>0</v>
      </c>
      <c r="AF63" s="102">
        <f>IF(Table_Perf[[#This Row],[Year]]&gt;2050,NA(),_xlfn.AGGREGATE(9,6,Table_Perf[[#This Row],[Measure Cost ($)]],Table_Perf[[#This Row],[LL97 Adjusted Penalty After Measures]]))</f>
        <v>0</v>
      </c>
      <c r="AG63" s="106">
        <f>Table_Perf[[#This Row],[Year]]</f>
        <v>15</v>
      </c>
      <c r="AH63" s="99">
        <f>COUNTIFS(Table_ECM[When will the measure installation be complete and operational?],"&lt;="&amp;Table_Perf[[#This Row],[Yr]],Table_ECM[Would you like to Include this measure in the decarbonization pathway?],TRUE)</f>
        <v>0</v>
      </c>
      <c r="AI63" s="99" t="str">
        <f>IF(Table_Perf[[#This Row],[Measure Qty]]=AH62,"",_xlfn.CONCAT(Table_Perf[[#This Row],[Measure Qty]], " Measures Done"))</f>
        <v/>
      </c>
      <c r="AJ63" s="107" t="e">
        <f>IF(Table_Perf[[#This Row],[Measure Label]]="",NA(),Table_Perf[[#This Row],[LL97 Emissions After Measures]])</f>
        <v>#N/A</v>
      </c>
    </row>
    <row r="64" spans="3:36" hidden="1" outlineLevel="1">
      <c r="C64" s="98">
        <v>16</v>
      </c>
      <c r="D64" s="108">
        <f>IF(BaseYr+Table_Perf[[#This Row],['#]]&gt;EndYr,NA(),BaseYr+Table_Perf[[#This Row],['#]])</f>
        <v>16</v>
      </c>
      <c r="E64" s="109" cm="1">
        <f t="array" ref="E64">MAX(0,IF(Table_Perf[[#This Row],[Year]]=BaseYr,IFERROR(Table_UtilityInput[Annual Electricity 
(kWh)]*3.412,0),
(E63-3.412*SUMIFS(Table_ECM[Annual Electricity Savings
(kWh)],Table_ECM[When will the measure installation be complete and operational?],Table_Perf[[#This Row],[Year]],Table_ECM[Would you like to Include this measure in the decarbonization pathway?],TRUE))))</f>
        <v>0</v>
      </c>
      <c r="F64" s="109" cm="1">
        <f t="array" ref="F64">MAX(0,IF(Table_Perf[[#This Row],[Year]]=BaseYr,IFERROR(Table_UtilityInput[Annual Natural Gas  
(therm)]*100,0),
(F63-100*SUMIFS(Table_ECM[Annual Natural Gas Savings
(therm)],Table_ECM[When will the measure installation be complete and operational?],Table_Perf[[#This Row],[Year]],Table_ECM[Would you like to Include this measure in the decarbonization pathway?],TRUE))))</f>
        <v>0</v>
      </c>
      <c r="G64" s="109" cm="1">
        <f t="array" ref="G64">MAX(0,IF(Table_Perf[[#This Row],[Year]]=BaseYr,IFERROR(Table_UtilityInput[Annual Fuel Oil'#2
(Gallon)]*138,0),
(G63-138*SUMIFS(Table_ECM[Annual Fuel Oil'#2 Savings
(Gallon)],Table_ECM[When will the measure installation be complete and operational?],Table_Perf[[#This Row],[Year]],Table_ECM[Would you like to Include this measure in the decarbonization pathway?],TRUE))))</f>
        <v>0</v>
      </c>
      <c r="H64" s="109" cm="1">
        <f t="array" ref="H64">MAX(0,IF(Table_Perf[[#This Row],[Year]]=BaseYr,IFERROR(Table_UtilityInput[Annual District Steam  
(Mlb for ConEd, kLb for others)]*1194,0),
(H63-1194*SUMIFS(Table_ECM[Annual District Steam Savings
(Mlb for ConEd, klb for others)],Table_ECM[When will the measure installation be complete and operational?],Table_Perf[[#This Row],[Year]],Table_ECM[Would you like to Include this measure in the decarbonization pathway?],TRUE))))</f>
        <v>0</v>
      </c>
      <c r="I64" s="109" cm="1">
        <f t="array" ref="I64">MAX(0,IF(Table_Perf[[#This Row],[Year]]=BaseYr,IFERROR(Table_UtilityInput[Annual Other Fuel 1
(kBtu)],0),
(I63-SUMIFS(Table_ECM[Annual Other Fuel 1 Savings
(kBtu)],Table_ECM[When will the measure installation be complete and operational?],Table_Perf[[#This Row],[Year]],Table_ECM[Would you like to Include this measure in the decarbonization pathway?],TRUE))))</f>
        <v>0</v>
      </c>
      <c r="J64" s="110" cm="1">
        <f t="array" ref="J64">MAX(0,IF(Table_Perf[[#This Row],[Year]]=BaseYr,IFERROR(Table_UtilityInput[Annual Other Fuel 2
(kBtu)],0),
(J63-SUMIFS(Table_ECM[Annual Other Fuel 2 Savings
(kBtu)],Table_ECM[When will the measure installation be complete and operational?],Table_Perf[[#This Row],[Year]],Table_ECM[Would you like to Include this measure in the decarbonization pathway?],TRUE))))</f>
        <v>0</v>
      </c>
      <c r="K64" s="101">
        <f>-SUMIFS(Table_ECM[Cost to Install Measures ($)],Table_ECM[When will the measure installation be complete and operational?],Table_Perf[[#This Row],[Year]],Table_ECM[Would you like to Include this measure in the decarbonization pathway?],TRUE)</f>
        <v>0</v>
      </c>
      <c r="L64" s="102" cm="1">
        <f t="array" ref="L64">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64" s="103"/>
      <c r="N64" s="100" t="e" cm="1">
        <f t="array" ref="N64">Table_Perf[[#This Row],[Electricity (kBtu)]]*INDEX(Table_UtilityDecarb[Carbon Intensity (tCO2e/kBtu)],MATCH(N$46&amp;Table_Perf[[#This Row],[Year]],Table_UtilityDecarb[Fuel Type]&amp;Table_UtilityDecarb[Year],0))</f>
        <v>#N/A</v>
      </c>
      <c r="O64" s="100">
        <f>Table_Perf[[#This Row],[Natural Gas (kBtu)]]*INDEX(Table_UtilityDecarb[Carbon Intensity (tCO2e/kBtu)],MATCH(O$46,Table_UtilityDecarb[Fuel Type],0))</f>
        <v>0</v>
      </c>
      <c r="P64" s="100">
        <f>Table_Perf[[#This Row],[Fuel Oil'#2 (kBtu)]]*INDEX(Table_UtilityDecarb[Carbon Intensity (tCO2e/kBtu)],MATCH(P$46,Table_UtilityDecarb[Fuel Type],0))</f>
        <v>0</v>
      </c>
      <c r="Q64" s="100" t="e" cm="1">
        <f t="array" ref="Q64">Table_Perf[[#This Row],[District Steam (kBtu)]]*INDEX(Table_UtilityDecarb[Carbon Intensity (tCO2e/kBtu)],MATCH(Q$46&amp;Table_Perf[[#This Row],[Year]],Table_UtilityDecarb[Fuel Type]&amp;Table_UtilityDecarb[Year],0))</f>
        <v>#N/A</v>
      </c>
      <c r="R64" s="100" cm="1">
        <f t="array" ref="R64">IF(OR(Table_UtilityInput[Annual Other Fuel 1
(kBtu)]="",NOT(ISNUMBER(Table_UtilityInput[Annual Other Fuel 1
(kBtu)]))),0,Table_Perf[[#This Row],[Other Fuel 1 (kBtu)]]*INDEX(Table_UtilityDecarb[Carbon Intensity (tCO2e/kBtu)],MATCH(R$46,Table_UtilityDecarb[Fuel Type],0)))</f>
        <v>0</v>
      </c>
      <c r="S64" s="100" cm="1">
        <f t="array" ref="S64">IF(OR(Table_UtilityInput[Annual Other Fuel 2
(kBtu)]="",NOT(ISNUMBER(Table_UtilityInput[Annual Other Fuel 2
(kBtu)]))),0,Table_Perf[[#This Row],[Other Fuel 2 (kBtu)]]*INDEX(Table_UtilityDecarb[Carbon Intensity (tCO2e/kBtu)],MATCH(S$46,Table_UtilityDecarb[Fuel Type],0)))</f>
        <v>0</v>
      </c>
      <c r="T64" s="100">
        <f>IF(Table_Perf[[#This Row],[Year]]&gt;2050,NA(),_xlfn.AGGREGATE(9,6,Table_Perf[[#This Row],[LL97 Electricity (tCO2e)]:[LL97 Other Fuel 2 (tCO2e)]]))</f>
        <v>0</v>
      </c>
      <c r="U64" s="100" t="e">
        <f>IF(Table_Perf[[#This Row],[Year]]&lt;2035,NA(),INDEX(Table_LimitsCalc_Sample1[Total Limits (tCO2e)],MATCH(Table_Perf[[#This Row],[Year]],Table_LimitsCalc_Sample1[Year],0)))</f>
        <v>#N/A</v>
      </c>
      <c r="V64" s="100" t="e" cm="1">
        <f t="array" ref="V64">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64" s="100" t="e">
        <f>IF(Table_Perf[[#This Row],[LL97 Emissions Limit (tCO2e)]]="",0,MAX(0,Table_Perf[[#This Row],[LL97 Business-As-Usual Emissions]]-Table_Perf[[#This Row],[LL97 Emissions Limit (tCO2e)]]))</f>
        <v>#N/A</v>
      </c>
      <c r="X64" s="100" t="e">
        <f>IF(Table_Perf[[#This Row],[LL97 Emissions Limit (tCO2e)]]="",0,MAX(0,Table_Perf[[#This Row],[LL97 Emissions After Measures]]-Table_Perf[[#This Row],[LL97 Emissions Limit (tCO2e)]]))</f>
        <v>#N/A</v>
      </c>
      <c r="Y64" s="100" t="e">
        <f>Table_Perf[[#This Row],[LL97 Business-As-Usual Emissions]]-Table_Perf[[#This Row],[LL97 Emissions After Measures]]</f>
        <v>#N/A</v>
      </c>
      <c r="Z64" s="102" t="str">
        <f>IF(Table_Perf[[#This Row],[Year]]&lt;2024,"Not in enforcement period",IF(Table_Perf[[#This Row],[LL97 Excess Emissions After Measures]]=0,"Compliant","Not-Compliant"))</f>
        <v>Not in enforcement period</v>
      </c>
      <c r="AA64" s="104">
        <f>IFERROR(-268*Table_Perf[[#This Row],[LL97 Excess Emissions After Measures]],0)</f>
        <v>0</v>
      </c>
      <c r="AB64" s="102">
        <f>IFERROR(268*MIN(Table_Perf[[#This Row],[LL97 BAU Excess Emissions]],Table_Perf[[#This Row],[LL97 Emissions Reduced by Measures]]),0)</f>
        <v>0</v>
      </c>
      <c r="AC64" s="105" t="str">
        <f>IF(OR(Table_Perf[[#This Row],[Year]]&lt;2024,Table_Perf[[#This Row],[Year]]&gt;2050,ISERROR(Table_Perf[[#This Row],[LL97 Adjusted Penalty After Measures]])),"",Table_Perf[[#This Row],[LL97 Adjusted Penalty After Measures]])</f>
        <v/>
      </c>
      <c r="AD64" s="102">
        <f>IF(Table_Perf[[#This Row],[Year]]&gt;2050,NA(),_xlfn.AGGREGATE(9,6,Table_Perf[[#This Row],[Measure Cost ($)]],Table_Perf[[#This Row],[Utility Savings ($)]],Table_Perf[[#This Row],[LL97 Penalty Avoided by Measures ($)]]))</f>
        <v>0</v>
      </c>
      <c r="AE64" s="102">
        <f>SUM($AD$48:AD64)</f>
        <v>0</v>
      </c>
      <c r="AF64" s="102">
        <f>IF(Table_Perf[[#This Row],[Year]]&gt;2050,NA(),_xlfn.AGGREGATE(9,6,Table_Perf[[#This Row],[Measure Cost ($)]],Table_Perf[[#This Row],[LL97 Adjusted Penalty After Measures]]))</f>
        <v>0</v>
      </c>
      <c r="AG64" s="106">
        <f>Table_Perf[[#This Row],[Year]]</f>
        <v>16</v>
      </c>
      <c r="AH64" s="99">
        <f>COUNTIFS(Table_ECM[When will the measure installation be complete and operational?],"&lt;="&amp;Table_Perf[[#This Row],[Yr]],Table_ECM[Would you like to Include this measure in the decarbonization pathway?],TRUE)</f>
        <v>0</v>
      </c>
      <c r="AI64" s="99" t="str">
        <f>IF(Table_Perf[[#This Row],[Measure Qty]]=AH63,"",_xlfn.CONCAT(Table_Perf[[#This Row],[Measure Qty]], " Measures Done"))</f>
        <v/>
      </c>
      <c r="AJ64" s="107" t="e">
        <f>IF(Table_Perf[[#This Row],[Measure Label]]="",NA(),Table_Perf[[#This Row],[LL97 Emissions After Measures]])</f>
        <v>#N/A</v>
      </c>
    </row>
    <row r="65" spans="2:55" hidden="1" outlineLevel="1">
      <c r="C65" s="98">
        <v>17</v>
      </c>
      <c r="D65" s="108">
        <f>IF(BaseYr+Table_Perf[[#This Row],['#]]&gt;EndYr,NA(),BaseYr+Table_Perf[[#This Row],['#]])</f>
        <v>17</v>
      </c>
      <c r="E65" s="109" cm="1">
        <f t="array" ref="E65">MAX(0,IF(Table_Perf[[#This Row],[Year]]=BaseYr,IFERROR(Table_UtilityInput[Annual Electricity 
(kWh)]*3.412,0),
(E64-3.412*SUMIFS(Table_ECM[Annual Electricity Savings
(kWh)],Table_ECM[When will the measure installation be complete and operational?],Table_Perf[[#This Row],[Year]],Table_ECM[Would you like to Include this measure in the decarbonization pathway?],TRUE))))</f>
        <v>0</v>
      </c>
      <c r="F65" s="109" cm="1">
        <f t="array" ref="F65">MAX(0,IF(Table_Perf[[#This Row],[Year]]=BaseYr,IFERROR(Table_UtilityInput[Annual Natural Gas  
(therm)]*100,0),
(F64-100*SUMIFS(Table_ECM[Annual Natural Gas Savings
(therm)],Table_ECM[When will the measure installation be complete and operational?],Table_Perf[[#This Row],[Year]],Table_ECM[Would you like to Include this measure in the decarbonization pathway?],TRUE))))</f>
        <v>0</v>
      </c>
      <c r="G65" s="109" cm="1">
        <f t="array" ref="G65">MAX(0,IF(Table_Perf[[#This Row],[Year]]=BaseYr,IFERROR(Table_UtilityInput[Annual Fuel Oil'#2
(Gallon)]*138,0),
(G64-138*SUMIFS(Table_ECM[Annual Fuel Oil'#2 Savings
(Gallon)],Table_ECM[When will the measure installation be complete and operational?],Table_Perf[[#This Row],[Year]],Table_ECM[Would you like to Include this measure in the decarbonization pathway?],TRUE))))</f>
        <v>0</v>
      </c>
      <c r="H65" s="109" cm="1">
        <f t="array" ref="H65">MAX(0,IF(Table_Perf[[#This Row],[Year]]=BaseYr,IFERROR(Table_UtilityInput[Annual District Steam  
(Mlb for ConEd, kLb for others)]*1194,0),
(H64-1194*SUMIFS(Table_ECM[Annual District Steam Savings
(Mlb for ConEd, klb for others)],Table_ECM[When will the measure installation be complete and operational?],Table_Perf[[#This Row],[Year]],Table_ECM[Would you like to Include this measure in the decarbonization pathway?],TRUE))))</f>
        <v>0</v>
      </c>
      <c r="I65" s="109" cm="1">
        <f t="array" ref="I65">MAX(0,IF(Table_Perf[[#This Row],[Year]]=BaseYr,IFERROR(Table_UtilityInput[Annual Other Fuel 1
(kBtu)],0),
(I64-SUMIFS(Table_ECM[Annual Other Fuel 1 Savings
(kBtu)],Table_ECM[When will the measure installation be complete and operational?],Table_Perf[[#This Row],[Year]],Table_ECM[Would you like to Include this measure in the decarbonization pathway?],TRUE))))</f>
        <v>0</v>
      </c>
      <c r="J65" s="110" cm="1">
        <f t="array" ref="J65">MAX(0,IF(Table_Perf[[#This Row],[Year]]=BaseYr,IFERROR(Table_UtilityInput[Annual Other Fuel 2
(kBtu)],0),
(J64-SUMIFS(Table_ECM[Annual Other Fuel 2 Savings
(kBtu)],Table_ECM[When will the measure installation be complete and operational?],Table_Perf[[#This Row],[Year]],Table_ECM[Would you like to Include this measure in the decarbonization pathway?],TRUE))))</f>
        <v>0</v>
      </c>
      <c r="K65" s="101">
        <f>-SUMIFS(Table_ECM[Cost to Install Measures ($)],Table_ECM[When will the measure installation be complete and operational?],Table_Perf[[#This Row],[Year]],Table_ECM[Would you like to Include this measure in the decarbonization pathway?],TRUE)</f>
        <v>0</v>
      </c>
      <c r="L65" s="102" cm="1">
        <f t="array" ref="L65">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65" s="103"/>
      <c r="N65" s="100" t="e" cm="1">
        <f t="array" ref="N65">Table_Perf[[#This Row],[Electricity (kBtu)]]*INDEX(Table_UtilityDecarb[Carbon Intensity (tCO2e/kBtu)],MATCH(N$46&amp;Table_Perf[[#This Row],[Year]],Table_UtilityDecarb[Fuel Type]&amp;Table_UtilityDecarb[Year],0))</f>
        <v>#N/A</v>
      </c>
      <c r="O65" s="100">
        <f>Table_Perf[[#This Row],[Natural Gas (kBtu)]]*INDEX(Table_UtilityDecarb[Carbon Intensity (tCO2e/kBtu)],MATCH(O$46,Table_UtilityDecarb[Fuel Type],0))</f>
        <v>0</v>
      </c>
      <c r="P65" s="100">
        <f>Table_Perf[[#This Row],[Fuel Oil'#2 (kBtu)]]*INDEX(Table_UtilityDecarb[Carbon Intensity (tCO2e/kBtu)],MATCH(P$46,Table_UtilityDecarb[Fuel Type],0))</f>
        <v>0</v>
      </c>
      <c r="Q65" s="100" t="e" cm="1">
        <f t="array" ref="Q65">Table_Perf[[#This Row],[District Steam (kBtu)]]*INDEX(Table_UtilityDecarb[Carbon Intensity (tCO2e/kBtu)],MATCH(Q$46&amp;Table_Perf[[#This Row],[Year]],Table_UtilityDecarb[Fuel Type]&amp;Table_UtilityDecarb[Year],0))</f>
        <v>#N/A</v>
      </c>
      <c r="R65" s="100" cm="1">
        <f t="array" ref="R65">IF(OR(Table_UtilityInput[Annual Other Fuel 1
(kBtu)]="",NOT(ISNUMBER(Table_UtilityInput[Annual Other Fuel 1
(kBtu)]))),0,Table_Perf[[#This Row],[Other Fuel 1 (kBtu)]]*INDEX(Table_UtilityDecarb[Carbon Intensity (tCO2e/kBtu)],MATCH(R$46,Table_UtilityDecarb[Fuel Type],0)))</f>
        <v>0</v>
      </c>
      <c r="S65" s="100" cm="1">
        <f t="array" ref="S65">IF(OR(Table_UtilityInput[Annual Other Fuel 2
(kBtu)]="",NOT(ISNUMBER(Table_UtilityInput[Annual Other Fuel 2
(kBtu)]))),0,Table_Perf[[#This Row],[Other Fuel 2 (kBtu)]]*INDEX(Table_UtilityDecarb[Carbon Intensity (tCO2e/kBtu)],MATCH(S$46,Table_UtilityDecarb[Fuel Type],0)))</f>
        <v>0</v>
      </c>
      <c r="T65" s="100">
        <f>IF(Table_Perf[[#This Row],[Year]]&gt;2050,NA(),_xlfn.AGGREGATE(9,6,Table_Perf[[#This Row],[LL97 Electricity (tCO2e)]:[LL97 Other Fuel 2 (tCO2e)]]))</f>
        <v>0</v>
      </c>
      <c r="U65" s="100" t="e">
        <f>IF(Table_Perf[[#This Row],[Year]]&lt;2035,NA(),INDEX(Table_LimitsCalc_Sample1[Total Limits (tCO2e)],MATCH(Table_Perf[[#This Row],[Year]],Table_LimitsCalc_Sample1[Year],0)))</f>
        <v>#N/A</v>
      </c>
      <c r="V65" s="100" t="e" cm="1">
        <f t="array" ref="V65">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65" s="100" t="e">
        <f>IF(Table_Perf[[#This Row],[LL97 Emissions Limit (tCO2e)]]="",0,MAX(0,Table_Perf[[#This Row],[LL97 Business-As-Usual Emissions]]-Table_Perf[[#This Row],[LL97 Emissions Limit (tCO2e)]]))</f>
        <v>#N/A</v>
      </c>
      <c r="X65" s="100" t="e">
        <f>IF(Table_Perf[[#This Row],[LL97 Emissions Limit (tCO2e)]]="",0,MAX(0,Table_Perf[[#This Row],[LL97 Emissions After Measures]]-Table_Perf[[#This Row],[LL97 Emissions Limit (tCO2e)]]))</f>
        <v>#N/A</v>
      </c>
      <c r="Y65" s="100" t="e">
        <f>Table_Perf[[#This Row],[LL97 Business-As-Usual Emissions]]-Table_Perf[[#This Row],[LL97 Emissions After Measures]]</f>
        <v>#N/A</v>
      </c>
      <c r="Z65" s="102" t="str">
        <f>IF(Table_Perf[[#This Row],[Year]]&lt;2024,"Not in enforcement period",IF(Table_Perf[[#This Row],[LL97 Excess Emissions After Measures]]=0,"Compliant","Not-Compliant"))</f>
        <v>Not in enforcement period</v>
      </c>
      <c r="AA65" s="104">
        <f>IFERROR(-268*Table_Perf[[#This Row],[LL97 Excess Emissions After Measures]],0)</f>
        <v>0</v>
      </c>
      <c r="AB65" s="102">
        <f>IFERROR(268*MIN(Table_Perf[[#This Row],[LL97 BAU Excess Emissions]],Table_Perf[[#This Row],[LL97 Emissions Reduced by Measures]]),0)</f>
        <v>0</v>
      </c>
      <c r="AC65" s="105" t="str">
        <f>IF(OR(Table_Perf[[#This Row],[Year]]&lt;2024,Table_Perf[[#This Row],[Year]]&gt;2050,ISERROR(Table_Perf[[#This Row],[LL97 Adjusted Penalty After Measures]])),"",Table_Perf[[#This Row],[LL97 Adjusted Penalty After Measures]])</f>
        <v/>
      </c>
      <c r="AD65" s="102">
        <f>IF(Table_Perf[[#This Row],[Year]]&gt;2050,NA(),_xlfn.AGGREGATE(9,6,Table_Perf[[#This Row],[Measure Cost ($)]],Table_Perf[[#This Row],[Utility Savings ($)]],Table_Perf[[#This Row],[LL97 Penalty Avoided by Measures ($)]]))</f>
        <v>0</v>
      </c>
      <c r="AE65" s="102">
        <f>SUM($AD$48:AD65)</f>
        <v>0</v>
      </c>
      <c r="AF65" s="102">
        <f>IF(Table_Perf[[#This Row],[Year]]&gt;2050,NA(),_xlfn.AGGREGATE(9,6,Table_Perf[[#This Row],[Measure Cost ($)]],Table_Perf[[#This Row],[LL97 Adjusted Penalty After Measures]]))</f>
        <v>0</v>
      </c>
      <c r="AG65" s="106">
        <f>Table_Perf[[#This Row],[Year]]</f>
        <v>17</v>
      </c>
      <c r="AH65" s="99">
        <f>COUNTIFS(Table_ECM[When will the measure installation be complete and operational?],"&lt;="&amp;Table_Perf[[#This Row],[Yr]],Table_ECM[Would you like to Include this measure in the decarbonization pathway?],TRUE)</f>
        <v>0</v>
      </c>
      <c r="AI65" s="99" t="str">
        <f>IF(Table_Perf[[#This Row],[Measure Qty]]=AH64,"",_xlfn.CONCAT(Table_Perf[[#This Row],[Measure Qty]], " Measures Done"))</f>
        <v/>
      </c>
      <c r="AJ65" s="107" t="e">
        <f>IF(Table_Perf[[#This Row],[Measure Label]]="",NA(),Table_Perf[[#This Row],[LL97 Emissions After Measures]])</f>
        <v>#N/A</v>
      </c>
    </row>
    <row r="66" spans="2:55" hidden="1" outlineLevel="1">
      <c r="C66" s="98">
        <v>18</v>
      </c>
      <c r="D66" s="108">
        <f>IF(BaseYr+Table_Perf[[#This Row],['#]]&gt;EndYr,NA(),BaseYr+Table_Perf[[#This Row],['#]])</f>
        <v>18</v>
      </c>
      <c r="E66" s="109" cm="1">
        <f t="array" ref="E66">MAX(0,IF(Table_Perf[[#This Row],[Year]]=BaseYr,IFERROR(Table_UtilityInput[Annual Electricity 
(kWh)]*3.412,0),
(E65-3.412*SUMIFS(Table_ECM[Annual Electricity Savings
(kWh)],Table_ECM[When will the measure installation be complete and operational?],Table_Perf[[#This Row],[Year]],Table_ECM[Would you like to Include this measure in the decarbonization pathway?],TRUE))))</f>
        <v>0</v>
      </c>
      <c r="F66" s="109" cm="1">
        <f t="array" ref="F66">MAX(0,IF(Table_Perf[[#This Row],[Year]]=BaseYr,IFERROR(Table_UtilityInput[Annual Natural Gas  
(therm)]*100,0),
(F65-100*SUMIFS(Table_ECM[Annual Natural Gas Savings
(therm)],Table_ECM[When will the measure installation be complete and operational?],Table_Perf[[#This Row],[Year]],Table_ECM[Would you like to Include this measure in the decarbonization pathway?],TRUE))))</f>
        <v>0</v>
      </c>
      <c r="G66" s="109" cm="1">
        <f t="array" ref="G66">MAX(0,IF(Table_Perf[[#This Row],[Year]]=BaseYr,IFERROR(Table_UtilityInput[Annual Fuel Oil'#2
(Gallon)]*138,0),
(G65-138*SUMIFS(Table_ECM[Annual Fuel Oil'#2 Savings
(Gallon)],Table_ECM[When will the measure installation be complete and operational?],Table_Perf[[#This Row],[Year]],Table_ECM[Would you like to Include this measure in the decarbonization pathway?],TRUE))))</f>
        <v>0</v>
      </c>
      <c r="H66" s="109" cm="1">
        <f t="array" ref="H66">MAX(0,IF(Table_Perf[[#This Row],[Year]]=BaseYr,IFERROR(Table_UtilityInput[Annual District Steam  
(Mlb for ConEd, kLb for others)]*1194,0),
(H65-1194*SUMIFS(Table_ECM[Annual District Steam Savings
(Mlb for ConEd, klb for others)],Table_ECM[When will the measure installation be complete and operational?],Table_Perf[[#This Row],[Year]],Table_ECM[Would you like to Include this measure in the decarbonization pathway?],TRUE))))</f>
        <v>0</v>
      </c>
      <c r="I66" s="109" cm="1">
        <f t="array" ref="I66">MAX(0,IF(Table_Perf[[#This Row],[Year]]=BaseYr,IFERROR(Table_UtilityInput[Annual Other Fuel 1
(kBtu)],0),
(I65-SUMIFS(Table_ECM[Annual Other Fuel 1 Savings
(kBtu)],Table_ECM[When will the measure installation be complete and operational?],Table_Perf[[#This Row],[Year]],Table_ECM[Would you like to Include this measure in the decarbonization pathway?],TRUE))))</f>
        <v>0</v>
      </c>
      <c r="J66" s="110" cm="1">
        <f t="array" ref="J66">MAX(0,IF(Table_Perf[[#This Row],[Year]]=BaseYr,IFERROR(Table_UtilityInput[Annual Other Fuel 2
(kBtu)],0),
(J65-SUMIFS(Table_ECM[Annual Other Fuel 2 Savings
(kBtu)],Table_ECM[When will the measure installation be complete and operational?],Table_Perf[[#This Row],[Year]],Table_ECM[Would you like to Include this measure in the decarbonization pathway?],TRUE))))</f>
        <v>0</v>
      </c>
      <c r="K66" s="101">
        <f>-SUMIFS(Table_ECM[Cost to Install Measures ($)],Table_ECM[When will the measure installation be complete and operational?],Table_Perf[[#This Row],[Year]],Table_ECM[Would you like to Include this measure in the decarbonization pathway?],TRUE)</f>
        <v>0</v>
      </c>
      <c r="L66" s="102" cm="1">
        <f t="array" ref="L66">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66" s="103"/>
      <c r="N66" s="100" t="e" cm="1">
        <f t="array" ref="N66">Table_Perf[[#This Row],[Electricity (kBtu)]]*INDEX(Table_UtilityDecarb[Carbon Intensity (tCO2e/kBtu)],MATCH(N$46&amp;Table_Perf[[#This Row],[Year]],Table_UtilityDecarb[Fuel Type]&amp;Table_UtilityDecarb[Year],0))</f>
        <v>#N/A</v>
      </c>
      <c r="O66" s="100">
        <f>Table_Perf[[#This Row],[Natural Gas (kBtu)]]*INDEX(Table_UtilityDecarb[Carbon Intensity (tCO2e/kBtu)],MATCH(O$46,Table_UtilityDecarb[Fuel Type],0))</f>
        <v>0</v>
      </c>
      <c r="P66" s="100">
        <f>Table_Perf[[#This Row],[Fuel Oil'#2 (kBtu)]]*INDEX(Table_UtilityDecarb[Carbon Intensity (tCO2e/kBtu)],MATCH(P$46,Table_UtilityDecarb[Fuel Type],0))</f>
        <v>0</v>
      </c>
      <c r="Q66" s="100" t="e" cm="1">
        <f t="array" ref="Q66">Table_Perf[[#This Row],[District Steam (kBtu)]]*INDEX(Table_UtilityDecarb[Carbon Intensity (tCO2e/kBtu)],MATCH(Q$46&amp;Table_Perf[[#This Row],[Year]],Table_UtilityDecarb[Fuel Type]&amp;Table_UtilityDecarb[Year],0))</f>
        <v>#N/A</v>
      </c>
      <c r="R66" s="100" cm="1">
        <f t="array" ref="R66">IF(OR(Table_UtilityInput[Annual Other Fuel 1
(kBtu)]="",NOT(ISNUMBER(Table_UtilityInput[Annual Other Fuel 1
(kBtu)]))),0,Table_Perf[[#This Row],[Other Fuel 1 (kBtu)]]*INDEX(Table_UtilityDecarb[Carbon Intensity (tCO2e/kBtu)],MATCH(R$46,Table_UtilityDecarb[Fuel Type],0)))</f>
        <v>0</v>
      </c>
      <c r="S66" s="100" cm="1">
        <f t="array" ref="S66">IF(OR(Table_UtilityInput[Annual Other Fuel 2
(kBtu)]="",NOT(ISNUMBER(Table_UtilityInput[Annual Other Fuel 2
(kBtu)]))),0,Table_Perf[[#This Row],[Other Fuel 2 (kBtu)]]*INDEX(Table_UtilityDecarb[Carbon Intensity (tCO2e/kBtu)],MATCH(S$46,Table_UtilityDecarb[Fuel Type],0)))</f>
        <v>0</v>
      </c>
      <c r="T66" s="100">
        <f>IF(Table_Perf[[#This Row],[Year]]&gt;2050,NA(),_xlfn.AGGREGATE(9,6,Table_Perf[[#This Row],[LL97 Electricity (tCO2e)]:[LL97 Other Fuel 2 (tCO2e)]]))</f>
        <v>0</v>
      </c>
      <c r="U66" s="100" t="e">
        <f>IF(Table_Perf[[#This Row],[Year]]&lt;2035,NA(),INDEX(Table_LimitsCalc_Sample1[Total Limits (tCO2e)],MATCH(Table_Perf[[#This Row],[Year]],Table_LimitsCalc_Sample1[Year],0)))</f>
        <v>#N/A</v>
      </c>
      <c r="V66" s="100" t="e" cm="1">
        <f t="array" ref="V66">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66" s="100" t="e">
        <f>IF(Table_Perf[[#This Row],[LL97 Emissions Limit (tCO2e)]]="",0,MAX(0,Table_Perf[[#This Row],[LL97 Business-As-Usual Emissions]]-Table_Perf[[#This Row],[LL97 Emissions Limit (tCO2e)]]))</f>
        <v>#N/A</v>
      </c>
      <c r="X66" s="100" t="e">
        <f>IF(Table_Perf[[#This Row],[LL97 Emissions Limit (tCO2e)]]="",0,MAX(0,Table_Perf[[#This Row],[LL97 Emissions After Measures]]-Table_Perf[[#This Row],[LL97 Emissions Limit (tCO2e)]]))</f>
        <v>#N/A</v>
      </c>
      <c r="Y66" s="100" t="e">
        <f>Table_Perf[[#This Row],[LL97 Business-As-Usual Emissions]]-Table_Perf[[#This Row],[LL97 Emissions After Measures]]</f>
        <v>#N/A</v>
      </c>
      <c r="Z66" s="102" t="str">
        <f>IF(Table_Perf[[#This Row],[Year]]&lt;2024,"Not in enforcement period",IF(Table_Perf[[#This Row],[LL97 Excess Emissions After Measures]]=0,"Compliant","Not-Compliant"))</f>
        <v>Not in enforcement period</v>
      </c>
      <c r="AA66" s="104">
        <f>IFERROR(-268*Table_Perf[[#This Row],[LL97 Excess Emissions After Measures]],0)</f>
        <v>0</v>
      </c>
      <c r="AB66" s="102">
        <f>IFERROR(268*MIN(Table_Perf[[#This Row],[LL97 BAU Excess Emissions]],Table_Perf[[#This Row],[LL97 Emissions Reduced by Measures]]),0)</f>
        <v>0</v>
      </c>
      <c r="AC66" s="105" t="str">
        <f>IF(OR(Table_Perf[[#This Row],[Year]]&lt;2024,Table_Perf[[#This Row],[Year]]&gt;2050,ISERROR(Table_Perf[[#This Row],[LL97 Adjusted Penalty After Measures]])),"",Table_Perf[[#This Row],[LL97 Adjusted Penalty After Measures]])</f>
        <v/>
      </c>
      <c r="AD66" s="102">
        <f>IF(Table_Perf[[#This Row],[Year]]&gt;2050,NA(),_xlfn.AGGREGATE(9,6,Table_Perf[[#This Row],[Measure Cost ($)]],Table_Perf[[#This Row],[Utility Savings ($)]],Table_Perf[[#This Row],[LL97 Penalty Avoided by Measures ($)]]))</f>
        <v>0</v>
      </c>
      <c r="AE66" s="102">
        <f>SUM($AD$48:AD66)</f>
        <v>0</v>
      </c>
      <c r="AF66" s="102">
        <f>IF(Table_Perf[[#This Row],[Year]]&gt;2050,NA(),_xlfn.AGGREGATE(9,6,Table_Perf[[#This Row],[Measure Cost ($)]],Table_Perf[[#This Row],[LL97 Adjusted Penalty After Measures]]))</f>
        <v>0</v>
      </c>
      <c r="AG66" s="106">
        <f>Table_Perf[[#This Row],[Year]]</f>
        <v>18</v>
      </c>
      <c r="AH66" s="99">
        <f>COUNTIFS(Table_ECM[When will the measure installation be complete and operational?],"&lt;="&amp;Table_Perf[[#This Row],[Yr]],Table_ECM[Would you like to Include this measure in the decarbonization pathway?],TRUE)</f>
        <v>0</v>
      </c>
      <c r="AI66" s="99" t="str">
        <f>IF(Table_Perf[[#This Row],[Measure Qty]]=AH65,"",_xlfn.CONCAT(Table_Perf[[#This Row],[Measure Qty]], " Measures Done"))</f>
        <v/>
      </c>
      <c r="AJ66" s="107" t="e">
        <f>IF(Table_Perf[[#This Row],[Measure Label]]="",NA(),Table_Perf[[#This Row],[LL97 Emissions After Measures]])</f>
        <v>#N/A</v>
      </c>
    </row>
    <row r="67" spans="2:55" hidden="1" outlineLevel="1">
      <c r="C67" s="98">
        <v>19</v>
      </c>
      <c r="D67" s="108">
        <f>IF(BaseYr+Table_Perf[[#This Row],['#]]&gt;EndYr,NA(),BaseYr+Table_Perf[[#This Row],['#]])</f>
        <v>19</v>
      </c>
      <c r="E67" s="109" cm="1">
        <f t="array" ref="E67">MAX(0,IF(Table_Perf[[#This Row],[Year]]=BaseYr,IFERROR(Table_UtilityInput[Annual Electricity 
(kWh)]*3.412,0),
(E66-3.412*SUMIFS(Table_ECM[Annual Electricity Savings
(kWh)],Table_ECM[When will the measure installation be complete and operational?],Table_Perf[[#This Row],[Year]],Table_ECM[Would you like to Include this measure in the decarbonization pathway?],TRUE))))</f>
        <v>0</v>
      </c>
      <c r="F67" s="109" cm="1">
        <f t="array" ref="F67">MAX(0,IF(Table_Perf[[#This Row],[Year]]=BaseYr,IFERROR(Table_UtilityInput[Annual Natural Gas  
(therm)]*100,0),
(F66-100*SUMIFS(Table_ECM[Annual Natural Gas Savings
(therm)],Table_ECM[When will the measure installation be complete and operational?],Table_Perf[[#This Row],[Year]],Table_ECM[Would you like to Include this measure in the decarbonization pathway?],TRUE))))</f>
        <v>0</v>
      </c>
      <c r="G67" s="109" cm="1">
        <f t="array" ref="G67">MAX(0,IF(Table_Perf[[#This Row],[Year]]=BaseYr,IFERROR(Table_UtilityInput[Annual Fuel Oil'#2
(Gallon)]*138,0),
(G66-138*SUMIFS(Table_ECM[Annual Fuel Oil'#2 Savings
(Gallon)],Table_ECM[When will the measure installation be complete and operational?],Table_Perf[[#This Row],[Year]],Table_ECM[Would you like to Include this measure in the decarbonization pathway?],TRUE))))</f>
        <v>0</v>
      </c>
      <c r="H67" s="109" cm="1">
        <f t="array" ref="H67">MAX(0,IF(Table_Perf[[#This Row],[Year]]=BaseYr,IFERROR(Table_UtilityInput[Annual District Steam  
(Mlb for ConEd, kLb for others)]*1194,0),
(H66-1194*SUMIFS(Table_ECM[Annual District Steam Savings
(Mlb for ConEd, klb for others)],Table_ECM[When will the measure installation be complete and operational?],Table_Perf[[#This Row],[Year]],Table_ECM[Would you like to Include this measure in the decarbonization pathway?],TRUE))))</f>
        <v>0</v>
      </c>
      <c r="I67" s="109" cm="1">
        <f t="array" ref="I67">MAX(0,IF(Table_Perf[[#This Row],[Year]]=BaseYr,IFERROR(Table_UtilityInput[Annual Other Fuel 1
(kBtu)],0),
(I66-SUMIFS(Table_ECM[Annual Other Fuel 1 Savings
(kBtu)],Table_ECM[When will the measure installation be complete and operational?],Table_Perf[[#This Row],[Year]],Table_ECM[Would you like to Include this measure in the decarbonization pathway?],TRUE))))</f>
        <v>0</v>
      </c>
      <c r="J67" s="110" cm="1">
        <f t="array" ref="J67">MAX(0,IF(Table_Perf[[#This Row],[Year]]=BaseYr,IFERROR(Table_UtilityInput[Annual Other Fuel 2
(kBtu)],0),
(J66-SUMIFS(Table_ECM[Annual Other Fuel 2 Savings
(kBtu)],Table_ECM[When will the measure installation be complete and operational?],Table_Perf[[#This Row],[Year]],Table_ECM[Would you like to Include this measure in the decarbonization pathway?],TRUE))))</f>
        <v>0</v>
      </c>
      <c r="K67" s="101">
        <f>-SUMIFS(Table_ECM[Cost to Install Measures ($)],Table_ECM[When will the measure installation be complete and operational?],Table_Perf[[#This Row],[Year]],Table_ECM[Would you like to Include this measure in the decarbonization pathway?],TRUE)</f>
        <v>0</v>
      </c>
      <c r="L67" s="102" cm="1">
        <f t="array" ref="L67">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67" s="103"/>
      <c r="N67" s="100" t="e" cm="1">
        <f t="array" ref="N67">Table_Perf[[#This Row],[Electricity (kBtu)]]*INDEX(Table_UtilityDecarb[Carbon Intensity (tCO2e/kBtu)],MATCH(N$46&amp;Table_Perf[[#This Row],[Year]],Table_UtilityDecarb[Fuel Type]&amp;Table_UtilityDecarb[Year],0))</f>
        <v>#N/A</v>
      </c>
      <c r="O67" s="100">
        <f>Table_Perf[[#This Row],[Natural Gas (kBtu)]]*INDEX(Table_UtilityDecarb[Carbon Intensity (tCO2e/kBtu)],MATCH(O$46,Table_UtilityDecarb[Fuel Type],0))</f>
        <v>0</v>
      </c>
      <c r="P67" s="100">
        <f>Table_Perf[[#This Row],[Fuel Oil'#2 (kBtu)]]*INDEX(Table_UtilityDecarb[Carbon Intensity (tCO2e/kBtu)],MATCH(P$46,Table_UtilityDecarb[Fuel Type],0))</f>
        <v>0</v>
      </c>
      <c r="Q67" s="100" t="e" cm="1">
        <f t="array" ref="Q67">Table_Perf[[#This Row],[District Steam (kBtu)]]*INDEX(Table_UtilityDecarb[Carbon Intensity (tCO2e/kBtu)],MATCH(Q$46&amp;Table_Perf[[#This Row],[Year]],Table_UtilityDecarb[Fuel Type]&amp;Table_UtilityDecarb[Year],0))</f>
        <v>#N/A</v>
      </c>
      <c r="R67" s="100" cm="1">
        <f t="array" ref="R67">IF(OR(Table_UtilityInput[Annual Other Fuel 1
(kBtu)]="",NOT(ISNUMBER(Table_UtilityInput[Annual Other Fuel 1
(kBtu)]))),0,Table_Perf[[#This Row],[Other Fuel 1 (kBtu)]]*INDEX(Table_UtilityDecarb[Carbon Intensity (tCO2e/kBtu)],MATCH(R$46,Table_UtilityDecarb[Fuel Type],0)))</f>
        <v>0</v>
      </c>
      <c r="S67" s="100" cm="1">
        <f t="array" ref="S67">IF(OR(Table_UtilityInput[Annual Other Fuel 2
(kBtu)]="",NOT(ISNUMBER(Table_UtilityInput[Annual Other Fuel 2
(kBtu)]))),0,Table_Perf[[#This Row],[Other Fuel 2 (kBtu)]]*INDEX(Table_UtilityDecarb[Carbon Intensity (tCO2e/kBtu)],MATCH(S$46,Table_UtilityDecarb[Fuel Type],0)))</f>
        <v>0</v>
      </c>
      <c r="T67" s="100">
        <f>IF(Table_Perf[[#This Row],[Year]]&gt;2050,NA(),_xlfn.AGGREGATE(9,6,Table_Perf[[#This Row],[LL97 Electricity (tCO2e)]:[LL97 Other Fuel 2 (tCO2e)]]))</f>
        <v>0</v>
      </c>
      <c r="U67" s="100" t="e">
        <f>IF(Table_Perf[[#This Row],[Year]]&lt;2035,NA(),INDEX(Table_LimitsCalc_Sample1[Total Limits (tCO2e)],MATCH(Table_Perf[[#This Row],[Year]],Table_LimitsCalc_Sample1[Year],0)))</f>
        <v>#N/A</v>
      </c>
      <c r="V67" s="100" t="e" cm="1">
        <f t="array" ref="V67">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67" s="100" t="e">
        <f>IF(Table_Perf[[#This Row],[LL97 Emissions Limit (tCO2e)]]="",0,MAX(0,Table_Perf[[#This Row],[LL97 Business-As-Usual Emissions]]-Table_Perf[[#This Row],[LL97 Emissions Limit (tCO2e)]]))</f>
        <v>#N/A</v>
      </c>
      <c r="X67" s="100" t="e">
        <f>IF(Table_Perf[[#This Row],[LL97 Emissions Limit (tCO2e)]]="",0,MAX(0,Table_Perf[[#This Row],[LL97 Emissions After Measures]]-Table_Perf[[#This Row],[LL97 Emissions Limit (tCO2e)]]))</f>
        <v>#N/A</v>
      </c>
      <c r="Y67" s="100" t="e">
        <f>Table_Perf[[#This Row],[LL97 Business-As-Usual Emissions]]-Table_Perf[[#This Row],[LL97 Emissions After Measures]]</f>
        <v>#N/A</v>
      </c>
      <c r="Z67" s="102" t="str">
        <f>IF(Table_Perf[[#This Row],[Year]]&lt;2024,"Not in enforcement period",IF(Table_Perf[[#This Row],[LL97 Excess Emissions After Measures]]=0,"Compliant","Not-Compliant"))</f>
        <v>Not in enforcement period</v>
      </c>
      <c r="AA67" s="104">
        <f>IFERROR(-268*Table_Perf[[#This Row],[LL97 Excess Emissions After Measures]],0)</f>
        <v>0</v>
      </c>
      <c r="AB67" s="102">
        <f>IFERROR(268*MIN(Table_Perf[[#This Row],[LL97 BAU Excess Emissions]],Table_Perf[[#This Row],[LL97 Emissions Reduced by Measures]]),0)</f>
        <v>0</v>
      </c>
      <c r="AC67" s="105" t="str">
        <f>IF(OR(Table_Perf[[#This Row],[Year]]&lt;2024,Table_Perf[[#This Row],[Year]]&gt;2050,ISERROR(Table_Perf[[#This Row],[LL97 Adjusted Penalty After Measures]])),"",Table_Perf[[#This Row],[LL97 Adjusted Penalty After Measures]])</f>
        <v/>
      </c>
      <c r="AD67" s="102">
        <f>IF(Table_Perf[[#This Row],[Year]]&gt;2050,NA(),_xlfn.AGGREGATE(9,6,Table_Perf[[#This Row],[Measure Cost ($)]],Table_Perf[[#This Row],[Utility Savings ($)]],Table_Perf[[#This Row],[LL97 Penalty Avoided by Measures ($)]]))</f>
        <v>0</v>
      </c>
      <c r="AE67" s="102">
        <f>SUM($AD$48:AD67)</f>
        <v>0</v>
      </c>
      <c r="AF67" s="102">
        <f>IF(Table_Perf[[#This Row],[Year]]&gt;2050,NA(),_xlfn.AGGREGATE(9,6,Table_Perf[[#This Row],[Measure Cost ($)]],Table_Perf[[#This Row],[LL97 Adjusted Penalty After Measures]]))</f>
        <v>0</v>
      </c>
      <c r="AG67" s="106">
        <f>Table_Perf[[#This Row],[Year]]</f>
        <v>19</v>
      </c>
      <c r="AH67" s="99">
        <f>COUNTIFS(Table_ECM[When will the measure installation be complete and operational?],"&lt;="&amp;Table_Perf[[#This Row],[Yr]],Table_ECM[Would you like to Include this measure in the decarbonization pathway?],TRUE)</f>
        <v>0</v>
      </c>
      <c r="AI67" s="99" t="str">
        <f>IF(Table_Perf[[#This Row],[Measure Qty]]=AH66,"",_xlfn.CONCAT(Table_Perf[[#This Row],[Measure Qty]], " Measures Done"))</f>
        <v/>
      </c>
      <c r="AJ67" s="107" t="e">
        <f>IF(Table_Perf[[#This Row],[Measure Label]]="",NA(),Table_Perf[[#This Row],[LL97 Emissions After Measures]])</f>
        <v>#N/A</v>
      </c>
    </row>
    <row r="68" spans="2:55" hidden="1" outlineLevel="1">
      <c r="C68" s="98">
        <v>20</v>
      </c>
      <c r="D68" s="108">
        <f>IF(BaseYr+Table_Perf[[#This Row],['#]]&gt;EndYr,NA(),BaseYr+Table_Perf[[#This Row],['#]])</f>
        <v>20</v>
      </c>
      <c r="E68" s="109" cm="1">
        <f t="array" ref="E68">MAX(0,IF(Table_Perf[[#This Row],[Year]]=BaseYr,IFERROR(Table_UtilityInput[Annual Electricity 
(kWh)]*3.412,0),
(E67-3.412*SUMIFS(Table_ECM[Annual Electricity Savings
(kWh)],Table_ECM[When will the measure installation be complete and operational?],Table_Perf[[#This Row],[Year]],Table_ECM[Would you like to Include this measure in the decarbonization pathway?],TRUE))))</f>
        <v>0</v>
      </c>
      <c r="F68" s="109" cm="1">
        <f t="array" ref="F68">MAX(0,IF(Table_Perf[[#This Row],[Year]]=BaseYr,IFERROR(Table_UtilityInput[Annual Natural Gas  
(therm)]*100,0),
(F67-100*SUMIFS(Table_ECM[Annual Natural Gas Savings
(therm)],Table_ECM[When will the measure installation be complete and operational?],Table_Perf[[#This Row],[Year]],Table_ECM[Would you like to Include this measure in the decarbonization pathway?],TRUE))))</f>
        <v>0</v>
      </c>
      <c r="G68" s="109" cm="1">
        <f t="array" ref="G68">MAX(0,IF(Table_Perf[[#This Row],[Year]]=BaseYr,IFERROR(Table_UtilityInput[Annual Fuel Oil'#2
(Gallon)]*138,0),
(G67-138*SUMIFS(Table_ECM[Annual Fuel Oil'#2 Savings
(Gallon)],Table_ECM[When will the measure installation be complete and operational?],Table_Perf[[#This Row],[Year]],Table_ECM[Would you like to Include this measure in the decarbonization pathway?],TRUE))))</f>
        <v>0</v>
      </c>
      <c r="H68" s="109" cm="1">
        <f t="array" ref="H68">MAX(0,IF(Table_Perf[[#This Row],[Year]]=BaseYr,IFERROR(Table_UtilityInput[Annual District Steam  
(Mlb for ConEd, kLb for others)]*1194,0),
(H67-1194*SUMIFS(Table_ECM[Annual District Steam Savings
(Mlb for ConEd, klb for others)],Table_ECM[When will the measure installation be complete and operational?],Table_Perf[[#This Row],[Year]],Table_ECM[Would you like to Include this measure in the decarbonization pathway?],TRUE))))</f>
        <v>0</v>
      </c>
      <c r="I68" s="109" cm="1">
        <f t="array" ref="I68">MAX(0,IF(Table_Perf[[#This Row],[Year]]=BaseYr,IFERROR(Table_UtilityInput[Annual Other Fuel 1
(kBtu)],0),
(I67-SUMIFS(Table_ECM[Annual Other Fuel 1 Savings
(kBtu)],Table_ECM[When will the measure installation be complete and operational?],Table_Perf[[#This Row],[Year]],Table_ECM[Would you like to Include this measure in the decarbonization pathway?],TRUE))))</f>
        <v>0</v>
      </c>
      <c r="J68" s="110" cm="1">
        <f t="array" ref="J68">MAX(0,IF(Table_Perf[[#This Row],[Year]]=BaseYr,IFERROR(Table_UtilityInput[Annual Other Fuel 2
(kBtu)],0),
(J67-SUMIFS(Table_ECM[Annual Other Fuel 2 Savings
(kBtu)],Table_ECM[When will the measure installation be complete and operational?],Table_Perf[[#This Row],[Year]],Table_ECM[Would you like to Include this measure in the decarbonization pathway?],TRUE))))</f>
        <v>0</v>
      </c>
      <c r="K68" s="101">
        <f>-SUMIFS(Table_ECM[Cost to Install Measures ($)],Table_ECM[When will the measure installation be complete and operational?],Table_Perf[[#This Row],[Year]],Table_ECM[Would you like to Include this measure in the decarbonization pathway?],TRUE)</f>
        <v>0</v>
      </c>
      <c r="L68" s="102" cm="1">
        <f t="array" ref="L68">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68" s="103"/>
      <c r="N68" s="100" t="e" cm="1">
        <f t="array" ref="N68">Table_Perf[[#This Row],[Electricity (kBtu)]]*INDEX(Table_UtilityDecarb[Carbon Intensity (tCO2e/kBtu)],MATCH(N$46&amp;Table_Perf[[#This Row],[Year]],Table_UtilityDecarb[Fuel Type]&amp;Table_UtilityDecarb[Year],0))</f>
        <v>#N/A</v>
      </c>
      <c r="O68" s="100">
        <f>Table_Perf[[#This Row],[Natural Gas (kBtu)]]*INDEX(Table_UtilityDecarb[Carbon Intensity (tCO2e/kBtu)],MATCH(O$46,Table_UtilityDecarb[Fuel Type],0))</f>
        <v>0</v>
      </c>
      <c r="P68" s="100">
        <f>Table_Perf[[#This Row],[Fuel Oil'#2 (kBtu)]]*INDEX(Table_UtilityDecarb[Carbon Intensity (tCO2e/kBtu)],MATCH(P$46,Table_UtilityDecarb[Fuel Type],0))</f>
        <v>0</v>
      </c>
      <c r="Q68" s="100" t="e" cm="1">
        <f t="array" ref="Q68">Table_Perf[[#This Row],[District Steam (kBtu)]]*INDEX(Table_UtilityDecarb[Carbon Intensity (tCO2e/kBtu)],MATCH(Q$46&amp;Table_Perf[[#This Row],[Year]],Table_UtilityDecarb[Fuel Type]&amp;Table_UtilityDecarb[Year],0))</f>
        <v>#N/A</v>
      </c>
      <c r="R68" s="100" cm="1">
        <f t="array" ref="R68">IF(OR(Table_UtilityInput[Annual Other Fuel 1
(kBtu)]="",NOT(ISNUMBER(Table_UtilityInput[Annual Other Fuel 1
(kBtu)]))),0,Table_Perf[[#This Row],[Other Fuel 1 (kBtu)]]*INDEX(Table_UtilityDecarb[Carbon Intensity (tCO2e/kBtu)],MATCH(R$46,Table_UtilityDecarb[Fuel Type],0)))</f>
        <v>0</v>
      </c>
      <c r="S68" s="100" cm="1">
        <f t="array" ref="S68">IF(OR(Table_UtilityInput[Annual Other Fuel 2
(kBtu)]="",NOT(ISNUMBER(Table_UtilityInput[Annual Other Fuel 2
(kBtu)]))),0,Table_Perf[[#This Row],[Other Fuel 2 (kBtu)]]*INDEX(Table_UtilityDecarb[Carbon Intensity (tCO2e/kBtu)],MATCH(S$46,Table_UtilityDecarb[Fuel Type],0)))</f>
        <v>0</v>
      </c>
      <c r="T68" s="100">
        <f>IF(Table_Perf[[#This Row],[Year]]&gt;2050,NA(),_xlfn.AGGREGATE(9,6,Table_Perf[[#This Row],[LL97 Electricity (tCO2e)]:[LL97 Other Fuel 2 (tCO2e)]]))</f>
        <v>0</v>
      </c>
      <c r="U68" s="100" t="e">
        <f>IF(Table_Perf[[#This Row],[Year]]&lt;2035,NA(),INDEX(Table_LimitsCalc_Sample1[Total Limits (tCO2e)],MATCH(Table_Perf[[#This Row],[Year]],Table_LimitsCalc_Sample1[Year],0)))</f>
        <v>#N/A</v>
      </c>
      <c r="V68" s="100" t="e" cm="1">
        <f t="array" ref="V68">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68" s="100" t="e">
        <f>IF(Table_Perf[[#This Row],[LL97 Emissions Limit (tCO2e)]]="",0,MAX(0,Table_Perf[[#This Row],[LL97 Business-As-Usual Emissions]]-Table_Perf[[#This Row],[LL97 Emissions Limit (tCO2e)]]))</f>
        <v>#N/A</v>
      </c>
      <c r="X68" s="100" t="e">
        <f>IF(Table_Perf[[#This Row],[LL97 Emissions Limit (tCO2e)]]="",0,MAX(0,Table_Perf[[#This Row],[LL97 Emissions After Measures]]-Table_Perf[[#This Row],[LL97 Emissions Limit (tCO2e)]]))</f>
        <v>#N/A</v>
      </c>
      <c r="Y68" s="100" t="e">
        <f>Table_Perf[[#This Row],[LL97 Business-As-Usual Emissions]]-Table_Perf[[#This Row],[LL97 Emissions After Measures]]</f>
        <v>#N/A</v>
      </c>
      <c r="Z68" s="102" t="str">
        <f>IF(Table_Perf[[#This Row],[Year]]&lt;2024,"Not in enforcement period",IF(Table_Perf[[#This Row],[LL97 Excess Emissions After Measures]]=0,"Compliant","Not-Compliant"))</f>
        <v>Not in enforcement period</v>
      </c>
      <c r="AA68" s="104">
        <f>IFERROR(-268*Table_Perf[[#This Row],[LL97 Excess Emissions After Measures]],0)</f>
        <v>0</v>
      </c>
      <c r="AB68" s="102">
        <f>IFERROR(268*MIN(Table_Perf[[#This Row],[LL97 BAU Excess Emissions]],Table_Perf[[#This Row],[LL97 Emissions Reduced by Measures]]),0)</f>
        <v>0</v>
      </c>
      <c r="AC68" s="105" t="str">
        <f>IF(OR(Table_Perf[[#This Row],[Year]]&lt;2024,Table_Perf[[#This Row],[Year]]&gt;2050,ISERROR(Table_Perf[[#This Row],[LL97 Adjusted Penalty After Measures]])),"",Table_Perf[[#This Row],[LL97 Adjusted Penalty After Measures]])</f>
        <v/>
      </c>
      <c r="AD68" s="102">
        <f>IF(Table_Perf[[#This Row],[Year]]&gt;2050,NA(),_xlfn.AGGREGATE(9,6,Table_Perf[[#This Row],[Measure Cost ($)]],Table_Perf[[#This Row],[Utility Savings ($)]],Table_Perf[[#This Row],[LL97 Penalty Avoided by Measures ($)]]))</f>
        <v>0</v>
      </c>
      <c r="AE68" s="102">
        <f>SUM($AD$48:AD68)</f>
        <v>0</v>
      </c>
      <c r="AF68" s="102">
        <f>IF(Table_Perf[[#This Row],[Year]]&gt;2050,NA(),_xlfn.AGGREGATE(9,6,Table_Perf[[#This Row],[Measure Cost ($)]],Table_Perf[[#This Row],[LL97 Adjusted Penalty After Measures]]))</f>
        <v>0</v>
      </c>
      <c r="AG68" s="106">
        <f>Table_Perf[[#This Row],[Year]]</f>
        <v>20</v>
      </c>
      <c r="AH68" s="99">
        <f>COUNTIFS(Table_ECM[When will the measure installation be complete and operational?],"&lt;="&amp;Table_Perf[[#This Row],[Yr]],Table_ECM[Would you like to Include this measure in the decarbonization pathway?],TRUE)</f>
        <v>0</v>
      </c>
      <c r="AI68" s="99" t="str">
        <f>IF(Table_Perf[[#This Row],[Measure Qty]]=AH67,"",_xlfn.CONCAT(Table_Perf[[#This Row],[Measure Qty]], " Measures Done"))</f>
        <v/>
      </c>
      <c r="AJ68" s="107" t="e">
        <f>IF(Table_Perf[[#This Row],[Measure Label]]="",NA(),Table_Perf[[#This Row],[LL97 Emissions After Measures]])</f>
        <v>#N/A</v>
      </c>
    </row>
    <row r="69" spans="2:55" hidden="1" outlineLevel="1">
      <c r="C69" s="98">
        <v>21</v>
      </c>
      <c r="D69" s="108">
        <f>IF(BaseYr+Table_Perf[[#This Row],['#]]&gt;EndYr,NA(),BaseYr+Table_Perf[[#This Row],['#]])</f>
        <v>21</v>
      </c>
      <c r="E69" s="109" cm="1">
        <f t="array" ref="E69">MAX(0,IF(Table_Perf[[#This Row],[Year]]=BaseYr,IFERROR(Table_UtilityInput[Annual Electricity 
(kWh)]*3.412,0),
(E68-3.412*SUMIFS(Table_ECM[Annual Electricity Savings
(kWh)],Table_ECM[When will the measure installation be complete and operational?],Table_Perf[[#This Row],[Year]],Table_ECM[Would you like to Include this measure in the decarbonization pathway?],TRUE))))</f>
        <v>0</v>
      </c>
      <c r="F69" s="109" cm="1">
        <f t="array" ref="F69">MAX(0,IF(Table_Perf[[#This Row],[Year]]=BaseYr,IFERROR(Table_UtilityInput[Annual Natural Gas  
(therm)]*100,0),
(F68-100*SUMIFS(Table_ECM[Annual Natural Gas Savings
(therm)],Table_ECM[When will the measure installation be complete and operational?],Table_Perf[[#This Row],[Year]],Table_ECM[Would you like to Include this measure in the decarbonization pathway?],TRUE))))</f>
        <v>0</v>
      </c>
      <c r="G69" s="109" cm="1">
        <f t="array" ref="G69">MAX(0,IF(Table_Perf[[#This Row],[Year]]=BaseYr,IFERROR(Table_UtilityInput[Annual Fuel Oil'#2
(Gallon)]*138,0),
(G68-138*SUMIFS(Table_ECM[Annual Fuel Oil'#2 Savings
(Gallon)],Table_ECM[When will the measure installation be complete and operational?],Table_Perf[[#This Row],[Year]],Table_ECM[Would you like to Include this measure in the decarbonization pathway?],TRUE))))</f>
        <v>0</v>
      </c>
      <c r="H69" s="109" cm="1">
        <f t="array" ref="H69">MAX(0,IF(Table_Perf[[#This Row],[Year]]=BaseYr,IFERROR(Table_UtilityInput[Annual District Steam  
(Mlb for ConEd, kLb for others)]*1194,0),
(H68-1194*SUMIFS(Table_ECM[Annual District Steam Savings
(Mlb for ConEd, klb for others)],Table_ECM[When will the measure installation be complete and operational?],Table_Perf[[#This Row],[Year]],Table_ECM[Would you like to Include this measure in the decarbonization pathway?],TRUE))))</f>
        <v>0</v>
      </c>
      <c r="I69" s="109" cm="1">
        <f t="array" ref="I69">MAX(0,IF(Table_Perf[[#This Row],[Year]]=BaseYr,IFERROR(Table_UtilityInput[Annual Other Fuel 1
(kBtu)],0),
(I68-SUMIFS(Table_ECM[Annual Other Fuel 1 Savings
(kBtu)],Table_ECM[When will the measure installation be complete and operational?],Table_Perf[[#This Row],[Year]],Table_ECM[Would you like to Include this measure in the decarbonization pathway?],TRUE))))</f>
        <v>0</v>
      </c>
      <c r="J69" s="110" cm="1">
        <f t="array" ref="J69">MAX(0,IF(Table_Perf[[#This Row],[Year]]=BaseYr,IFERROR(Table_UtilityInput[Annual Other Fuel 2
(kBtu)],0),
(J68-SUMIFS(Table_ECM[Annual Other Fuel 2 Savings
(kBtu)],Table_ECM[When will the measure installation be complete and operational?],Table_Perf[[#This Row],[Year]],Table_ECM[Would you like to Include this measure in the decarbonization pathway?],TRUE))))</f>
        <v>0</v>
      </c>
      <c r="K69" s="101">
        <f>-SUMIFS(Table_ECM[Cost to Install Measures ($)],Table_ECM[When will the measure installation be complete and operational?],Table_Perf[[#This Row],[Year]],Table_ECM[Would you like to Include this measure in the decarbonization pathway?],TRUE)</f>
        <v>0</v>
      </c>
      <c r="L69" s="102" cm="1">
        <f t="array" ref="L69">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69" s="103"/>
      <c r="N69" s="100" t="e" cm="1">
        <f t="array" ref="N69">Table_Perf[[#This Row],[Electricity (kBtu)]]*INDEX(Table_UtilityDecarb[Carbon Intensity (tCO2e/kBtu)],MATCH(N$46&amp;Table_Perf[[#This Row],[Year]],Table_UtilityDecarb[Fuel Type]&amp;Table_UtilityDecarb[Year],0))</f>
        <v>#N/A</v>
      </c>
      <c r="O69" s="100">
        <f>Table_Perf[[#This Row],[Natural Gas (kBtu)]]*INDEX(Table_UtilityDecarb[Carbon Intensity (tCO2e/kBtu)],MATCH(O$46,Table_UtilityDecarb[Fuel Type],0))</f>
        <v>0</v>
      </c>
      <c r="P69" s="100">
        <f>Table_Perf[[#This Row],[Fuel Oil'#2 (kBtu)]]*INDEX(Table_UtilityDecarb[Carbon Intensity (tCO2e/kBtu)],MATCH(P$46,Table_UtilityDecarb[Fuel Type],0))</f>
        <v>0</v>
      </c>
      <c r="Q69" s="100" t="e" cm="1">
        <f t="array" ref="Q69">Table_Perf[[#This Row],[District Steam (kBtu)]]*INDEX(Table_UtilityDecarb[Carbon Intensity (tCO2e/kBtu)],MATCH(Q$46&amp;Table_Perf[[#This Row],[Year]],Table_UtilityDecarb[Fuel Type]&amp;Table_UtilityDecarb[Year],0))</f>
        <v>#N/A</v>
      </c>
      <c r="R69" s="100" cm="1">
        <f t="array" ref="R69">IF(OR(Table_UtilityInput[Annual Other Fuel 1
(kBtu)]="",NOT(ISNUMBER(Table_UtilityInput[Annual Other Fuel 1
(kBtu)]))),0,Table_Perf[[#This Row],[Other Fuel 1 (kBtu)]]*INDEX(Table_UtilityDecarb[Carbon Intensity (tCO2e/kBtu)],MATCH(R$46,Table_UtilityDecarb[Fuel Type],0)))</f>
        <v>0</v>
      </c>
      <c r="S69" s="100" cm="1">
        <f t="array" ref="S69">IF(OR(Table_UtilityInput[Annual Other Fuel 2
(kBtu)]="",NOT(ISNUMBER(Table_UtilityInput[Annual Other Fuel 2
(kBtu)]))),0,Table_Perf[[#This Row],[Other Fuel 2 (kBtu)]]*INDEX(Table_UtilityDecarb[Carbon Intensity (tCO2e/kBtu)],MATCH(S$46,Table_UtilityDecarb[Fuel Type],0)))</f>
        <v>0</v>
      </c>
      <c r="T69" s="100">
        <f>IF(Table_Perf[[#This Row],[Year]]&gt;2050,NA(),_xlfn.AGGREGATE(9,6,Table_Perf[[#This Row],[LL97 Electricity (tCO2e)]:[LL97 Other Fuel 2 (tCO2e)]]))</f>
        <v>0</v>
      </c>
      <c r="U69" s="100" t="e">
        <f>IF(Table_Perf[[#This Row],[Year]]&lt;2035,NA(),INDEX(Table_LimitsCalc_Sample1[Total Limits (tCO2e)],MATCH(Table_Perf[[#This Row],[Year]],Table_LimitsCalc_Sample1[Year],0)))</f>
        <v>#N/A</v>
      </c>
      <c r="V69" s="100" t="e" cm="1">
        <f t="array" ref="V69">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69" s="100" t="e">
        <f>IF(Table_Perf[[#This Row],[LL97 Emissions Limit (tCO2e)]]="",0,MAX(0,Table_Perf[[#This Row],[LL97 Business-As-Usual Emissions]]-Table_Perf[[#This Row],[LL97 Emissions Limit (tCO2e)]]))</f>
        <v>#N/A</v>
      </c>
      <c r="X69" s="100" t="e">
        <f>IF(Table_Perf[[#This Row],[LL97 Emissions Limit (tCO2e)]]="",0,MAX(0,Table_Perf[[#This Row],[LL97 Emissions After Measures]]-Table_Perf[[#This Row],[LL97 Emissions Limit (tCO2e)]]))</f>
        <v>#N/A</v>
      </c>
      <c r="Y69" s="100" t="e">
        <f>Table_Perf[[#This Row],[LL97 Business-As-Usual Emissions]]-Table_Perf[[#This Row],[LL97 Emissions After Measures]]</f>
        <v>#N/A</v>
      </c>
      <c r="Z69" s="102" t="str">
        <f>IF(Table_Perf[[#This Row],[Year]]&lt;2024,"Not in enforcement period",IF(Table_Perf[[#This Row],[LL97 Excess Emissions After Measures]]=0,"Compliant","Not-Compliant"))</f>
        <v>Not in enforcement period</v>
      </c>
      <c r="AA69" s="104">
        <f>IFERROR(-268*Table_Perf[[#This Row],[LL97 Excess Emissions After Measures]],0)</f>
        <v>0</v>
      </c>
      <c r="AB69" s="102">
        <f>IFERROR(268*MIN(Table_Perf[[#This Row],[LL97 BAU Excess Emissions]],Table_Perf[[#This Row],[LL97 Emissions Reduced by Measures]]),0)</f>
        <v>0</v>
      </c>
      <c r="AC69" s="105" t="str">
        <f>IF(OR(Table_Perf[[#This Row],[Year]]&lt;2024,Table_Perf[[#This Row],[Year]]&gt;2050,ISERROR(Table_Perf[[#This Row],[LL97 Adjusted Penalty After Measures]])),"",Table_Perf[[#This Row],[LL97 Adjusted Penalty After Measures]])</f>
        <v/>
      </c>
      <c r="AD69" s="102">
        <f>IF(Table_Perf[[#This Row],[Year]]&gt;2050,NA(),_xlfn.AGGREGATE(9,6,Table_Perf[[#This Row],[Measure Cost ($)]],Table_Perf[[#This Row],[Utility Savings ($)]],Table_Perf[[#This Row],[LL97 Penalty Avoided by Measures ($)]]))</f>
        <v>0</v>
      </c>
      <c r="AE69" s="102">
        <f>SUM($AD$48:AD69)</f>
        <v>0</v>
      </c>
      <c r="AF69" s="102">
        <f>IF(Table_Perf[[#This Row],[Year]]&gt;2050,NA(),_xlfn.AGGREGATE(9,6,Table_Perf[[#This Row],[Measure Cost ($)]],Table_Perf[[#This Row],[LL97 Adjusted Penalty After Measures]]))</f>
        <v>0</v>
      </c>
      <c r="AG69" s="106">
        <f>Table_Perf[[#This Row],[Year]]</f>
        <v>21</v>
      </c>
      <c r="AH69" s="99">
        <f>COUNTIFS(Table_ECM[When will the measure installation be complete and operational?],"&lt;="&amp;Table_Perf[[#This Row],[Yr]],Table_ECM[Would you like to Include this measure in the decarbonization pathway?],TRUE)</f>
        <v>0</v>
      </c>
      <c r="AI69" s="99" t="str">
        <f>IF(Table_Perf[[#This Row],[Measure Qty]]=AH68,"",_xlfn.CONCAT(Table_Perf[[#This Row],[Measure Qty]], " Measures Done"))</f>
        <v/>
      </c>
      <c r="AJ69" s="107" t="e">
        <f>IF(Table_Perf[[#This Row],[Measure Label]]="",NA(),Table_Perf[[#This Row],[LL97 Emissions After Measures]])</f>
        <v>#N/A</v>
      </c>
    </row>
    <row r="70" spans="2:55" hidden="1" outlineLevel="1">
      <c r="C70" s="98">
        <v>22</v>
      </c>
      <c r="D70" s="108">
        <f>IF(BaseYr+Table_Perf[[#This Row],['#]]&gt;EndYr,NA(),BaseYr+Table_Perf[[#This Row],['#]])</f>
        <v>22</v>
      </c>
      <c r="E70" s="109" cm="1">
        <f t="array" ref="E70">MAX(0,IF(Table_Perf[[#This Row],[Year]]=BaseYr,IFERROR(Table_UtilityInput[Annual Electricity 
(kWh)]*3.412,0),
(E69-3.412*SUMIFS(Table_ECM[Annual Electricity Savings
(kWh)],Table_ECM[When will the measure installation be complete and operational?],Table_Perf[[#This Row],[Year]],Table_ECM[Would you like to Include this measure in the decarbonization pathway?],TRUE))))</f>
        <v>0</v>
      </c>
      <c r="F70" s="109" cm="1">
        <f t="array" ref="F70">MAX(0,IF(Table_Perf[[#This Row],[Year]]=BaseYr,IFERROR(Table_UtilityInput[Annual Natural Gas  
(therm)]*100,0),
(F69-100*SUMIFS(Table_ECM[Annual Natural Gas Savings
(therm)],Table_ECM[When will the measure installation be complete and operational?],Table_Perf[[#This Row],[Year]],Table_ECM[Would you like to Include this measure in the decarbonization pathway?],TRUE))))</f>
        <v>0</v>
      </c>
      <c r="G70" s="109" cm="1">
        <f t="array" ref="G70">MAX(0,IF(Table_Perf[[#This Row],[Year]]=BaseYr,IFERROR(Table_UtilityInput[Annual Fuel Oil'#2
(Gallon)]*138,0),
(G69-138*SUMIFS(Table_ECM[Annual Fuel Oil'#2 Savings
(Gallon)],Table_ECM[When will the measure installation be complete and operational?],Table_Perf[[#This Row],[Year]],Table_ECM[Would you like to Include this measure in the decarbonization pathway?],TRUE))))</f>
        <v>0</v>
      </c>
      <c r="H70" s="109" cm="1">
        <f t="array" ref="H70">MAX(0,IF(Table_Perf[[#This Row],[Year]]=BaseYr,IFERROR(Table_UtilityInput[Annual District Steam  
(Mlb for ConEd, kLb for others)]*1194,0),
(H69-1194*SUMIFS(Table_ECM[Annual District Steam Savings
(Mlb for ConEd, klb for others)],Table_ECM[When will the measure installation be complete and operational?],Table_Perf[[#This Row],[Year]],Table_ECM[Would you like to Include this measure in the decarbonization pathway?],TRUE))))</f>
        <v>0</v>
      </c>
      <c r="I70" s="109" cm="1">
        <f t="array" ref="I70">MAX(0,IF(Table_Perf[[#This Row],[Year]]=BaseYr,IFERROR(Table_UtilityInput[Annual Other Fuel 1
(kBtu)],0),
(I69-SUMIFS(Table_ECM[Annual Other Fuel 1 Savings
(kBtu)],Table_ECM[When will the measure installation be complete and operational?],Table_Perf[[#This Row],[Year]],Table_ECM[Would you like to Include this measure in the decarbonization pathway?],TRUE))))</f>
        <v>0</v>
      </c>
      <c r="J70" s="110" cm="1">
        <f t="array" ref="J70">MAX(0,IF(Table_Perf[[#This Row],[Year]]=BaseYr,IFERROR(Table_UtilityInput[Annual Other Fuel 2
(kBtu)],0),
(J69-SUMIFS(Table_ECM[Annual Other Fuel 2 Savings
(kBtu)],Table_ECM[When will the measure installation be complete and operational?],Table_Perf[[#This Row],[Year]],Table_ECM[Would you like to Include this measure in the decarbonization pathway?],TRUE))))</f>
        <v>0</v>
      </c>
      <c r="K70" s="101">
        <f>-SUMIFS(Table_ECM[Cost to Install Measures ($)],Table_ECM[When will the measure installation be complete and operational?],Table_Perf[[#This Row],[Year]],Table_ECM[Would you like to Include this measure in the decarbonization pathway?],TRUE)</f>
        <v>0</v>
      </c>
      <c r="L70" s="102" cm="1">
        <f t="array" ref="L70">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70" s="103"/>
      <c r="N70" s="100" t="e" cm="1">
        <f t="array" ref="N70">Table_Perf[[#This Row],[Electricity (kBtu)]]*INDEX(Table_UtilityDecarb[Carbon Intensity (tCO2e/kBtu)],MATCH(N$46&amp;Table_Perf[[#This Row],[Year]],Table_UtilityDecarb[Fuel Type]&amp;Table_UtilityDecarb[Year],0))</f>
        <v>#N/A</v>
      </c>
      <c r="O70" s="100">
        <f>Table_Perf[[#This Row],[Natural Gas (kBtu)]]*INDEX(Table_UtilityDecarb[Carbon Intensity (tCO2e/kBtu)],MATCH(O$46,Table_UtilityDecarb[Fuel Type],0))</f>
        <v>0</v>
      </c>
      <c r="P70" s="100">
        <f>Table_Perf[[#This Row],[Fuel Oil'#2 (kBtu)]]*INDEX(Table_UtilityDecarb[Carbon Intensity (tCO2e/kBtu)],MATCH(P$46,Table_UtilityDecarb[Fuel Type],0))</f>
        <v>0</v>
      </c>
      <c r="Q70" s="100" t="e" cm="1">
        <f t="array" ref="Q70">Table_Perf[[#This Row],[District Steam (kBtu)]]*INDEX(Table_UtilityDecarb[Carbon Intensity (tCO2e/kBtu)],MATCH(Q$46&amp;Table_Perf[[#This Row],[Year]],Table_UtilityDecarb[Fuel Type]&amp;Table_UtilityDecarb[Year],0))</f>
        <v>#N/A</v>
      </c>
      <c r="R70" s="100" cm="1">
        <f t="array" ref="R70">IF(OR(Table_UtilityInput[Annual Other Fuel 1
(kBtu)]="",NOT(ISNUMBER(Table_UtilityInput[Annual Other Fuel 1
(kBtu)]))),0,Table_Perf[[#This Row],[Other Fuel 1 (kBtu)]]*INDEX(Table_UtilityDecarb[Carbon Intensity (tCO2e/kBtu)],MATCH(R$46,Table_UtilityDecarb[Fuel Type],0)))</f>
        <v>0</v>
      </c>
      <c r="S70" s="100" cm="1">
        <f t="array" ref="S70">IF(OR(Table_UtilityInput[Annual Other Fuel 2
(kBtu)]="",NOT(ISNUMBER(Table_UtilityInput[Annual Other Fuel 2
(kBtu)]))),0,Table_Perf[[#This Row],[Other Fuel 2 (kBtu)]]*INDEX(Table_UtilityDecarb[Carbon Intensity (tCO2e/kBtu)],MATCH(S$46,Table_UtilityDecarb[Fuel Type],0)))</f>
        <v>0</v>
      </c>
      <c r="T70" s="100">
        <f>IF(Table_Perf[[#This Row],[Year]]&gt;2050,NA(),_xlfn.AGGREGATE(9,6,Table_Perf[[#This Row],[LL97 Electricity (tCO2e)]:[LL97 Other Fuel 2 (tCO2e)]]))</f>
        <v>0</v>
      </c>
      <c r="U70" s="100" t="e">
        <f>IF(Table_Perf[[#This Row],[Year]]&lt;2035,NA(),INDEX(Table_LimitsCalc_Sample1[Total Limits (tCO2e)],MATCH(Table_Perf[[#This Row],[Year]],Table_LimitsCalc_Sample1[Year],0)))</f>
        <v>#N/A</v>
      </c>
      <c r="V70" s="100" t="e" cm="1">
        <f t="array" ref="V70">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70" s="100" t="e">
        <f>IF(Table_Perf[[#This Row],[LL97 Emissions Limit (tCO2e)]]="",0,MAX(0,Table_Perf[[#This Row],[LL97 Business-As-Usual Emissions]]-Table_Perf[[#This Row],[LL97 Emissions Limit (tCO2e)]]))</f>
        <v>#N/A</v>
      </c>
      <c r="X70" s="100" t="e">
        <f>IF(Table_Perf[[#This Row],[LL97 Emissions Limit (tCO2e)]]="",0,MAX(0,Table_Perf[[#This Row],[LL97 Emissions After Measures]]-Table_Perf[[#This Row],[LL97 Emissions Limit (tCO2e)]]))</f>
        <v>#N/A</v>
      </c>
      <c r="Y70" s="100" t="e">
        <f>Table_Perf[[#This Row],[LL97 Business-As-Usual Emissions]]-Table_Perf[[#This Row],[LL97 Emissions After Measures]]</f>
        <v>#N/A</v>
      </c>
      <c r="Z70" s="102" t="str">
        <f>IF(Table_Perf[[#This Row],[Year]]&lt;2024,"Not in enforcement period",IF(Table_Perf[[#This Row],[LL97 Excess Emissions After Measures]]=0,"Compliant","Not-Compliant"))</f>
        <v>Not in enforcement period</v>
      </c>
      <c r="AA70" s="104">
        <f>IFERROR(-268*Table_Perf[[#This Row],[LL97 Excess Emissions After Measures]],0)</f>
        <v>0</v>
      </c>
      <c r="AB70" s="102">
        <f>IFERROR(268*MIN(Table_Perf[[#This Row],[LL97 BAU Excess Emissions]],Table_Perf[[#This Row],[LL97 Emissions Reduced by Measures]]),0)</f>
        <v>0</v>
      </c>
      <c r="AC70" s="105" t="str">
        <f>IF(OR(Table_Perf[[#This Row],[Year]]&lt;2024,Table_Perf[[#This Row],[Year]]&gt;2050,ISERROR(Table_Perf[[#This Row],[LL97 Adjusted Penalty After Measures]])),"",Table_Perf[[#This Row],[LL97 Adjusted Penalty After Measures]])</f>
        <v/>
      </c>
      <c r="AD70" s="102">
        <f>IF(Table_Perf[[#This Row],[Year]]&gt;2050,NA(),_xlfn.AGGREGATE(9,6,Table_Perf[[#This Row],[Measure Cost ($)]],Table_Perf[[#This Row],[Utility Savings ($)]],Table_Perf[[#This Row],[LL97 Penalty Avoided by Measures ($)]]))</f>
        <v>0</v>
      </c>
      <c r="AE70" s="102">
        <f>SUM($AD$48:AD70)</f>
        <v>0</v>
      </c>
      <c r="AF70" s="102">
        <f>IF(Table_Perf[[#This Row],[Year]]&gt;2050,NA(),_xlfn.AGGREGATE(9,6,Table_Perf[[#This Row],[Measure Cost ($)]],Table_Perf[[#This Row],[LL97 Adjusted Penalty After Measures]]))</f>
        <v>0</v>
      </c>
      <c r="AG70" s="106">
        <f>Table_Perf[[#This Row],[Year]]</f>
        <v>22</v>
      </c>
      <c r="AH70" s="99">
        <f>COUNTIFS(Table_ECM[When will the measure installation be complete and operational?],"&lt;="&amp;Table_Perf[[#This Row],[Yr]],Table_ECM[Would you like to Include this measure in the decarbonization pathway?],TRUE)</f>
        <v>0</v>
      </c>
      <c r="AI70" s="99" t="str">
        <f>IF(Table_Perf[[#This Row],[Measure Qty]]=AH69,"",_xlfn.CONCAT(Table_Perf[[#This Row],[Measure Qty]], " Measures Done"))</f>
        <v/>
      </c>
      <c r="AJ70" s="107" t="e">
        <f>IF(Table_Perf[[#This Row],[Measure Label]]="",NA(),Table_Perf[[#This Row],[LL97 Emissions After Measures]])</f>
        <v>#N/A</v>
      </c>
    </row>
    <row r="71" spans="2:55" hidden="1" outlineLevel="1">
      <c r="C71" s="98">
        <v>23</v>
      </c>
      <c r="D71" s="108">
        <f>IF(BaseYr+Table_Perf[[#This Row],['#]]&gt;EndYr,NA(),BaseYr+Table_Perf[[#This Row],['#]])</f>
        <v>23</v>
      </c>
      <c r="E71" s="109" cm="1">
        <f t="array" ref="E71">MAX(0,IF(Table_Perf[[#This Row],[Year]]=BaseYr,IFERROR(Table_UtilityInput[Annual Electricity 
(kWh)]*3.412,0),
(E70-3.412*SUMIFS(Table_ECM[Annual Electricity Savings
(kWh)],Table_ECM[When will the measure installation be complete and operational?],Table_Perf[[#This Row],[Year]],Table_ECM[Would you like to Include this measure in the decarbonization pathway?],TRUE))))</f>
        <v>0</v>
      </c>
      <c r="F71" s="109" cm="1">
        <f t="array" ref="F71">MAX(0,IF(Table_Perf[[#This Row],[Year]]=BaseYr,IFERROR(Table_UtilityInput[Annual Natural Gas  
(therm)]*100,0),
(F70-100*SUMIFS(Table_ECM[Annual Natural Gas Savings
(therm)],Table_ECM[When will the measure installation be complete and operational?],Table_Perf[[#This Row],[Year]],Table_ECM[Would you like to Include this measure in the decarbonization pathway?],TRUE))))</f>
        <v>0</v>
      </c>
      <c r="G71" s="109" cm="1">
        <f t="array" ref="G71">MAX(0,IF(Table_Perf[[#This Row],[Year]]=BaseYr,IFERROR(Table_UtilityInput[Annual Fuel Oil'#2
(Gallon)]*138,0),
(G70-138*SUMIFS(Table_ECM[Annual Fuel Oil'#2 Savings
(Gallon)],Table_ECM[When will the measure installation be complete and operational?],Table_Perf[[#This Row],[Year]],Table_ECM[Would you like to Include this measure in the decarbonization pathway?],TRUE))))</f>
        <v>0</v>
      </c>
      <c r="H71" s="109" cm="1">
        <f t="array" ref="H71">MAX(0,IF(Table_Perf[[#This Row],[Year]]=BaseYr,IFERROR(Table_UtilityInput[Annual District Steam  
(Mlb for ConEd, kLb for others)]*1194,0),
(H70-1194*SUMIFS(Table_ECM[Annual District Steam Savings
(Mlb for ConEd, klb for others)],Table_ECM[When will the measure installation be complete and operational?],Table_Perf[[#This Row],[Year]],Table_ECM[Would you like to Include this measure in the decarbonization pathway?],TRUE))))</f>
        <v>0</v>
      </c>
      <c r="I71" s="109" cm="1">
        <f t="array" ref="I71">MAX(0,IF(Table_Perf[[#This Row],[Year]]=BaseYr,IFERROR(Table_UtilityInput[Annual Other Fuel 1
(kBtu)],0),
(I70-SUMIFS(Table_ECM[Annual Other Fuel 1 Savings
(kBtu)],Table_ECM[When will the measure installation be complete and operational?],Table_Perf[[#This Row],[Year]],Table_ECM[Would you like to Include this measure in the decarbonization pathway?],TRUE))))</f>
        <v>0</v>
      </c>
      <c r="J71" s="110" cm="1">
        <f t="array" ref="J71">MAX(0,IF(Table_Perf[[#This Row],[Year]]=BaseYr,IFERROR(Table_UtilityInput[Annual Other Fuel 2
(kBtu)],0),
(J70-SUMIFS(Table_ECM[Annual Other Fuel 2 Savings
(kBtu)],Table_ECM[When will the measure installation be complete and operational?],Table_Perf[[#This Row],[Year]],Table_ECM[Would you like to Include this measure in the decarbonization pathway?],TRUE))))</f>
        <v>0</v>
      </c>
      <c r="K71" s="101">
        <f>-SUMIFS(Table_ECM[Cost to Install Measures ($)],Table_ECM[When will the measure installation be complete and operational?],Table_Perf[[#This Row],[Year]],Table_ECM[Would you like to Include this measure in the decarbonization pathway?],TRUE)</f>
        <v>0</v>
      </c>
      <c r="L71" s="102" cm="1">
        <f t="array" ref="L71">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71" s="103"/>
      <c r="N71" s="100" t="e" cm="1">
        <f t="array" ref="N71">Table_Perf[[#This Row],[Electricity (kBtu)]]*INDEX(Table_UtilityDecarb[Carbon Intensity (tCO2e/kBtu)],MATCH(N$46&amp;Table_Perf[[#This Row],[Year]],Table_UtilityDecarb[Fuel Type]&amp;Table_UtilityDecarb[Year],0))</f>
        <v>#N/A</v>
      </c>
      <c r="O71" s="100">
        <f>Table_Perf[[#This Row],[Natural Gas (kBtu)]]*INDEX(Table_UtilityDecarb[Carbon Intensity (tCO2e/kBtu)],MATCH(O$46,Table_UtilityDecarb[Fuel Type],0))</f>
        <v>0</v>
      </c>
      <c r="P71" s="100">
        <f>Table_Perf[[#This Row],[Fuel Oil'#2 (kBtu)]]*INDEX(Table_UtilityDecarb[Carbon Intensity (tCO2e/kBtu)],MATCH(P$46,Table_UtilityDecarb[Fuel Type],0))</f>
        <v>0</v>
      </c>
      <c r="Q71" s="100" t="e" cm="1">
        <f t="array" ref="Q71">Table_Perf[[#This Row],[District Steam (kBtu)]]*INDEX(Table_UtilityDecarb[Carbon Intensity (tCO2e/kBtu)],MATCH(Q$46&amp;Table_Perf[[#This Row],[Year]],Table_UtilityDecarb[Fuel Type]&amp;Table_UtilityDecarb[Year],0))</f>
        <v>#N/A</v>
      </c>
      <c r="R71" s="100" cm="1">
        <f t="array" ref="R71">IF(OR(Table_UtilityInput[Annual Other Fuel 1
(kBtu)]="",NOT(ISNUMBER(Table_UtilityInput[Annual Other Fuel 1
(kBtu)]))),0,Table_Perf[[#This Row],[Other Fuel 1 (kBtu)]]*INDEX(Table_UtilityDecarb[Carbon Intensity (tCO2e/kBtu)],MATCH(R$46,Table_UtilityDecarb[Fuel Type],0)))</f>
        <v>0</v>
      </c>
      <c r="S71" s="100" cm="1">
        <f t="array" ref="S71">IF(OR(Table_UtilityInput[Annual Other Fuel 2
(kBtu)]="",NOT(ISNUMBER(Table_UtilityInput[Annual Other Fuel 2
(kBtu)]))),0,Table_Perf[[#This Row],[Other Fuel 2 (kBtu)]]*INDEX(Table_UtilityDecarb[Carbon Intensity (tCO2e/kBtu)],MATCH(S$46,Table_UtilityDecarb[Fuel Type],0)))</f>
        <v>0</v>
      </c>
      <c r="T71" s="100">
        <f>IF(Table_Perf[[#This Row],[Year]]&gt;2050,NA(),_xlfn.AGGREGATE(9,6,Table_Perf[[#This Row],[LL97 Electricity (tCO2e)]:[LL97 Other Fuel 2 (tCO2e)]]))</f>
        <v>0</v>
      </c>
      <c r="U71" s="100" t="e">
        <f>IF(Table_Perf[[#This Row],[Year]]&lt;2035,NA(),INDEX(Table_LimitsCalc_Sample1[Total Limits (tCO2e)],MATCH(Table_Perf[[#This Row],[Year]],Table_LimitsCalc_Sample1[Year],0)))</f>
        <v>#N/A</v>
      </c>
      <c r="V71" s="100" t="e" cm="1">
        <f t="array" ref="V71">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71" s="100" t="e">
        <f>IF(Table_Perf[[#This Row],[LL97 Emissions Limit (tCO2e)]]="",0,MAX(0,Table_Perf[[#This Row],[LL97 Business-As-Usual Emissions]]-Table_Perf[[#This Row],[LL97 Emissions Limit (tCO2e)]]))</f>
        <v>#N/A</v>
      </c>
      <c r="X71" s="100" t="e">
        <f>IF(Table_Perf[[#This Row],[LL97 Emissions Limit (tCO2e)]]="",0,MAX(0,Table_Perf[[#This Row],[LL97 Emissions After Measures]]-Table_Perf[[#This Row],[LL97 Emissions Limit (tCO2e)]]))</f>
        <v>#N/A</v>
      </c>
      <c r="Y71" s="100" t="e">
        <f>Table_Perf[[#This Row],[LL97 Business-As-Usual Emissions]]-Table_Perf[[#This Row],[LL97 Emissions After Measures]]</f>
        <v>#N/A</v>
      </c>
      <c r="Z71" s="102" t="str">
        <f>IF(Table_Perf[[#This Row],[Year]]&lt;2024,"Not in enforcement period",IF(Table_Perf[[#This Row],[LL97 Excess Emissions After Measures]]=0,"Compliant","Not-Compliant"))</f>
        <v>Not in enforcement period</v>
      </c>
      <c r="AA71" s="104">
        <f>IFERROR(-268*Table_Perf[[#This Row],[LL97 Excess Emissions After Measures]],0)</f>
        <v>0</v>
      </c>
      <c r="AB71" s="102">
        <f>IFERROR(268*MIN(Table_Perf[[#This Row],[LL97 BAU Excess Emissions]],Table_Perf[[#This Row],[LL97 Emissions Reduced by Measures]]),0)</f>
        <v>0</v>
      </c>
      <c r="AC71" s="105" t="str">
        <f>IF(OR(Table_Perf[[#This Row],[Year]]&lt;2024,Table_Perf[[#This Row],[Year]]&gt;2050,ISERROR(Table_Perf[[#This Row],[LL97 Adjusted Penalty After Measures]])),"",Table_Perf[[#This Row],[LL97 Adjusted Penalty After Measures]])</f>
        <v/>
      </c>
      <c r="AD71" s="102">
        <f>IF(Table_Perf[[#This Row],[Year]]&gt;2050,NA(),_xlfn.AGGREGATE(9,6,Table_Perf[[#This Row],[Measure Cost ($)]],Table_Perf[[#This Row],[Utility Savings ($)]],Table_Perf[[#This Row],[LL97 Penalty Avoided by Measures ($)]]))</f>
        <v>0</v>
      </c>
      <c r="AE71" s="102">
        <f>SUM($AD$48:AD71)</f>
        <v>0</v>
      </c>
      <c r="AF71" s="102">
        <f>IF(Table_Perf[[#This Row],[Year]]&gt;2050,NA(),_xlfn.AGGREGATE(9,6,Table_Perf[[#This Row],[Measure Cost ($)]],Table_Perf[[#This Row],[LL97 Adjusted Penalty After Measures]]))</f>
        <v>0</v>
      </c>
      <c r="AG71" s="106">
        <f>Table_Perf[[#This Row],[Year]]</f>
        <v>23</v>
      </c>
      <c r="AH71" s="99">
        <f>COUNTIFS(Table_ECM[When will the measure installation be complete and operational?],"&lt;="&amp;Table_Perf[[#This Row],[Yr]],Table_ECM[Would you like to Include this measure in the decarbonization pathway?],TRUE)</f>
        <v>0</v>
      </c>
      <c r="AI71" s="99" t="str">
        <f>IF(Table_Perf[[#This Row],[Measure Qty]]=AH70,"",_xlfn.CONCAT(Table_Perf[[#This Row],[Measure Qty]], " Measures Done"))</f>
        <v/>
      </c>
      <c r="AJ71" s="107" t="e">
        <f>IF(Table_Perf[[#This Row],[Measure Label]]="",NA(),Table_Perf[[#This Row],[LL97 Emissions After Measures]])</f>
        <v>#N/A</v>
      </c>
    </row>
    <row r="72" spans="2:55" hidden="1" outlineLevel="1">
      <c r="C72" s="98">
        <v>24</v>
      </c>
      <c r="D72" s="108">
        <f>IF(BaseYr+Table_Perf[[#This Row],['#]]&gt;EndYr,NA(),BaseYr+Table_Perf[[#This Row],['#]])</f>
        <v>24</v>
      </c>
      <c r="E72" s="109" cm="1">
        <f t="array" ref="E72">MAX(0,IF(Table_Perf[[#This Row],[Year]]=BaseYr,IFERROR(Table_UtilityInput[Annual Electricity 
(kWh)]*3.412,0),
(E71-3.412*SUMIFS(Table_ECM[Annual Electricity Savings
(kWh)],Table_ECM[When will the measure installation be complete and operational?],Table_Perf[[#This Row],[Year]],Table_ECM[Would you like to Include this measure in the decarbonization pathway?],TRUE))))</f>
        <v>0</v>
      </c>
      <c r="F72" s="109" cm="1">
        <f t="array" ref="F72">MAX(0,IF(Table_Perf[[#This Row],[Year]]=BaseYr,IFERROR(Table_UtilityInput[Annual Natural Gas  
(therm)]*100,0),
(F71-100*SUMIFS(Table_ECM[Annual Natural Gas Savings
(therm)],Table_ECM[When will the measure installation be complete and operational?],Table_Perf[[#This Row],[Year]],Table_ECM[Would you like to Include this measure in the decarbonization pathway?],TRUE))))</f>
        <v>0</v>
      </c>
      <c r="G72" s="109" cm="1">
        <f t="array" ref="G72">MAX(0,IF(Table_Perf[[#This Row],[Year]]=BaseYr,IFERROR(Table_UtilityInput[Annual Fuel Oil'#2
(Gallon)]*138,0),
(G71-138*SUMIFS(Table_ECM[Annual Fuel Oil'#2 Savings
(Gallon)],Table_ECM[When will the measure installation be complete and operational?],Table_Perf[[#This Row],[Year]],Table_ECM[Would you like to Include this measure in the decarbonization pathway?],TRUE))))</f>
        <v>0</v>
      </c>
      <c r="H72" s="109" cm="1">
        <f t="array" ref="H72">MAX(0,IF(Table_Perf[[#This Row],[Year]]=BaseYr,IFERROR(Table_UtilityInput[Annual District Steam  
(Mlb for ConEd, kLb for others)]*1194,0),
(H71-1194*SUMIFS(Table_ECM[Annual District Steam Savings
(Mlb for ConEd, klb for others)],Table_ECM[When will the measure installation be complete and operational?],Table_Perf[[#This Row],[Year]],Table_ECM[Would you like to Include this measure in the decarbonization pathway?],TRUE))))</f>
        <v>0</v>
      </c>
      <c r="I72" s="109" cm="1">
        <f t="array" ref="I72">MAX(0,IF(Table_Perf[[#This Row],[Year]]=BaseYr,IFERROR(Table_UtilityInput[Annual Other Fuel 1
(kBtu)],0),
(I71-SUMIFS(Table_ECM[Annual Other Fuel 1 Savings
(kBtu)],Table_ECM[When will the measure installation be complete and operational?],Table_Perf[[#This Row],[Year]],Table_ECM[Would you like to Include this measure in the decarbonization pathway?],TRUE))))</f>
        <v>0</v>
      </c>
      <c r="J72" s="110" cm="1">
        <f t="array" ref="J72">MAX(0,IF(Table_Perf[[#This Row],[Year]]=BaseYr,IFERROR(Table_UtilityInput[Annual Other Fuel 2
(kBtu)],0),
(J71-SUMIFS(Table_ECM[Annual Other Fuel 2 Savings
(kBtu)],Table_ECM[When will the measure installation be complete and operational?],Table_Perf[[#This Row],[Year]],Table_ECM[Would you like to Include this measure in the decarbonization pathway?],TRUE))))</f>
        <v>0</v>
      </c>
      <c r="K72" s="101">
        <f>-SUMIFS(Table_ECM[Cost to Install Measures ($)],Table_ECM[When will the measure installation be complete and operational?],Table_Perf[[#This Row],[Year]],Table_ECM[Would you like to Include this measure in the decarbonization pathway?],TRUE)</f>
        <v>0</v>
      </c>
      <c r="L72" s="102" cm="1">
        <f t="array" ref="L72">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72" s="103"/>
      <c r="N72" s="100" t="e" cm="1">
        <f t="array" ref="N72">Table_Perf[[#This Row],[Electricity (kBtu)]]*INDEX(Table_UtilityDecarb[Carbon Intensity (tCO2e/kBtu)],MATCH(N$46&amp;Table_Perf[[#This Row],[Year]],Table_UtilityDecarb[Fuel Type]&amp;Table_UtilityDecarb[Year],0))</f>
        <v>#N/A</v>
      </c>
      <c r="O72" s="100">
        <f>Table_Perf[[#This Row],[Natural Gas (kBtu)]]*INDEX(Table_UtilityDecarb[Carbon Intensity (tCO2e/kBtu)],MATCH(O$46,Table_UtilityDecarb[Fuel Type],0))</f>
        <v>0</v>
      </c>
      <c r="P72" s="100">
        <f>Table_Perf[[#This Row],[Fuel Oil'#2 (kBtu)]]*INDEX(Table_UtilityDecarb[Carbon Intensity (tCO2e/kBtu)],MATCH(P$46,Table_UtilityDecarb[Fuel Type],0))</f>
        <v>0</v>
      </c>
      <c r="Q72" s="100" t="e" cm="1">
        <f t="array" ref="Q72">Table_Perf[[#This Row],[District Steam (kBtu)]]*INDEX(Table_UtilityDecarb[Carbon Intensity (tCO2e/kBtu)],MATCH(Q$46&amp;Table_Perf[[#This Row],[Year]],Table_UtilityDecarb[Fuel Type]&amp;Table_UtilityDecarb[Year],0))</f>
        <v>#N/A</v>
      </c>
      <c r="R72" s="100" cm="1">
        <f t="array" ref="R72">IF(OR(Table_UtilityInput[Annual Other Fuel 1
(kBtu)]="",NOT(ISNUMBER(Table_UtilityInput[Annual Other Fuel 1
(kBtu)]))),0,Table_Perf[[#This Row],[Other Fuel 1 (kBtu)]]*INDEX(Table_UtilityDecarb[Carbon Intensity (tCO2e/kBtu)],MATCH(R$46,Table_UtilityDecarb[Fuel Type],0)))</f>
        <v>0</v>
      </c>
      <c r="S72" s="100" cm="1">
        <f t="array" ref="S72">IF(OR(Table_UtilityInput[Annual Other Fuel 2
(kBtu)]="",NOT(ISNUMBER(Table_UtilityInput[Annual Other Fuel 2
(kBtu)]))),0,Table_Perf[[#This Row],[Other Fuel 2 (kBtu)]]*INDEX(Table_UtilityDecarb[Carbon Intensity (tCO2e/kBtu)],MATCH(S$46,Table_UtilityDecarb[Fuel Type],0)))</f>
        <v>0</v>
      </c>
      <c r="T72" s="100">
        <f>IF(Table_Perf[[#This Row],[Year]]&gt;2050,NA(),_xlfn.AGGREGATE(9,6,Table_Perf[[#This Row],[LL97 Electricity (tCO2e)]:[LL97 Other Fuel 2 (tCO2e)]]))</f>
        <v>0</v>
      </c>
      <c r="U72" s="100" t="e">
        <f>IF(Table_Perf[[#This Row],[Year]]&lt;2035,NA(),INDEX(Table_LimitsCalc_Sample1[Total Limits (tCO2e)],MATCH(Table_Perf[[#This Row],[Year]],Table_LimitsCalc_Sample1[Year],0)))</f>
        <v>#N/A</v>
      </c>
      <c r="V72" s="100" t="e" cm="1">
        <f t="array" ref="V72">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72" s="100" t="e">
        <f>IF(Table_Perf[[#This Row],[LL97 Emissions Limit (tCO2e)]]="",0,MAX(0,Table_Perf[[#This Row],[LL97 Business-As-Usual Emissions]]-Table_Perf[[#This Row],[LL97 Emissions Limit (tCO2e)]]))</f>
        <v>#N/A</v>
      </c>
      <c r="X72" s="100" t="e">
        <f>IF(Table_Perf[[#This Row],[LL97 Emissions Limit (tCO2e)]]="",0,MAX(0,Table_Perf[[#This Row],[LL97 Emissions After Measures]]-Table_Perf[[#This Row],[LL97 Emissions Limit (tCO2e)]]))</f>
        <v>#N/A</v>
      </c>
      <c r="Y72" s="100" t="e">
        <f>Table_Perf[[#This Row],[LL97 Business-As-Usual Emissions]]-Table_Perf[[#This Row],[LL97 Emissions After Measures]]</f>
        <v>#N/A</v>
      </c>
      <c r="Z72" s="102" t="str">
        <f>IF(Table_Perf[[#This Row],[Year]]&lt;2024,"Not in enforcement period",IF(Table_Perf[[#This Row],[LL97 Excess Emissions After Measures]]=0,"Compliant","Not-Compliant"))</f>
        <v>Not in enforcement period</v>
      </c>
      <c r="AA72" s="104">
        <f>IFERROR(-268*Table_Perf[[#This Row],[LL97 Excess Emissions After Measures]],0)</f>
        <v>0</v>
      </c>
      <c r="AB72" s="102">
        <f>IFERROR(268*MIN(Table_Perf[[#This Row],[LL97 BAU Excess Emissions]],Table_Perf[[#This Row],[LL97 Emissions Reduced by Measures]]),0)</f>
        <v>0</v>
      </c>
      <c r="AC72" s="105" t="str">
        <f>IF(OR(Table_Perf[[#This Row],[Year]]&lt;2024,Table_Perf[[#This Row],[Year]]&gt;2050,ISERROR(Table_Perf[[#This Row],[LL97 Adjusted Penalty After Measures]])),"",Table_Perf[[#This Row],[LL97 Adjusted Penalty After Measures]])</f>
        <v/>
      </c>
      <c r="AD72" s="102">
        <f>IF(Table_Perf[[#This Row],[Year]]&gt;2050,NA(),_xlfn.AGGREGATE(9,6,Table_Perf[[#This Row],[Measure Cost ($)]],Table_Perf[[#This Row],[Utility Savings ($)]],Table_Perf[[#This Row],[LL97 Penalty Avoided by Measures ($)]]))</f>
        <v>0</v>
      </c>
      <c r="AE72" s="102">
        <f>SUM($AD$48:AD72)</f>
        <v>0</v>
      </c>
      <c r="AF72" s="102">
        <f>IF(Table_Perf[[#This Row],[Year]]&gt;2050,NA(),_xlfn.AGGREGATE(9,6,Table_Perf[[#This Row],[Measure Cost ($)]],Table_Perf[[#This Row],[LL97 Adjusted Penalty After Measures]]))</f>
        <v>0</v>
      </c>
      <c r="AG72" s="106">
        <f>Table_Perf[[#This Row],[Year]]</f>
        <v>24</v>
      </c>
      <c r="AH72" s="99">
        <f>COUNTIFS(Table_ECM[When will the measure installation be complete and operational?],"&lt;="&amp;Table_Perf[[#This Row],[Yr]],Table_ECM[Would you like to Include this measure in the decarbonization pathway?],TRUE)</f>
        <v>0</v>
      </c>
      <c r="AI72" s="99" t="str">
        <f>IF(Table_Perf[[#This Row],[Measure Qty]]=AH71,"",_xlfn.CONCAT(Table_Perf[[#This Row],[Measure Qty]], " Measures Done"))</f>
        <v/>
      </c>
      <c r="AJ72" s="107" t="e">
        <f>IF(Table_Perf[[#This Row],[Measure Label]]="",NA(),Table_Perf[[#This Row],[LL97 Emissions After Measures]])</f>
        <v>#N/A</v>
      </c>
    </row>
    <row r="73" spans="2:55" hidden="1" outlineLevel="1">
      <c r="C73" s="98">
        <v>25</v>
      </c>
      <c r="D73" s="108">
        <f>IF(BaseYr+Table_Perf[[#This Row],['#]]&gt;EndYr,NA(),BaseYr+Table_Perf[[#This Row],['#]])</f>
        <v>25</v>
      </c>
      <c r="E73" s="109" cm="1">
        <f t="array" ref="E73">MAX(0,IF(Table_Perf[[#This Row],[Year]]=BaseYr,IFERROR(Table_UtilityInput[Annual Electricity 
(kWh)]*3.412,0),
(E72-3.412*SUMIFS(Table_ECM[Annual Electricity Savings
(kWh)],Table_ECM[When will the measure installation be complete and operational?],Table_Perf[[#This Row],[Year]],Table_ECM[Would you like to Include this measure in the decarbonization pathway?],TRUE))))</f>
        <v>0</v>
      </c>
      <c r="F73" s="109" cm="1">
        <f t="array" ref="F73">MAX(0,IF(Table_Perf[[#This Row],[Year]]=BaseYr,IFERROR(Table_UtilityInput[Annual Natural Gas  
(therm)]*100,0),
(F72-100*SUMIFS(Table_ECM[Annual Natural Gas Savings
(therm)],Table_ECM[When will the measure installation be complete and operational?],Table_Perf[[#This Row],[Year]],Table_ECM[Would you like to Include this measure in the decarbonization pathway?],TRUE))))</f>
        <v>0</v>
      </c>
      <c r="G73" s="109" cm="1">
        <f t="array" ref="G73">MAX(0,IF(Table_Perf[[#This Row],[Year]]=BaseYr,IFERROR(Table_UtilityInput[Annual Fuel Oil'#2
(Gallon)]*138,0),
(G72-138*SUMIFS(Table_ECM[Annual Fuel Oil'#2 Savings
(Gallon)],Table_ECM[When will the measure installation be complete and operational?],Table_Perf[[#This Row],[Year]],Table_ECM[Would you like to Include this measure in the decarbonization pathway?],TRUE))))</f>
        <v>0</v>
      </c>
      <c r="H73" s="109" cm="1">
        <f t="array" ref="H73">MAX(0,IF(Table_Perf[[#This Row],[Year]]=BaseYr,IFERROR(Table_UtilityInput[Annual District Steam  
(Mlb for ConEd, kLb for others)]*1194,0),
(H72-1194*SUMIFS(Table_ECM[Annual District Steam Savings
(Mlb for ConEd, klb for others)],Table_ECM[When will the measure installation be complete and operational?],Table_Perf[[#This Row],[Year]],Table_ECM[Would you like to Include this measure in the decarbonization pathway?],TRUE))))</f>
        <v>0</v>
      </c>
      <c r="I73" s="109" cm="1">
        <f t="array" ref="I73">MAX(0,IF(Table_Perf[[#This Row],[Year]]=BaseYr,IFERROR(Table_UtilityInput[Annual Other Fuel 1
(kBtu)],0),
(I72-SUMIFS(Table_ECM[Annual Other Fuel 1 Savings
(kBtu)],Table_ECM[When will the measure installation be complete and operational?],Table_Perf[[#This Row],[Year]],Table_ECM[Would you like to Include this measure in the decarbonization pathway?],TRUE))))</f>
        <v>0</v>
      </c>
      <c r="J73" s="100" cm="1">
        <f t="array" ref="J73">MAX(0,IF(Table_Perf[[#This Row],[Year]]=BaseYr,IFERROR(Table_UtilityInput[Annual Other Fuel 2
(kBtu)],0),
(J72-SUMIFS(Table_ECM[Annual Other Fuel 2 Savings
(kBtu)],Table_ECM[When will the measure installation be complete and operational?],Table_Perf[[#This Row],[Year]],Table_ECM[Would you like to Include this measure in the decarbonization pathway?],TRUE))))</f>
        <v>0</v>
      </c>
      <c r="K73" s="101">
        <f>-SUMIFS(Table_ECM[Cost to Install Measures ($)],Table_ECM[When will the measure installation be complete and operational?],Table_Perf[[#This Row],[Year]],Table_ECM[Would you like to Include this measure in the decarbonization pathway?],TRUE)</f>
        <v>0</v>
      </c>
      <c r="L73" s="102" cm="1">
        <f t="array" ref="L73">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73" s="103"/>
      <c r="N73" s="100" t="e" cm="1">
        <f t="array" ref="N73">Table_Perf[[#This Row],[Electricity (kBtu)]]*INDEX(Table_UtilityDecarb[Carbon Intensity (tCO2e/kBtu)],MATCH(N$46&amp;Table_Perf[[#This Row],[Year]],Table_UtilityDecarb[Fuel Type]&amp;Table_UtilityDecarb[Year],0))</f>
        <v>#N/A</v>
      </c>
      <c r="O73" s="100">
        <f>Table_Perf[[#This Row],[Natural Gas (kBtu)]]*INDEX(Table_UtilityDecarb[Carbon Intensity (tCO2e/kBtu)],MATCH(O$46,Table_UtilityDecarb[Fuel Type],0))</f>
        <v>0</v>
      </c>
      <c r="P73" s="100">
        <f>Table_Perf[[#This Row],[Fuel Oil'#2 (kBtu)]]*INDEX(Table_UtilityDecarb[Carbon Intensity (tCO2e/kBtu)],MATCH(P$46,Table_UtilityDecarb[Fuel Type],0))</f>
        <v>0</v>
      </c>
      <c r="Q73" s="100" t="e" cm="1">
        <f t="array" ref="Q73">Table_Perf[[#This Row],[District Steam (kBtu)]]*INDEX(Table_UtilityDecarb[Carbon Intensity (tCO2e/kBtu)],MATCH(Q$46&amp;Table_Perf[[#This Row],[Year]],Table_UtilityDecarb[Fuel Type]&amp;Table_UtilityDecarb[Year],0))</f>
        <v>#N/A</v>
      </c>
      <c r="R73" s="100" cm="1">
        <f t="array" ref="R73">IF(OR(Table_UtilityInput[Annual Other Fuel 1
(kBtu)]="",NOT(ISNUMBER(Table_UtilityInput[Annual Other Fuel 1
(kBtu)]))),0,Table_Perf[[#This Row],[Other Fuel 1 (kBtu)]]*INDEX(Table_UtilityDecarb[Carbon Intensity (tCO2e/kBtu)],MATCH(R$46,Table_UtilityDecarb[Fuel Type],0)))</f>
        <v>0</v>
      </c>
      <c r="S73" s="100" cm="1">
        <f t="array" ref="S73">IF(OR(Table_UtilityInput[Annual Other Fuel 2
(kBtu)]="",NOT(ISNUMBER(Table_UtilityInput[Annual Other Fuel 2
(kBtu)]))),0,Table_Perf[[#This Row],[Other Fuel 2 (kBtu)]]*INDEX(Table_UtilityDecarb[Carbon Intensity (tCO2e/kBtu)],MATCH(S$46,Table_UtilityDecarb[Fuel Type],0)))</f>
        <v>0</v>
      </c>
      <c r="T73" s="100">
        <f>IF(Table_Perf[[#This Row],[Year]]&gt;2050,NA(),_xlfn.AGGREGATE(9,6,Table_Perf[[#This Row],[LL97 Electricity (tCO2e)]:[LL97 Other Fuel 2 (tCO2e)]]))</f>
        <v>0</v>
      </c>
      <c r="U73" s="100" t="e">
        <f>IF(Table_Perf[[#This Row],[Year]]&lt;2035,NA(),INDEX(Table_LimitsCalc_Sample1[Total Limits (tCO2e)],MATCH(Table_Perf[[#This Row],[Year]],Table_LimitsCalc_Sample1[Year],0)))</f>
        <v>#N/A</v>
      </c>
      <c r="V73" s="100" t="e" cm="1">
        <f t="array" ref="V73">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73" s="100" t="e">
        <f>IF(Table_Perf[[#This Row],[LL97 Emissions Limit (tCO2e)]]="",0,MAX(0,Table_Perf[[#This Row],[LL97 Business-As-Usual Emissions]]-Table_Perf[[#This Row],[LL97 Emissions Limit (tCO2e)]]))</f>
        <v>#N/A</v>
      </c>
      <c r="X73" s="100" t="e">
        <f>IF(Table_Perf[[#This Row],[LL97 Emissions Limit (tCO2e)]]="",0,MAX(0,Table_Perf[[#This Row],[LL97 Emissions After Measures]]-Table_Perf[[#This Row],[LL97 Emissions Limit (tCO2e)]]))</f>
        <v>#N/A</v>
      </c>
      <c r="Y73" s="100" t="e">
        <f>Table_Perf[[#This Row],[LL97 Business-As-Usual Emissions]]-Table_Perf[[#This Row],[LL97 Emissions After Measures]]</f>
        <v>#N/A</v>
      </c>
      <c r="Z73" s="102" t="str">
        <f>IF(Table_Perf[[#This Row],[Year]]&lt;2024,"Not in enforcement period",IF(Table_Perf[[#This Row],[LL97 Excess Emissions After Measures]]=0,"Compliant","Not-Compliant"))</f>
        <v>Not in enforcement period</v>
      </c>
      <c r="AA73" s="104">
        <f>IFERROR(-268*Table_Perf[[#This Row],[LL97 Excess Emissions After Measures]],0)</f>
        <v>0</v>
      </c>
      <c r="AB73" s="102">
        <f>IFERROR(268*MIN(Table_Perf[[#This Row],[LL97 BAU Excess Emissions]],Table_Perf[[#This Row],[LL97 Emissions Reduced by Measures]]),0)</f>
        <v>0</v>
      </c>
      <c r="AC73" s="105" t="str">
        <f>IF(OR(Table_Perf[[#This Row],[Year]]&lt;2024,Table_Perf[[#This Row],[Year]]&gt;2050,ISERROR(Table_Perf[[#This Row],[LL97 Adjusted Penalty After Measures]])),"",Table_Perf[[#This Row],[LL97 Adjusted Penalty After Measures]])</f>
        <v/>
      </c>
      <c r="AD73" s="102">
        <f>IF(Table_Perf[[#This Row],[Year]]&gt;2050,NA(),_xlfn.AGGREGATE(9,6,Table_Perf[[#This Row],[Measure Cost ($)]],Table_Perf[[#This Row],[Utility Savings ($)]],Table_Perf[[#This Row],[LL97 Penalty Avoided by Measures ($)]]))</f>
        <v>0</v>
      </c>
      <c r="AE73" s="102">
        <f>SUM($AD$48:AD73)</f>
        <v>0</v>
      </c>
      <c r="AF73" s="102">
        <f>IF(Table_Perf[[#This Row],[Year]]&gt;2050,NA(),_xlfn.AGGREGATE(9,6,Table_Perf[[#This Row],[Measure Cost ($)]],Table_Perf[[#This Row],[LL97 Adjusted Penalty After Measures]]))</f>
        <v>0</v>
      </c>
      <c r="AG73" s="106">
        <f>Table_Perf[[#This Row],[Year]]</f>
        <v>25</v>
      </c>
      <c r="AH73" s="99">
        <f>COUNTIFS(Table_ECM[When will the measure installation be complete and operational?],"&lt;="&amp;Table_Perf[[#This Row],[Yr]],Table_ECM[Would you like to Include this measure in the decarbonization pathway?],TRUE)</f>
        <v>0</v>
      </c>
      <c r="AI73" s="99" t="str">
        <f>IF(Table_Perf[[#This Row],[Measure Qty]]=AH72,"",_xlfn.CONCAT(Table_Perf[[#This Row],[Measure Qty]], " Measures Done"))</f>
        <v/>
      </c>
      <c r="AJ73" s="107" t="e">
        <f>IF(Table_Perf[[#This Row],[Measure Label]]="",NA(),Table_Perf[[#This Row],[LL97 Emissions After Measures]])</f>
        <v>#N/A</v>
      </c>
    </row>
    <row r="74" spans="2:55" hidden="1" outlineLevel="1">
      <c r="C74" s="98">
        <v>26</v>
      </c>
      <c r="D74" s="108">
        <f>IF(BaseYr+Table_Perf[[#This Row],['#]]&gt;EndYr,NA(),BaseYr+Table_Perf[[#This Row],['#]])</f>
        <v>26</v>
      </c>
      <c r="E74" s="109" cm="1">
        <f t="array" ref="E74">MAX(0,IF(Table_Perf[[#This Row],[Year]]=BaseYr,IFERROR(Table_UtilityInput[Annual Electricity 
(kWh)]*3.412,0),
(E73-3.412*SUMIFS(Table_ECM[Annual Electricity Savings
(kWh)],Table_ECM[When will the measure installation be complete and operational?],Table_Perf[[#This Row],[Year]],Table_ECM[Would you like to Include this measure in the decarbonization pathway?],TRUE))))</f>
        <v>0</v>
      </c>
      <c r="F74" s="109" cm="1">
        <f t="array" ref="F74">MAX(0,IF(Table_Perf[[#This Row],[Year]]=BaseYr,IFERROR(Table_UtilityInput[Annual Natural Gas  
(therm)]*100,0),
(F73-100*SUMIFS(Table_ECM[Annual Natural Gas Savings
(therm)],Table_ECM[When will the measure installation be complete and operational?],Table_Perf[[#This Row],[Year]],Table_ECM[Would you like to Include this measure in the decarbonization pathway?],TRUE))))</f>
        <v>0</v>
      </c>
      <c r="G74" s="109" cm="1">
        <f t="array" ref="G74">MAX(0,IF(Table_Perf[[#This Row],[Year]]=BaseYr,IFERROR(Table_UtilityInput[Annual Fuel Oil'#2
(Gallon)]*138,0),
(G73-138*SUMIFS(Table_ECM[Annual Fuel Oil'#2 Savings
(Gallon)],Table_ECM[When will the measure installation be complete and operational?],Table_Perf[[#This Row],[Year]],Table_ECM[Would you like to Include this measure in the decarbonization pathway?],TRUE))))</f>
        <v>0</v>
      </c>
      <c r="H74" s="109" cm="1">
        <f t="array" ref="H74">MAX(0,IF(Table_Perf[[#This Row],[Year]]=BaseYr,IFERROR(Table_UtilityInput[Annual District Steam  
(Mlb for ConEd, kLb for others)]*1194,0),
(H73-1194*SUMIFS(Table_ECM[Annual District Steam Savings
(Mlb for ConEd, klb for others)],Table_ECM[When will the measure installation be complete and operational?],Table_Perf[[#This Row],[Year]],Table_ECM[Would you like to Include this measure in the decarbonization pathway?],TRUE))))</f>
        <v>0</v>
      </c>
      <c r="I74" s="109" cm="1">
        <f t="array" ref="I74">MAX(0,IF(Table_Perf[[#This Row],[Year]]=BaseYr,IFERROR(Table_UtilityInput[Annual Other Fuel 1
(kBtu)],0),
(I73-SUMIFS(Table_ECM[Annual Other Fuel 1 Savings
(kBtu)],Table_ECM[When will the measure installation be complete and operational?],Table_Perf[[#This Row],[Year]],Table_ECM[Would you like to Include this measure in the decarbonization pathway?],TRUE))))</f>
        <v>0</v>
      </c>
      <c r="J74" s="100" cm="1">
        <f t="array" ref="J74">MAX(0,IF(Table_Perf[[#This Row],[Year]]=BaseYr,IFERROR(Table_UtilityInput[Annual Other Fuel 2
(kBtu)],0),
(J73-SUMIFS(Table_ECM[Annual Other Fuel 2 Savings
(kBtu)],Table_ECM[When will the measure installation be complete and operational?],Table_Perf[[#This Row],[Year]],Table_ECM[Would you like to Include this measure in the decarbonization pathway?],TRUE))))</f>
        <v>0</v>
      </c>
      <c r="K74" s="101">
        <f>-SUMIFS(Table_ECM[Cost to Install Measures ($)],Table_ECM[When will the measure installation be complete and operational?],Table_Perf[[#This Row],[Year]],Table_ECM[Would you like to Include this measure in the decarbonization pathway?],TRUE)</f>
        <v>0</v>
      </c>
      <c r="L74" s="102" cm="1">
        <f t="array" ref="L74">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74" s="103"/>
      <c r="N74" s="100" t="e" cm="1">
        <f t="array" ref="N74">Table_Perf[[#This Row],[Electricity (kBtu)]]*INDEX(Table_UtilityDecarb[Carbon Intensity (tCO2e/kBtu)],MATCH(N$46&amp;Table_Perf[[#This Row],[Year]],Table_UtilityDecarb[Fuel Type]&amp;Table_UtilityDecarb[Year],0))</f>
        <v>#N/A</v>
      </c>
      <c r="O74" s="100">
        <f>Table_Perf[[#This Row],[Natural Gas (kBtu)]]*INDEX(Table_UtilityDecarb[Carbon Intensity (tCO2e/kBtu)],MATCH(O$46,Table_UtilityDecarb[Fuel Type],0))</f>
        <v>0</v>
      </c>
      <c r="P74" s="100">
        <f>Table_Perf[[#This Row],[Fuel Oil'#2 (kBtu)]]*INDEX(Table_UtilityDecarb[Carbon Intensity (tCO2e/kBtu)],MATCH(P$46,Table_UtilityDecarb[Fuel Type],0))</f>
        <v>0</v>
      </c>
      <c r="Q74" s="100" t="e" cm="1">
        <f t="array" ref="Q74">Table_Perf[[#This Row],[District Steam (kBtu)]]*INDEX(Table_UtilityDecarb[Carbon Intensity (tCO2e/kBtu)],MATCH(Q$46&amp;Table_Perf[[#This Row],[Year]],Table_UtilityDecarb[Fuel Type]&amp;Table_UtilityDecarb[Year],0))</f>
        <v>#N/A</v>
      </c>
      <c r="R74" s="100" cm="1">
        <f t="array" ref="R74">IF(OR(Table_UtilityInput[Annual Other Fuel 1
(kBtu)]="",NOT(ISNUMBER(Table_UtilityInput[Annual Other Fuel 1
(kBtu)]))),0,Table_Perf[[#This Row],[Other Fuel 1 (kBtu)]]*INDEX(Table_UtilityDecarb[Carbon Intensity (tCO2e/kBtu)],MATCH(R$46,Table_UtilityDecarb[Fuel Type],0)))</f>
        <v>0</v>
      </c>
      <c r="S74" s="100" cm="1">
        <f t="array" ref="S74">IF(OR(Table_UtilityInput[Annual Other Fuel 2
(kBtu)]="",NOT(ISNUMBER(Table_UtilityInput[Annual Other Fuel 2
(kBtu)]))),0,Table_Perf[[#This Row],[Other Fuel 2 (kBtu)]]*INDEX(Table_UtilityDecarb[Carbon Intensity (tCO2e/kBtu)],MATCH(S$46,Table_UtilityDecarb[Fuel Type],0)))</f>
        <v>0</v>
      </c>
      <c r="T74" s="100">
        <f>IF(Table_Perf[[#This Row],[Year]]&gt;2050,NA(),_xlfn.AGGREGATE(9,6,Table_Perf[[#This Row],[LL97 Electricity (tCO2e)]:[LL97 Other Fuel 2 (tCO2e)]]))</f>
        <v>0</v>
      </c>
      <c r="U74" s="100" t="e">
        <f>IF(Table_Perf[[#This Row],[Year]]&lt;2035,NA(),INDEX(Table_LimitsCalc_Sample1[Total Limits (tCO2e)],MATCH(Table_Perf[[#This Row],[Year]],Table_LimitsCalc_Sample1[Year],0)))</f>
        <v>#N/A</v>
      </c>
      <c r="V74" s="100" t="e" cm="1">
        <f t="array" ref="V74">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74" s="100" t="e">
        <f>IF(Table_Perf[[#This Row],[LL97 Emissions Limit (tCO2e)]]="",0,MAX(0,Table_Perf[[#This Row],[LL97 Business-As-Usual Emissions]]-Table_Perf[[#This Row],[LL97 Emissions Limit (tCO2e)]]))</f>
        <v>#N/A</v>
      </c>
      <c r="X74" s="100" t="e">
        <f>IF(Table_Perf[[#This Row],[LL97 Emissions Limit (tCO2e)]]="",0,MAX(0,Table_Perf[[#This Row],[LL97 Emissions After Measures]]-Table_Perf[[#This Row],[LL97 Emissions Limit (tCO2e)]]))</f>
        <v>#N/A</v>
      </c>
      <c r="Y74" s="100" t="e">
        <f>Table_Perf[[#This Row],[LL97 Business-As-Usual Emissions]]-Table_Perf[[#This Row],[LL97 Emissions After Measures]]</f>
        <v>#N/A</v>
      </c>
      <c r="Z74" s="102" t="str">
        <f>IF(Table_Perf[[#This Row],[Year]]&lt;2024,"Not in enforcement period",IF(Table_Perf[[#This Row],[LL97 Excess Emissions After Measures]]=0,"Compliant","Not-Compliant"))</f>
        <v>Not in enforcement period</v>
      </c>
      <c r="AA74" s="104">
        <f>IFERROR(-268*Table_Perf[[#This Row],[LL97 Excess Emissions After Measures]],0)</f>
        <v>0</v>
      </c>
      <c r="AB74" s="102">
        <f>IFERROR(268*MIN(Table_Perf[[#This Row],[LL97 BAU Excess Emissions]],Table_Perf[[#This Row],[LL97 Emissions Reduced by Measures]]),0)</f>
        <v>0</v>
      </c>
      <c r="AC74" s="105" t="str">
        <f>IF(OR(Table_Perf[[#This Row],[Year]]&lt;2024,Table_Perf[[#This Row],[Year]]&gt;2050,ISERROR(Table_Perf[[#This Row],[LL97 Adjusted Penalty After Measures]])),"",Table_Perf[[#This Row],[LL97 Adjusted Penalty After Measures]])</f>
        <v/>
      </c>
      <c r="AD74" s="102">
        <f>IF(Table_Perf[[#This Row],[Year]]&gt;2050,NA(),_xlfn.AGGREGATE(9,6,Table_Perf[[#This Row],[Measure Cost ($)]],Table_Perf[[#This Row],[Utility Savings ($)]],Table_Perf[[#This Row],[LL97 Penalty Avoided by Measures ($)]]))</f>
        <v>0</v>
      </c>
      <c r="AE74" s="102">
        <f>SUM($AD$48:AD74)</f>
        <v>0</v>
      </c>
      <c r="AF74" s="102">
        <f>IF(Table_Perf[[#This Row],[Year]]&gt;2050,NA(),_xlfn.AGGREGATE(9,6,Table_Perf[[#This Row],[Measure Cost ($)]],Table_Perf[[#This Row],[LL97 Adjusted Penalty After Measures]]))</f>
        <v>0</v>
      </c>
      <c r="AG74" s="106">
        <f>Table_Perf[[#This Row],[Year]]</f>
        <v>26</v>
      </c>
      <c r="AH74" s="99">
        <f>COUNTIFS(Table_ECM[When will the measure installation be complete and operational?],"&lt;="&amp;Table_Perf[[#This Row],[Yr]],Table_ECM[Would you like to Include this measure in the decarbonization pathway?],TRUE)</f>
        <v>0</v>
      </c>
      <c r="AI74" s="99" t="str">
        <f>IF(Table_Perf[[#This Row],[Measure Qty]]=AH73,"",_xlfn.CONCAT(Table_Perf[[#This Row],[Measure Qty]], " Measures Done"))</f>
        <v/>
      </c>
      <c r="AJ74" s="107" t="e">
        <f>IF(Table_Perf[[#This Row],[Measure Label]]="",NA(),Table_Perf[[#This Row],[LL97 Emissions After Measures]])</f>
        <v>#N/A</v>
      </c>
    </row>
    <row r="75" spans="2:55" hidden="1" outlineLevel="1">
      <c r="C75" s="112">
        <v>27</v>
      </c>
      <c r="D75" s="113">
        <f>IF(BaseYr+Table_Perf[[#This Row],['#]]&gt;EndYr,NA(),BaseYr+Table_Perf[[#This Row],['#]])</f>
        <v>27</v>
      </c>
      <c r="E75" s="114" cm="1">
        <f t="array" ref="E75">MAX(0,IF(Table_Perf[[#This Row],[Year]]=BaseYr,IFERROR(Table_UtilityInput[Annual Electricity 
(kWh)]*3.412,0),
(E74-3.412*SUMIFS(Table_ECM[Annual Electricity Savings
(kWh)],Table_ECM[When will the measure installation be complete and operational?],Table_Perf[[#This Row],[Year]],Table_ECM[Would you like to Include this measure in the decarbonization pathway?],TRUE))))</f>
        <v>0</v>
      </c>
      <c r="F75" s="114" cm="1">
        <f t="array" ref="F75">MAX(0,IF(Table_Perf[[#This Row],[Year]]=BaseYr,IFERROR(Table_UtilityInput[Annual Natural Gas  
(therm)]*100,0),
(F74-100*SUMIFS(Table_ECM[Annual Natural Gas Savings
(therm)],Table_ECM[When will the measure installation be complete and operational?],Table_Perf[[#This Row],[Year]],Table_ECM[Would you like to Include this measure in the decarbonization pathway?],TRUE))))</f>
        <v>0</v>
      </c>
      <c r="G75" s="114" cm="1">
        <f t="array" ref="G75">MAX(0,IF(Table_Perf[[#This Row],[Year]]=BaseYr,IFERROR(Table_UtilityInput[Annual Fuel Oil'#2
(Gallon)]*138,0),
(G74-138*SUMIFS(Table_ECM[Annual Fuel Oil'#2 Savings
(Gallon)],Table_ECM[When will the measure installation be complete and operational?],Table_Perf[[#This Row],[Year]],Table_ECM[Would you like to Include this measure in the decarbonization pathway?],TRUE))))</f>
        <v>0</v>
      </c>
      <c r="H75" s="114" cm="1">
        <f t="array" ref="H75">MAX(0,IF(Table_Perf[[#This Row],[Year]]=BaseYr,IFERROR(Table_UtilityInput[Annual District Steam  
(Mlb for ConEd, kLb for others)]*1194,0),
(H74-1194*SUMIFS(Table_ECM[Annual District Steam Savings
(Mlb for ConEd, klb for others)],Table_ECM[When will the measure installation be complete and operational?],Table_Perf[[#This Row],[Year]],Table_ECM[Would you like to Include this measure in the decarbonization pathway?],TRUE))))</f>
        <v>0</v>
      </c>
      <c r="I75" s="114" cm="1">
        <f t="array" ref="I75">MAX(0,IF(Table_Perf[[#This Row],[Year]]=BaseYr,IFERROR(Table_UtilityInput[Annual Other Fuel 1
(kBtu)],0),
(I74-SUMIFS(Table_ECM[Annual Other Fuel 1 Savings
(kBtu)],Table_ECM[When will the measure installation be complete and operational?],Table_Perf[[#This Row],[Year]],Table_ECM[Would you like to Include this measure in the decarbonization pathway?],TRUE))))</f>
        <v>0</v>
      </c>
      <c r="J75" s="115" cm="1">
        <f t="array" ref="J75">MAX(0,IF(Table_Perf[[#This Row],[Year]]=BaseYr,IFERROR(Table_UtilityInput[Annual Other Fuel 2
(kBtu)],0),
(J74-SUMIFS(Table_ECM[Annual Other Fuel 2 Savings
(kBtu)],Table_ECM[When will the measure installation be complete and operational?],Table_Perf[[#This Row],[Year]],Table_ECM[Would you like to Include this measure in the decarbonization pathway?],TRUE))))</f>
        <v>0</v>
      </c>
      <c r="K75" s="116">
        <f>-SUMIFS(Table_ECM[Cost to Install Measures ($)],Table_ECM[When will the measure installation be complete and operational?],Table_Perf[[#This Row],[Year]],Table_ECM[Would you like to Include this measure in the decarbonization pathway?],TRUE)</f>
        <v>0</v>
      </c>
      <c r="L75" s="117" cm="1">
        <f t="array" ref="L75">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75" s="118"/>
      <c r="N75" s="115" t="e" cm="1">
        <f t="array" ref="N75">Table_Perf[[#This Row],[Electricity (kBtu)]]*INDEX(Table_UtilityDecarb[Carbon Intensity (tCO2e/kBtu)],MATCH(N$46&amp;Table_Perf[[#This Row],[Year]],Table_UtilityDecarb[Fuel Type]&amp;Table_UtilityDecarb[Year],0))</f>
        <v>#N/A</v>
      </c>
      <c r="O75" s="115">
        <f>Table_Perf[[#This Row],[Natural Gas (kBtu)]]*INDEX(Table_UtilityDecarb[Carbon Intensity (tCO2e/kBtu)],MATCH(O$46,Table_UtilityDecarb[Fuel Type],0))</f>
        <v>0</v>
      </c>
      <c r="P75" s="115">
        <f>Table_Perf[[#This Row],[Fuel Oil'#2 (kBtu)]]*INDEX(Table_UtilityDecarb[Carbon Intensity (tCO2e/kBtu)],MATCH(P$46,Table_UtilityDecarb[Fuel Type],0))</f>
        <v>0</v>
      </c>
      <c r="Q75" s="115" t="e" cm="1">
        <f t="array" ref="Q75">Table_Perf[[#This Row],[District Steam (kBtu)]]*INDEX(Table_UtilityDecarb[Carbon Intensity (tCO2e/kBtu)],MATCH(Q$46&amp;Table_Perf[[#This Row],[Year]],Table_UtilityDecarb[Fuel Type]&amp;Table_UtilityDecarb[Year],0))</f>
        <v>#N/A</v>
      </c>
      <c r="R75" s="115" cm="1">
        <f t="array" ref="R75">IF(OR(Table_UtilityInput[Annual Other Fuel 1
(kBtu)]="",NOT(ISNUMBER(Table_UtilityInput[Annual Other Fuel 1
(kBtu)]))),0,Table_Perf[[#This Row],[Other Fuel 1 (kBtu)]]*INDEX(Table_UtilityDecarb[Carbon Intensity (tCO2e/kBtu)],MATCH(R$46,Table_UtilityDecarb[Fuel Type],0)))</f>
        <v>0</v>
      </c>
      <c r="S75" s="115" cm="1">
        <f t="array" ref="S75">IF(OR(Table_UtilityInput[Annual Other Fuel 2
(kBtu)]="",NOT(ISNUMBER(Table_UtilityInput[Annual Other Fuel 2
(kBtu)]))),0,Table_Perf[[#This Row],[Other Fuel 2 (kBtu)]]*INDEX(Table_UtilityDecarb[Carbon Intensity (tCO2e/kBtu)],MATCH(S$46,Table_UtilityDecarb[Fuel Type],0)))</f>
        <v>0</v>
      </c>
      <c r="T75" s="115">
        <f>IF(Table_Perf[[#This Row],[Year]]&gt;2050,NA(),_xlfn.AGGREGATE(9,6,Table_Perf[[#This Row],[LL97 Electricity (tCO2e)]:[LL97 Other Fuel 2 (tCO2e)]]))</f>
        <v>0</v>
      </c>
      <c r="U75" s="115" t="e">
        <f>IF(Table_Perf[[#This Row],[Year]]&lt;2035,NA(),INDEX(Table_LimitsCalc_Sample1[Total Limits (tCO2e)],MATCH(Table_Perf[[#This Row],[Year]],Table_LimitsCalc_Sample1[Year],0)))</f>
        <v>#N/A</v>
      </c>
      <c r="V75" s="115" t="e" cm="1">
        <f t="array" ref="V75">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75" s="115" t="e">
        <f>IF(Table_Perf[[#This Row],[LL97 Emissions Limit (tCO2e)]]="",0,MAX(0,Table_Perf[[#This Row],[LL97 Business-As-Usual Emissions]]-Table_Perf[[#This Row],[LL97 Emissions Limit (tCO2e)]]))</f>
        <v>#N/A</v>
      </c>
      <c r="X75" s="115" t="e">
        <f>IF(Table_Perf[[#This Row],[LL97 Emissions Limit (tCO2e)]]="",0,MAX(0,Table_Perf[[#This Row],[LL97 Emissions After Measures]]-Table_Perf[[#This Row],[LL97 Emissions Limit (tCO2e)]]))</f>
        <v>#N/A</v>
      </c>
      <c r="Y75" s="115" t="e">
        <f>Table_Perf[[#This Row],[LL97 Business-As-Usual Emissions]]-Table_Perf[[#This Row],[LL97 Emissions After Measures]]</f>
        <v>#N/A</v>
      </c>
      <c r="Z75" s="117" t="str">
        <f>IF(Table_Perf[[#This Row],[Year]]&lt;2024,"Not in enforcement period",IF(Table_Perf[[#This Row],[LL97 Excess Emissions After Measures]]=0,"Compliant","Not-Compliant"))</f>
        <v>Not in enforcement period</v>
      </c>
      <c r="AA75" s="119">
        <f>IFERROR(-268*Table_Perf[[#This Row],[LL97 Excess Emissions After Measures]],0)</f>
        <v>0</v>
      </c>
      <c r="AB75" s="117">
        <f>IFERROR(268*MIN(Table_Perf[[#This Row],[LL97 BAU Excess Emissions]],Table_Perf[[#This Row],[LL97 Emissions Reduced by Measures]]),0)</f>
        <v>0</v>
      </c>
      <c r="AC75" s="120" t="str">
        <f>IF(OR(Table_Perf[[#This Row],[Year]]&lt;2024,Table_Perf[[#This Row],[Year]]&gt;2050,ISERROR(Table_Perf[[#This Row],[LL97 Adjusted Penalty After Measures]])),"",Table_Perf[[#This Row],[LL97 Adjusted Penalty After Measures]])</f>
        <v/>
      </c>
      <c r="AD75" s="117">
        <f>IF(Table_Perf[[#This Row],[Year]]&gt;2050,NA(),_xlfn.AGGREGATE(9,6,Table_Perf[[#This Row],[Measure Cost ($)]],Table_Perf[[#This Row],[Utility Savings ($)]],Table_Perf[[#This Row],[LL97 Penalty Avoided by Measures ($)]]))</f>
        <v>0</v>
      </c>
      <c r="AE75" s="102">
        <f>SUM($AD$48:AD75)</f>
        <v>0</v>
      </c>
      <c r="AF75" s="117">
        <f>IF(Table_Perf[[#This Row],[Year]]&gt;2050,NA(),_xlfn.AGGREGATE(9,6,Table_Perf[[#This Row],[Measure Cost ($)]],Table_Perf[[#This Row],[LL97 Adjusted Penalty After Measures]]))</f>
        <v>0</v>
      </c>
      <c r="AG75" s="121">
        <f>Table_Perf[[#This Row],[Year]]</f>
        <v>27</v>
      </c>
      <c r="AH75" s="99">
        <f>COUNTIFS(Table_ECM[When will the measure installation be complete and operational?],"&lt;="&amp;Table_Perf[[#This Row],[Yr]],Table_ECM[Would you like to Include this measure in the decarbonization pathway?],TRUE)</f>
        <v>0</v>
      </c>
      <c r="AI75" s="99" t="str">
        <f>IF(Table_Perf[[#This Row],[Measure Qty]]=AH74,"",_xlfn.CONCAT(Table_Perf[[#This Row],[Measure Qty]], " Measures Done"))</f>
        <v/>
      </c>
      <c r="AJ75" s="107" t="e">
        <f>IF(Table_Perf[[#This Row],[Measure Label]]="",NA(),Table_Perf[[#This Row],[LL97 Emissions After Measures]])</f>
        <v>#N/A</v>
      </c>
    </row>
    <row r="76" spans="2:55" hidden="1" outlineLevel="1">
      <c r="C76" s="98">
        <v>28</v>
      </c>
      <c r="D76" s="113">
        <f>IF(BaseYr+Table_Perf[[#This Row],['#]]&gt;EndYr,NA(),BaseYr+Table_Perf[[#This Row],['#]])</f>
        <v>28</v>
      </c>
      <c r="E76" s="100" cm="1">
        <f t="array" ref="E76">MAX(0,IF(Table_Perf[[#This Row],[Year]]=BaseYr,IFERROR(Table_UtilityInput[Annual Electricity 
(kWh)]*3.412,0),
(E75-3.412*SUMIFS(Table_ECM[Annual Electricity Savings
(kWh)],Table_ECM[When will the measure installation be complete and operational?],Table_Perf[[#This Row],[Year]],Table_ECM[Would you like to Include this measure in the decarbonization pathway?],TRUE))))</f>
        <v>0</v>
      </c>
      <c r="F76" s="100" cm="1">
        <f t="array" ref="F76">MAX(0,IF(Table_Perf[[#This Row],[Year]]=BaseYr,IFERROR(Table_UtilityInput[Annual Natural Gas  
(therm)]*100,0),
(F75-100*SUMIFS(Table_ECM[Annual Natural Gas Savings
(therm)],Table_ECM[When will the measure installation be complete and operational?],Table_Perf[[#This Row],[Year]],Table_ECM[Would you like to Include this measure in the decarbonization pathway?],TRUE))))</f>
        <v>0</v>
      </c>
      <c r="G76" s="100" cm="1">
        <f t="array" ref="G76">MAX(0,IF(Table_Perf[[#This Row],[Year]]=BaseYr,IFERROR(Table_UtilityInput[Annual Fuel Oil'#2
(Gallon)]*138,0),
(G75-138*SUMIFS(Table_ECM[Annual Fuel Oil'#2 Savings
(Gallon)],Table_ECM[When will the measure installation be complete and operational?],Table_Perf[[#This Row],[Year]],Table_ECM[Would you like to Include this measure in the decarbonization pathway?],TRUE))))</f>
        <v>0</v>
      </c>
      <c r="H76" s="100" cm="1">
        <f t="array" ref="H76">MAX(0,IF(Table_Perf[[#This Row],[Year]]=BaseYr,IFERROR(Table_UtilityInput[Annual District Steam  
(Mlb for ConEd, kLb for others)]*1194,0),
(H75-1194*SUMIFS(Table_ECM[Annual District Steam Savings
(Mlb for ConEd, klb for others)],Table_ECM[When will the measure installation be complete and operational?],Table_Perf[[#This Row],[Year]],Table_ECM[Would you like to Include this measure in the decarbonization pathway?],TRUE))))</f>
        <v>0</v>
      </c>
      <c r="I76" s="100" cm="1">
        <f t="array" ref="I76">MAX(0,IF(Table_Perf[[#This Row],[Year]]=BaseYr,IFERROR(Table_UtilityInput[Annual Other Fuel 1
(kBtu)],0),
(I75-SUMIFS(Table_ECM[Annual Other Fuel 1 Savings
(kBtu)],Table_ECM[When will the measure installation be complete and operational?],Table_Perf[[#This Row],[Year]],Table_ECM[Would you like to Include this measure in the decarbonization pathway?],TRUE))))</f>
        <v>0</v>
      </c>
      <c r="J76" s="100" cm="1">
        <f t="array" ref="J76">MAX(0,IF(Table_Perf[[#This Row],[Year]]=BaseYr,IFERROR(Table_UtilityInput[Annual Other Fuel 2
(kBtu)],0),
(J75-SUMIFS(Table_ECM[Annual Other Fuel 2 Savings
(kBtu)],Table_ECM[When will the measure installation be complete and operational?],Table_Perf[[#This Row],[Year]],Table_ECM[Would you like to Include this measure in the decarbonization pathway?],TRUE))))</f>
        <v>0</v>
      </c>
      <c r="K76" s="101">
        <f>-SUMIFS(Table_ECM[Cost to Install Measures ($)],Table_ECM[When will the measure installation be complete and operational?],Table_Perf[[#This Row],[Year]],Table_ECM[Would you like to Include this measure in the decarbonization pathway?],TRUE)</f>
        <v>0</v>
      </c>
      <c r="L76" s="102" cm="1">
        <f t="array" ref="L76">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76" s="103"/>
      <c r="N76" s="100" t="e" cm="1">
        <f t="array" ref="N76">Table_Perf[[#This Row],[Electricity (kBtu)]]*INDEX(Table_UtilityDecarb[Carbon Intensity (tCO2e/kBtu)],MATCH(N$46&amp;Table_Perf[[#This Row],[Year]],Table_UtilityDecarb[Fuel Type]&amp;Table_UtilityDecarb[Year],0))</f>
        <v>#N/A</v>
      </c>
      <c r="O76" s="100">
        <f>Table_Perf[[#This Row],[Natural Gas (kBtu)]]*INDEX(Table_UtilityDecarb[Carbon Intensity (tCO2e/kBtu)],MATCH(O$46,Table_UtilityDecarb[Fuel Type],0))</f>
        <v>0</v>
      </c>
      <c r="P76" s="100">
        <f>Table_Perf[[#This Row],[Fuel Oil'#2 (kBtu)]]*INDEX(Table_UtilityDecarb[Carbon Intensity (tCO2e/kBtu)],MATCH(P$46,Table_UtilityDecarb[Fuel Type],0))</f>
        <v>0</v>
      </c>
      <c r="Q76" s="100" t="e" cm="1">
        <f t="array" ref="Q76">Table_Perf[[#This Row],[District Steam (kBtu)]]*INDEX(Table_UtilityDecarb[Carbon Intensity (tCO2e/kBtu)],MATCH(Q$46&amp;Table_Perf[[#This Row],[Year]],Table_UtilityDecarb[Fuel Type]&amp;Table_UtilityDecarb[Year],0))</f>
        <v>#N/A</v>
      </c>
      <c r="R76" s="100" cm="1">
        <f t="array" ref="R76">IF(OR(Table_UtilityInput[Annual Other Fuel 1
(kBtu)]="",NOT(ISNUMBER(Table_UtilityInput[Annual Other Fuel 1
(kBtu)]))),0,Table_Perf[[#This Row],[Other Fuel 1 (kBtu)]]*INDEX(Table_UtilityDecarb[Carbon Intensity (tCO2e/kBtu)],MATCH(R$46,Table_UtilityDecarb[Fuel Type],0)))</f>
        <v>0</v>
      </c>
      <c r="S76" s="100" cm="1">
        <f t="array" ref="S76">IF(OR(Table_UtilityInput[Annual Other Fuel 2
(kBtu)]="",NOT(ISNUMBER(Table_UtilityInput[Annual Other Fuel 2
(kBtu)]))),0,Table_Perf[[#This Row],[Other Fuel 2 (kBtu)]]*INDEX(Table_UtilityDecarb[Carbon Intensity (tCO2e/kBtu)],MATCH(S$46,Table_UtilityDecarb[Fuel Type],0)))</f>
        <v>0</v>
      </c>
      <c r="T76" s="100">
        <f>IF(Table_Perf[[#This Row],[Year]]&gt;2050,NA(),_xlfn.AGGREGATE(9,6,Table_Perf[[#This Row],[LL97 Electricity (tCO2e)]:[LL97 Other Fuel 2 (tCO2e)]]))</f>
        <v>0</v>
      </c>
      <c r="U76" s="100" t="e">
        <f>IF(Table_Perf[[#This Row],[Year]]&lt;2035,NA(),INDEX(Table_LimitsCalc_Sample1[Total Limits (tCO2e)],MATCH(Table_Perf[[#This Row],[Year]],Table_LimitsCalc_Sample1[Year],0)))</f>
        <v>#N/A</v>
      </c>
      <c r="V76" s="100" t="e" cm="1">
        <f t="array" ref="V76">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76" s="100" t="e">
        <f>IF(Table_Perf[[#This Row],[LL97 Emissions Limit (tCO2e)]]="",0,MAX(0,Table_Perf[[#This Row],[LL97 Business-As-Usual Emissions]]-Table_Perf[[#This Row],[LL97 Emissions Limit (tCO2e)]]))</f>
        <v>#N/A</v>
      </c>
      <c r="X76" s="100" t="e">
        <f>IF(Table_Perf[[#This Row],[LL97 Emissions Limit (tCO2e)]]="",0,MAX(0,Table_Perf[[#This Row],[LL97 Emissions After Measures]]-Table_Perf[[#This Row],[LL97 Emissions Limit (tCO2e)]]))</f>
        <v>#N/A</v>
      </c>
      <c r="Y76" s="100" t="e">
        <f>Table_Perf[[#This Row],[LL97 Business-As-Usual Emissions]]-Table_Perf[[#This Row],[LL97 Emissions After Measures]]</f>
        <v>#N/A</v>
      </c>
      <c r="Z76" s="102" t="str">
        <f>IF(Table_Perf[[#This Row],[Year]]&lt;2024,"Not in enforcement period",IF(Table_Perf[[#This Row],[LL97 Excess Emissions After Measures]]=0,"Compliant","Not-Compliant"))</f>
        <v>Not in enforcement period</v>
      </c>
      <c r="AA76" s="104">
        <f>IFERROR(-268*Table_Perf[[#This Row],[LL97 Excess Emissions After Measures]],0)</f>
        <v>0</v>
      </c>
      <c r="AB76" s="102">
        <f>IFERROR(268*MIN(Table_Perf[[#This Row],[LL97 BAU Excess Emissions]],Table_Perf[[#This Row],[LL97 Emissions Reduced by Measures]]),0)</f>
        <v>0</v>
      </c>
      <c r="AC76" s="105" t="str">
        <f>IF(OR(Table_Perf[[#This Row],[Year]]&lt;2024,Table_Perf[[#This Row],[Year]]&gt;2050,ISERROR(Table_Perf[[#This Row],[LL97 Adjusted Penalty After Measures]])),"",Table_Perf[[#This Row],[LL97 Adjusted Penalty After Measures]])</f>
        <v/>
      </c>
      <c r="AD76" s="102">
        <f>IF(Table_Perf[[#This Row],[Year]]&gt;2050,NA(),_xlfn.AGGREGATE(9,6,Table_Perf[[#This Row],[Measure Cost ($)]],Table_Perf[[#This Row],[Utility Savings ($)]],Table_Perf[[#This Row],[LL97 Penalty Avoided by Measures ($)]]))</f>
        <v>0</v>
      </c>
      <c r="AE76" s="102">
        <f>SUM($AD$48:AD76)</f>
        <v>0</v>
      </c>
      <c r="AF76" s="102">
        <f>IF(Table_Perf[[#This Row],[Year]]&gt;2050,NA(),_xlfn.AGGREGATE(9,6,Table_Perf[[#This Row],[Measure Cost ($)]],Table_Perf[[#This Row],[LL97 Adjusted Penalty After Measures]]))</f>
        <v>0</v>
      </c>
      <c r="AG76" s="106">
        <f>Table_Perf[[#This Row],[Year]]</f>
        <v>28</v>
      </c>
      <c r="AH76" s="99">
        <f>COUNTIFS(Table_ECM[When will the measure installation be complete and operational?],"&lt;="&amp;Table_Perf[[#This Row],[Yr]],Table_ECM[Would you like to Include this measure in the decarbonization pathway?],TRUE)</f>
        <v>0</v>
      </c>
      <c r="AI76" s="99" t="str">
        <f>IF(Table_Perf[[#This Row],[Measure Qty]]=AH75,"",_xlfn.CONCAT(Table_Perf[[#This Row],[Measure Qty]], " Measures Done"))</f>
        <v/>
      </c>
      <c r="AJ76" s="107" t="e">
        <f>IF(Table_Perf[[#This Row],[Measure Label]]="",NA(),Table_Perf[[#This Row],[LL97 Emissions After Measures]])</f>
        <v>#N/A</v>
      </c>
    </row>
    <row r="77" spans="2:55" hidden="1" outlineLevel="1">
      <c r="C77" s="98">
        <v>29</v>
      </c>
      <c r="D77" s="122">
        <f>IF(BaseYr+Table_Perf[[#This Row],['#]]&gt;EndYr,NA(),BaseYr+Table_Perf[[#This Row],['#]])</f>
        <v>29</v>
      </c>
      <c r="E77" s="100" cm="1">
        <f t="array" ref="E77">MAX(0,IF(Table_Perf[[#This Row],[Year]]=BaseYr,IFERROR(Table_UtilityInput[Annual Electricity 
(kWh)]*3.412,0),
(E76-3.412*SUMIFS(Table_ECM[Annual Electricity Savings
(kWh)],Table_ECM[When will the measure installation be complete and operational?],Table_Perf[[#This Row],[Year]],Table_ECM[Would you like to Include this measure in the decarbonization pathway?],TRUE))))</f>
        <v>0</v>
      </c>
      <c r="F77" s="100" cm="1">
        <f t="array" ref="F77">MAX(0,IF(Table_Perf[[#This Row],[Year]]=BaseYr,IFERROR(Table_UtilityInput[Annual Natural Gas  
(therm)]*100,0),
(F76-100*SUMIFS(Table_ECM[Annual Natural Gas Savings
(therm)],Table_ECM[When will the measure installation be complete and operational?],Table_Perf[[#This Row],[Year]],Table_ECM[Would you like to Include this measure in the decarbonization pathway?],TRUE))))</f>
        <v>0</v>
      </c>
      <c r="G77" s="100" cm="1">
        <f t="array" ref="G77">MAX(0,IF(Table_Perf[[#This Row],[Year]]=BaseYr,IFERROR(Table_UtilityInput[Annual Fuel Oil'#2
(Gallon)]*138,0),
(G76-138*SUMIFS(Table_ECM[Annual Fuel Oil'#2 Savings
(Gallon)],Table_ECM[When will the measure installation be complete and operational?],Table_Perf[[#This Row],[Year]],Table_ECM[Would you like to Include this measure in the decarbonization pathway?],TRUE))))</f>
        <v>0</v>
      </c>
      <c r="H77" s="100" cm="1">
        <f t="array" ref="H77">MAX(0,IF(Table_Perf[[#This Row],[Year]]=BaseYr,IFERROR(Table_UtilityInput[Annual District Steam  
(Mlb for ConEd, kLb for others)]*1194,0),
(H76-1194*SUMIFS(Table_ECM[Annual District Steam Savings
(Mlb for ConEd, klb for others)],Table_ECM[When will the measure installation be complete and operational?],Table_Perf[[#This Row],[Year]],Table_ECM[Would you like to Include this measure in the decarbonization pathway?],TRUE))))</f>
        <v>0</v>
      </c>
      <c r="I77" s="100" cm="1">
        <f t="array" ref="I77">MAX(0,IF(Table_Perf[[#This Row],[Year]]=BaseYr,IFERROR(Table_UtilityInput[Annual Other Fuel 1
(kBtu)],0),
(I76-SUMIFS(Table_ECM[Annual Other Fuel 1 Savings
(kBtu)],Table_ECM[When will the measure installation be complete and operational?],Table_Perf[[#This Row],[Year]],Table_ECM[Would you like to Include this measure in the decarbonization pathway?],TRUE))))</f>
        <v>0</v>
      </c>
      <c r="J77" s="100" cm="1">
        <f t="array" ref="J77">MAX(0,IF(Table_Perf[[#This Row],[Year]]=BaseYr,IFERROR(Table_UtilityInput[Annual Other Fuel 2
(kBtu)],0),
(J76-SUMIFS(Table_ECM[Annual Other Fuel 2 Savings
(kBtu)],Table_ECM[When will the measure installation be complete and operational?],Table_Perf[[#This Row],[Year]],Table_ECM[Would you like to Include this measure in the decarbonization pathway?],TRUE))))</f>
        <v>0</v>
      </c>
      <c r="K77" s="101">
        <f>-SUMIFS(Table_ECM[Cost to Install Measures ($)],Table_ECM[When will the measure installation be complete and operational?],Table_Perf[[#This Row],[Year]],Table_ECM[Would you like to Include this measure in the decarbonization pathway?],TRUE)</f>
        <v>0</v>
      </c>
      <c r="L77" s="102" cm="1">
        <f t="array" ref="L77">SUMIFS(Table_ECM[Total Annual Utility Savings from Audit (for reference )
($)],Table_ECM[When will the measure installation be complete and operational?],"&lt;="&amp;Table_Perf[[#This Row],[Year]],Table_ECM[Would you like to Include this measure in the decarbonization pathway?],TRUE,Table_ECM[When will the measure installation be complete and operational?],"&gt;="&amp;Table_UtilityInput[Usage Year])</f>
        <v>0</v>
      </c>
      <c r="M77" s="103"/>
      <c r="N77" s="100" t="e" cm="1">
        <f t="array" ref="N77">Table_Perf[[#This Row],[Electricity (kBtu)]]*INDEX(Table_UtilityDecarb[Carbon Intensity (tCO2e/kBtu)],MATCH(N$46&amp;Table_Perf[[#This Row],[Year]],Table_UtilityDecarb[Fuel Type]&amp;Table_UtilityDecarb[Year],0))</f>
        <v>#N/A</v>
      </c>
      <c r="O77" s="100">
        <f>Table_Perf[[#This Row],[Natural Gas (kBtu)]]*INDEX(Table_UtilityDecarb[Carbon Intensity (tCO2e/kBtu)],MATCH(O$46,Table_UtilityDecarb[Fuel Type],0))</f>
        <v>0</v>
      </c>
      <c r="P77" s="100">
        <f>Table_Perf[[#This Row],[Fuel Oil'#2 (kBtu)]]*INDEX(Table_UtilityDecarb[Carbon Intensity (tCO2e/kBtu)],MATCH(P$46,Table_UtilityDecarb[Fuel Type],0))</f>
        <v>0</v>
      </c>
      <c r="Q77" s="100" t="e" cm="1">
        <f t="array" ref="Q77">Table_Perf[[#This Row],[District Steam (kBtu)]]*INDEX(Table_UtilityDecarb[Carbon Intensity (tCO2e/kBtu)],MATCH(Q$46&amp;Table_Perf[[#This Row],[Year]],Table_UtilityDecarb[Fuel Type]&amp;Table_UtilityDecarb[Year],0))</f>
        <v>#N/A</v>
      </c>
      <c r="R77" s="100" cm="1">
        <f t="array" ref="R77">IF(OR(Table_UtilityInput[Annual Other Fuel 1
(kBtu)]="",NOT(ISNUMBER(Table_UtilityInput[Annual Other Fuel 1
(kBtu)]))),0,Table_Perf[[#This Row],[Other Fuel 1 (kBtu)]]*INDEX(Table_UtilityDecarb[Carbon Intensity (tCO2e/kBtu)],MATCH(R$46,Table_UtilityDecarb[Fuel Type],0)))</f>
        <v>0</v>
      </c>
      <c r="S77" s="100" cm="1">
        <f t="array" ref="S77">IF(OR(Table_UtilityInput[Annual Other Fuel 2
(kBtu)]="",NOT(ISNUMBER(Table_UtilityInput[Annual Other Fuel 2
(kBtu)]))),0,Table_Perf[[#This Row],[Other Fuel 2 (kBtu)]]*INDEX(Table_UtilityDecarb[Carbon Intensity (tCO2e/kBtu)],MATCH(S$46,Table_UtilityDecarb[Fuel Type],0)))</f>
        <v>0</v>
      </c>
      <c r="T77" s="100">
        <f>IF(Table_Perf[[#This Row],[Year]]&gt;2050,NA(),_xlfn.AGGREGATE(9,6,Table_Perf[[#This Row],[LL97 Electricity (tCO2e)]:[LL97 Other Fuel 2 (tCO2e)]]))</f>
        <v>0</v>
      </c>
      <c r="U77" s="100" t="e">
        <f>IF(Table_Perf[[#This Row],[Year]]&lt;2035,NA(),INDEX(Table_LimitsCalc_Sample1[Total Limits (tCO2e)],MATCH(Table_Perf[[#This Row],[Year]],Table_LimitsCalc_Sample1[Year],0)))</f>
        <v>#N/A</v>
      </c>
      <c r="V77" s="100" t="e" cm="1">
        <f t="array" ref="V77">Table_UtilityInput[Annual Electricity 
(kWh)]*3.412*INDEX(Table_UtilityDecarb[Carbon Intensity (tCO2e/kBtu)],MATCH("Electricity"&amp;Table_Perf[[#This Row],[Year]],Table_UtilityDecarb[Fuel Type]&amp;Table_UtilityDecarb[Year],0))+
Table_UtilityInput[Annual Natural Gas  
(therm)]*100*INDEX(Table_UtilityDecarb[Carbon Intensity (tCO2e/kBtu)],MATCH("Natural Gas",Table_UtilityDecarb[Fuel Type],0))+
Table_UtilityInput[Annual District Steam  
(Mlb for ConEd, kLb for others)]*1194*INDEX(Table_UtilityDecarb[Carbon Intensity (tCO2e/kBtu)],MATCH("District Steam"&amp;Table_Perf[[#This Row],[Year]],Table_UtilityDecarb[Fuel Type]&amp;Table_UtilityDecarb[Year],0))+
Table_UtilityInput[Annual Fuel Oil'#2
(Gallon)]*138*INDEX(Table_UtilityDecarb[Carbon Intensity (tCO2e/kBtu)],MATCH("Fuel Oil #2",Table_UtilityDecarb[Fuel Type],0))+
IF(ISNUMBER(Table_UtilityInput[Annual Other Fuel 1
(kBtu)]),Table_UtilityInput[Annual Other Fuel 1
(kBtu)]*INDEX(Table_UtilityDecarb[Carbon Intensity (tCO2e/kBtu)],MATCH($L$8,Table_UtilityDecarb[Fuel Type],0)),0)+
IF(ISNUMBER(Table_UtilityInput[Annual Other Fuel 2
(kBtu)]),Table_UtilityInput[Annual Other Fuel 2
(kBtu)]*INDEX(Table_UtilityDecarb[Carbon Intensity (tCO2e/kBtu)],MATCH($M$8,Table_UtilityDecarb[Fuel Type],0)),0)</f>
        <v>#N/A</v>
      </c>
      <c r="W77" s="100" t="e">
        <f>IF(Table_Perf[[#This Row],[LL97 Emissions Limit (tCO2e)]]="",0,MAX(0,Table_Perf[[#This Row],[LL97 Business-As-Usual Emissions]]-Table_Perf[[#This Row],[LL97 Emissions Limit (tCO2e)]]))</f>
        <v>#N/A</v>
      </c>
      <c r="X77" s="100" t="e">
        <f>IF(Table_Perf[[#This Row],[LL97 Emissions Limit (tCO2e)]]="",0,MAX(0,Table_Perf[[#This Row],[LL97 Emissions After Measures]]-Table_Perf[[#This Row],[LL97 Emissions Limit (tCO2e)]]))</f>
        <v>#N/A</v>
      </c>
      <c r="Y77" s="100" t="e">
        <f>Table_Perf[[#This Row],[LL97 Business-As-Usual Emissions]]-Table_Perf[[#This Row],[LL97 Emissions After Measures]]</f>
        <v>#N/A</v>
      </c>
      <c r="Z77" s="102" t="str">
        <f>IF(Table_Perf[[#This Row],[Year]]&lt;2024,"Not in enforcement period",IF(Table_Perf[[#This Row],[LL97 Excess Emissions After Measures]]=0,"Compliant","Not-Compliant"))</f>
        <v>Not in enforcement period</v>
      </c>
      <c r="AA77" s="104">
        <f>IFERROR(-268*Table_Perf[[#This Row],[LL97 Excess Emissions After Measures]],0)</f>
        <v>0</v>
      </c>
      <c r="AB77" s="102">
        <f>IFERROR(268*MIN(Table_Perf[[#This Row],[LL97 BAU Excess Emissions]],Table_Perf[[#This Row],[LL97 Emissions Reduced by Measures]]),0)</f>
        <v>0</v>
      </c>
      <c r="AC77" s="105" t="str">
        <f>IF(OR(Table_Perf[[#This Row],[Year]]&lt;2024,Table_Perf[[#This Row],[Year]]&gt;2050,ISERROR(Table_Perf[[#This Row],[LL97 Adjusted Penalty After Measures]])),"",Table_Perf[[#This Row],[LL97 Adjusted Penalty After Measures]])</f>
        <v/>
      </c>
      <c r="AD77" s="102">
        <f>IF(Table_Perf[[#This Row],[Year]]&gt;2050,NA(),_xlfn.AGGREGATE(9,6,Table_Perf[[#This Row],[Measure Cost ($)]],Table_Perf[[#This Row],[Utility Savings ($)]],Table_Perf[[#This Row],[LL97 Penalty Avoided by Measures ($)]]))</f>
        <v>0</v>
      </c>
      <c r="AE77" s="102">
        <f>SUM($AD$48:AD77)</f>
        <v>0</v>
      </c>
      <c r="AF77" s="102">
        <f>IF(Table_Perf[[#This Row],[Year]]&gt;2050,NA(),_xlfn.AGGREGATE(9,6,Table_Perf[[#This Row],[Measure Cost ($)]],Table_Perf[[#This Row],[LL97 Adjusted Penalty After Measures]]))</f>
        <v>0</v>
      </c>
      <c r="AG77" s="123">
        <f>Table_Perf[[#This Row],[Year]]</f>
        <v>29</v>
      </c>
      <c r="AH77" s="99">
        <f>COUNTIFS(Table_ECM[When will the measure installation be complete and operational?],"&lt;="&amp;Table_Perf[[#This Row],[Yr]],Table_ECM[Would you like to Include this measure in the decarbonization pathway?],TRUE)</f>
        <v>0</v>
      </c>
      <c r="AI77" s="99" t="str">
        <f>IF(Table_Perf[[#This Row],[Measure Qty]]=AH76,"",_xlfn.CONCAT(Table_Perf[[#This Row],[Measure Qty]], " Measures Done"))</f>
        <v/>
      </c>
      <c r="AJ77" s="107" t="e">
        <f>IF(Table_Perf[[#This Row],[Measure Label]]="",NA(),Table_Perf[[#This Row],[LL97 Emissions After Measures]])</f>
        <v>#N/A</v>
      </c>
    </row>
    <row r="78" spans="2:55" s="10" customFormat="1" hidden="1" outlineLevel="1">
      <c r="C78" s="107" t="s">
        <v>167</v>
      </c>
      <c r="D78" s="99"/>
      <c r="E78" s="124"/>
      <c r="F78" s="124"/>
      <c r="G78" s="124"/>
      <c r="H78" s="124"/>
      <c r="I78" s="124"/>
      <c r="J78" s="124"/>
      <c r="K78" s="125">
        <f>_xlfn.AGGREGATE(9,6,Table_Perf[Measure Cost ($)])</f>
        <v>0</v>
      </c>
      <c r="L78" s="126">
        <f>_xlfn.AGGREGATE(9,6,Table_Perf[Utility Savings ($)])</f>
        <v>0</v>
      </c>
      <c r="M78" s="127"/>
      <c r="N78" s="124"/>
      <c r="O78" s="124"/>
      <c r="P78" s="124"/>
      <c r="Q78" s="124"/>
      <c r="R78" s="124"/>
      <c r="S78" s="124"/>
      <c r="T78" s="124"/>
      <c r="U78" s="124"/>
      <c r="V78" s="124"/>
      <c r="W78" s="124"/>
      <c r="X78" s="124"/>
      <c r="Y78" s="128">
        <f>_xlfn.AGGREGATE(9,6,Table_Perf[LL97 Emissions Reduced by Measures])</f>
        <v>0</v>
      </c>
      <c r="Z78" s="126"/>
      <c r="AA78" s="126">
        <f>_xlfn.AGGREGATE(9,6,Table_Perf[LL97 Adjusted Penalty After Measures])</f>
        <v>0</v>
      </c>
      <c r="AB78" s="126">
        <f>_xlfn.AGGREGATE(9,6,Table_Perf[LL97 Penalty Avoided by Measures ($)])</f>
        <v>0</v>
      </c>
      <c r="AC78" s="126"/>
      <c r="AD78" s="126">
        <f>_xlfn.AGGREGATE(9,6,Table_Perf[Annual Total Cash Flow ($)])</f>
        <v>0</v>
      </c>
      <c r="AE78" s="126"/>
      <c r="AF78" s="126">
        <f>_xlfn.AGGREGATE(9,6,Table_Perf[Annual Total Out-of-Pocket Cost ($)])</f>
        <v>0</v>
      </c>
      <c r="AG78" s="99"/>
      <c r="AH78" s="99"/>
      <c r="AI78" s="99"/>
      <c r="AJ78" s="99"/>
    </row>
    <row r="79" spans="2:55" s="14" customFormat="1">
      <c r="L79"/>
      <c r="M79"/>
      <c r="N79"/>
      <c r="O79"/>
      <c r="P79"/>
      <c r="Q79"/>
      <c r="R79"/>
      <c r="S79"/>
      <c r="T79"/>
      <c r="U79" s="16"/>
      <c r="V79" s="16"/>
      <c r="W79" s="16"/>
      <c r="X79" s="16"/>
      <c r="Y79" s="16"/>
      <c r="Z79" s="16"/>
      <c r="AA79" s="16"/>
      <c r="AB79" s="16"/>
      <c r="AC79" s="15"/>
      <c r="AD79" s="15"/>
      <c r="AE79" s="15"/>
      <c r="AF79" s="15"/>
      <c r="AN79" s="16"/>
      <c r="AO79" s="15"/>
      <c r="AP79" s="16"/>
      <c r="AQ79" s="16"/>
      <c r="AR79" s="16"/>
      <c r="AS79" s="16"/>
      <c r="AT79" s="16"/>
      <c r="AU79" s="15"/>
      <c r="AV79" s="15"/>
      <c r="AW79" s="15"/>
      <c r="AX79" s="15"/>
      <c r="AY79" s="15"/>
      <c r="BA79" s="15"/>
      <c r="BB79" s="15"/>
      <c r="BC79" s="15"/>
    </row>
    <row r="80" spans="2:55" s="29" customFormat="1" ht="23.25">
      <c r="B80" s="64" t="s">
        <v>168</v>
      </c>
    </row>
    <row r="81" spans="3:10">
      <c r="E81" s="129"/>
      <c r="F81" s="129"/>
      <c r="G81" s="129"/>
      <c r="H81" s="129"/>
    </row>
    <row r="82" spans="3:10" ht="18">
      <c r="C82" s="2"/>
      <c r="E82" s="129"/>
      <c r="F82" s="129"/>
      <c r="G82" s="129"/>
      <c r="H82" s="129"/>
      <c r="J82" s="2"/>
    </row>
    <row r="83" spans="3:10" ht="21">
      <c r="C83" s="60"/>
      <c r="D83" s="59" t="s">
        <v>169</v>
      </c>
      <c r="E83" s="130"/>
      <c r="F83" s="130"/>
      <c r="G83" s="130"/>
      <c r="H83" s="211"/>
    </row>
    <row r="84" spans="3:10" ht="15.75">
      <c r="D84" s="62" t="s">
        <v>170</v>
      </c>
      <c r="E84" s="131" t="str" cm="1">
        <f t="array" ref="E84">_xlfn.LET(_xlpm.Yrs, _xlfn._xlws.FILTER(Table_Perf[Year],(NOT(ISERROR(Table_Perf[Year])))*(Table_Perf[LL97 Adjusted Penalty After Measures]&lt;0),"No Risk"), IFERROR(_xlfn.ARRAYTOTEXT(INDEX(_xlpm.Yrs,_xlfn.SEQUENCE(1,ROUNDUP(COUNT(_xlpm.Yrs)/2,0),1))),""))</f>
        <v/>
      </c>
      <c r="F84" s="129"/>
      <c r="G84" s="129"/>
      <c r="H84" s="129"/>
    </row>
    <row r="85" spans="3:10">
      <c r="E85" s="131" t="str" cm="1">
        <f t="array" ref="E85">_xlfn.LET(_xlpm.Yrs, _xlfn._xlws.FILTER(Table_Perf[Year],(NOT(ISERROR(Table_Perf[Year])))*(Table_Perf[LL97 Adjusted Penalty After Measures]&lt;0),"No Risk"), IFERROR(_xlfn.ARRAYTOTEXT(INDEX(_xlpm.Yrs,_xlfn.SEQUENCE(1,COUNT(_xlpm.Yrs)-ROUNDUP(COUNT(_xlpm.Yrs)/2,0),ROUNDUP(COUNT(_xlpm.Yrs)/2,0)+1,1))),""))</f>
        <v/>
      </c>
      <c r="F85" s="129"/>
      <c r="G85" s="129"/>
      <c r="H85" s="129"/>
    </row>
    <row r="86" spans="3:10" ht="15.75">
      <c r="D86" s="32" t="s">
        <v>171</v>
      </c>
      <c r="E86" s="132">
        <f>-AVERAGE(Table_Perf[LL97 Adjusted Penalty After Measures])</f>
        <v>0</v>
      </c>
      <c r="F86" s="129"/>
      <c r="G86" s="129"/>
      <c r="H86" s="129"/>
    </row>
    <row r="87" spans="3:10" ht="15.75">
      <c r="D87" s="32" t="s">
        <v>172</v>
      </c>
      <c r="E87" s="133" t="str">
        <f>IF($E$15=0, "Please input buiding areas above",E86/$E$15)</f>
        <v>Please input buiding areas above</v>
      </c>
      <c r="F87" s="129"/>
      <c r="G87" s="129"/>
      <c r="H87" s="129"/>
    </row>
    <row r="88" spans="3:10" ht="15.75">
      <c r="D88" s="32" t="s">
        <v>173</v>
      </c>
      <c r="E88" s="134">
        <f>AVERAGE(Table_Perf[LL97 Penalty Avoided by Measures ($)])</f>
        <v>0</v>
      </c>
      <c r="F88" s="129"/>
      <c r="G88" s="129"/>
      <c r="H88" s="129"/>
    </row>
    <row r="89" spans="3:10" ht="15.75">
      <c r="D89" s="32" t="s">
        <v>174</v>
      </c>
      <c r="E89" s="135" t="str">
        <f>IF($E$15=0, "Please input buiding areas above",E88/$E$15)</f>
        <v>Please input buiding areas above</v>
      </c>
      <c r="F89" s="129"/>
      <c r="G89" s="129"/>
      <c r="H89" s="129"/>
    </row>
    <row r="90" spans="3:10">
      <c r="E90" s="129"/>
      <c r="F90" s="129"/>
      <c r="G90" s="129"/>
      <c r="H90" s="129"/>
    </row>
    <row r="91" spans="3:10">
      <c r="E91" s="129"/>
      <c r="F91" s="129"/>
      <c r="G91" s="129"/>
      <c r="H91" s="129"/>
    </row>
    <row r="92" spans="3:10" ht="21">
      <c r="C92" s="60"/>
      <c r="D92" s="58" t="s">
        <v>175</v>
      </c>
      <c r="E92" s="136" t="str">
        <f>_xlfn.LET(_xlpm.BEY,_xlfn.MINIFS(Table_Perf[Year],Table_Perf[Cumulative Total Cash Flow ($)],"&gt;0",Table_Perf[Year],"&gt;="&amp;_xlfn.MAXIFS(Table_ECM[When will the measure installation be complete and operational?],Table_ECM[Would you like to Include this measure in the decarbonization pathway?],TRUE)),IF(_xlpm.BEY=0,"No Payback Point by 2050 for the Pathway",
_xlfn.CONCAT(_xlpm.BEY-BaseYr,"-Yr Payback from ", BaseYr)))</f>
        <v>No Payback Point by 2050 for the Pathway</v>
      </c>
      <c r="F92" s="137"/>
      <c r="G92" s="137"/>
      <c r="H92" s="211"/>
    </row>
    <row r="93" spans="3:10" ht="15.75">
      <c r="D93" s="62" t="s">
        <v>176</v>
      </c>
      <c r="E93" s="138" t="e" cm="1">
        <f t="array" ref="E93">_xlfn.LET(_xlpm.YBE,_xlfn.MINIFS(Table_Perf[Year],Table_Perf[Cumulative Total Cash Flow ($)],"&gt;0",Table_Perf[Year],"&gt;="&amp;_xlfn.MAXIFS(Table_ECM[When will the measure installation be complete and operational?],Table_ECM[Would you like to Include this measure in the decarbonization pathway?],TRUE),Table_Perf[Year],"&gt;"&amp;BaseYr),IF(_xlpm.YBE=0,NA(),_xlpm.YBE))</f>
        <v>#N/A</v>
      </c>
      <c r="F93" s="129"/>
      <c r="G93" s="139"/>
      <c r="H93" s="129"/>
    </row>
    <row r="94" spans="3:10" ht="15.75">
      <c r="D94" s="62" t="s">
        <v>177</v>
      </c>
      <c r="E94" s="140" t="e">
        <f>INDEX(Table_Perf[Cumulative Total Cash Flow ($)],MATCH(2050,Table_Perf[Year],0))</f>
        <v>#N/A</v>
      </c>
      <c r="F94" s="129"/>
      <c r="G94" s="129"/>
      <c r="H94" s="129"/>
    </row>
    <row r="95" spans="3:10" ht="15.75">
      <c r="D95" s="62" t="s">
        <v>178</v>
      </c>
      <c r="E95" s="141" t="str">
        <f>IF(_xlfn.MINIFS(Table_Perf[Year],Table_Perf[LL97 Emissions After Measures],"&lt;=0")=0," After 2050",
_xlfn.CONCAT("in ",_xlfn.MINIFS(Table_Perf[Year],Table_Perf[LL97 Emissions After Measures],"&lt;=0")))</f>
        <v xml:space="preserve"> After 2050</v>
      </c>
      <c r="F95" s="129"/>
      <c r="G95" s="129"/>
      <c r="H95" s="129"/>
    </row>
    <row r="96" spans="3:10">
      <c r="E96" s="129"/>
      <c r="F96" s="129"/>
      <c r="G96" s="129"/>
      <c r="H96" s="129"/>
    </row>
    <row r="97" spans="1:9">
      <c r="E97" s="129"/>
      <c r="F97" s="129"/>
      <c r="G97" s="129"/>
      <c r="H97" s="129"/>
    </row>
    <row r="98" spans="1:9">
      <c r="A98"/>
      <c r="B98"/>
      <c r="C98"/>
      <c r="D98"/>
      <c r="E98"/>
      <c r="F98"/>
      <c r="G98"/>
      <c r="H98"/>
      <c r="I98"/>
    </row>
    <row r="99" spans="1:9" ht="15.75">
      <c r="A99"/>
      <c r="B99"/>
      <c r="C99" s="61"/>
      <c r="D99" s="57" t="s">
        <v>179</v>
      </c>
      <c r="E99" s="142"/>
      <c r="F99" s="148"/>
      <c r="G99" s="148"/>
      <c r="H99" s="148"/>
      <c r="I99" s="148"/>
    </row>
    <row r="100" spans="1:9" ht="15.75">
      <c r="A100"/>
      <c r="B100"/>
      <c r="D100" s="26"/>
      <c r="E100" s="189" t="str" cm="1">
        <f t="array" ref="E100">IF(BaseYr&gt;2030,"",_xlfn.CONCAT(BaseYr," ~ 2029 Total"))</f>
        <v xml:space="preserve"> ~ 2029 Total</v>
      </c>
      <c r="F100" s="217" t="str" cm="1">
        <f t="array" ref="F100">IF(BaseYr&gt;2034,"",_xlfn.CONCAT("2030 ~ 2034 Total"))</f>
        <v>2030 ~ 2034 Total</v>
      </c>
      <c r="G100" s="219" t="str" cm="1">
        <f t="array" ref="G100">IF(BaseYr&gt;2039,"","2035 ~ 2039 Total")</f>
        <v>2035 ~ 2039 Total</v>
      </c>
      <c r="H100" s="219" t="str" cm="1">
        <f t="array" ref="H100">IF(BaseYr&gt;2049,"","2040 ~ 2049 Total")</f>
        <v>2040 ~ 2049 Total</v>
      </c>
      <c r="I100" s="230" t="s">
        <v>180</v>
      </c>
    </row>
    <row r="101" spans="1:9" ht="15.75">
      <c r="A101"/>
      <c r="B101"/>
      <c r="D101" s="56" t="s">
        <v>357</v>
      </c>
      <c r="E101" s="149" cm="1">
        <f t="array" ref="E101">SUMIFS(Table_Perf[Measure Cost ($)],Table_Perf[Year],"&lt;="&amp;2029,Table_Perf[Year],"&gt;="&amp;BaseYr)</f>
        <v>0</v>
      </c>
      <c r="F101" s="229">
        <f>SUMIFS(Table_Perf[Measure Cost ($)],Table_Perf[Year],"&lt;="&amp;2034,Table_Perf[Year],"&gt;="&amp;2030)</f>
        <v>0</v>
      </c>
      <c r="G101" s="220">
        <f>SUMIFS(Table_Perf[Measure Cost ($)],Table_Perf[Year],"&lt;="&amp;2039,Table_Perf[Year],"&gt;="&amp;2035)</f>
        <v>0</v>
      </c>
      <c r="H101" s="220">
        <f>SUMIFS(Table_Perf[Measure Cost ($)],Table_Perf[Year],"&lt;="&amp;2049,Table_Perf[Year],"&gt;="&amp;2040)</f>
        <v>0</v>
      </c>
      <c r="I101" s="220">
        <f>_xlfn.AGGREGATE(9,6,E101:H101)</f>
        <v>0</v>
      </c>
    </row>
    <row r="102" spans="1:9" ht="15.75">
      <c r="A102"/>
      <c r="B102"/>
      <c r="D102" s="27" t="s">
        <v>347</v>
      </c>
      <c r="E102" s="143" cm="1">
        <f t="array" ref="E102">SUMIFS(Table_Perf[Utility Savings ($)],Table_Perf[Year],"&lt;="&amp;2029,Table_Perf[Year],"&gt;="&amp;BaseYr)</f>
        <v>0</v>
      </c>
      <c r="F102" s="221">
        <f>SUMIFS(Table_Perf[Utility Savings ($)],Table_Perf[Year],"&lt;="&amp;2034,Table_Perf[Year],"&gt;="&amp;2030)</f>
        <v>0</v>
      </c>
      <c r="G102" s="221">
        <f>SUMIFS(Table_Perf[Utility Savings ($)],Table_Perf[Year],"&lt;="&amp;2039,Table_Perf[Year],"&gt;="&amp;2035)</f>
        <v>0</v>
      </c>
      <c r="H102" s="221">
        <f>SUMIFS(Table_Perf[Utility Savings ($)],Table_Perf[Year],"&lt;="&amp;2049,Table_Perf[Year],"&gt;="&amp;2040)</f>
        <v>0</v>
      </c>
      <c r="I102" s="221">
        <f>_xlfn.AGGREGATE(9,6,E102:H102)</f>
        <v>0</v>
      </c>
    </row>
    <row r="103" spans="1:9" ht="15.75">
      <c r="A103"/>
      <c r="B103"/>
      <c r="D103" s="55" t="s">
        <v>348</v>
      </c>
      <c r="E103" s="144" cm="1">
        <f t="array" ref="E103">SUMIFS(Table_Perf[LL97 Penalty Avoided by Measures ($)],Table_Perf[Year],"&lt;="&amp;2029,Table_Perf[Year],"&gt;="&amp;BaseYr)</f>
        <v>0</v>
      </c>
      <c r="F103" s="222">
        <f>SUMIFS(Table_Perf[LL97 Penalty Avoided by Measures ($)],Table_Perf[Year],"&lt;="&amp;2034,Table_Perf[Year],"&gt;="&amp;2030)</f>
        <v>0</v>
      </c>
      <c r="G103" s="222">
        <f>SUMIFS(Table_Perf[LL97 Penalty Avoided by Measures ($)],Table_Perf[Year],"&lt;="&amp;2039,Table_Perf[Year],"&gt;="&amp;2035)</f>
        <v>0</v>
      </c>
      <c r="H103" s="222">
        <f>SUMIFS(Table_Perf[LL97 Penalty Avoided by Measures ($)],Table_Perf[Year],"&lt;="&amp;2049,Table_Perf[Year],"&gt;="&amp;2040)</f>
        <v>0</v>
      </c>
      <c r="I103" s="221">
        <f>_xlfn.AGGREGATE(9,6,E103:H103)</f>
        <v>0</v>
      </c>
    </row>
    <row r="104" spans="1:9" ht="15.75">
      <c r="A104"/>
      <c r="B104"/>
      <c r="D104" s="13" t="s">
        <v>181</v>
      </c>
      <c r="E104" s="146">
        <f>SUM(E101:E103)</f>
        <v>0</v>
      </c>
      <c r="F104" s="218">
        <f>SUM(F101:F103)</f>
        <v>0</v>
      </c>
      <c r="G104" s="218">
        <f t="shared" ref="G104:H104" si="0">SUM(G101:G103)</f>
        <v>0</v>
      </c>
      <c r="H104" s="218">
        <f t="shared" si="0"/>
        <v>0</v>
      </c>
      <c r="I104" s="231">
        <f>_xlfn.AGGREGATE(9,6,E104:H104)</f>
        <v>0</v>
      </c>
    </row>
    <row r="105" spans="1:9" ht="15.75" customHeight="1">
      <c r="A105"/>
      <c r="B105"/>
    </row>
    <row r="106" spans="1:9" ht="15.75" customHeight="1">
      <c r="A106"/>
      <c r="B106"/>
      <c r="C106"/>
      <c r="D106"/>
      <c r="E106"/>
      <c r="F106"/>
      <c r="G106"/>
      <c r="H106"/>
      <c r="I106"/>
    </row>
    <row r="107" spans="1:9" ht="15.75" customHeight="1">
      <c r="A107"/>
      <c r="B107"/>
      <c r="C107"/>
      <c r="D107"/>
      <c r="E107"/>
      <c r="F107"/>
      <c r="G107"/>
      <c r="H107"/>
      <c r="I107"/>
    </row>
    <row r="108" spans="1:9" ht="15.75" customHeight="1">
      <c r="A108"/>
      <c r="B108"/>
      <c r="C108"/>
      <c r="D108"/>
      <c r="E108"/>
      <c r="F108"/>
      <c r="G108"/>
      <c r="H108"/>
      <c r="I108"/>
    </row>
    <row r="109" spans="1:9" ht="15.75" customHeight="1">
      <c r="A109"/>
      <c r="B109"/>
      <c r="C109"/>
      <c r="D109"/>
      <c r="E109"/>
      <c r="F109"/>
      <c r="G109"/>
      <c r="H109"/>
      <c r="I109"/>
    </row>
    <row r="110" spans="1:9" ht="15.75" customHeight="1">
      <c r="A110"/>
      <c r="B110"/>
      <c r="C110"/>
      <c r="D110"/>
      <c r="E110"/>
      <c r="F110"/>
      <c r="G110"/>
      <c r="H110"/>
      <c r="I110"/>
    </row>
    <row r="111" spans="1:9" ht="15.75" customHeight="1">
      <c r="A111"/>
      <c r="B111"/>
      <c r="C111"/>
      <c r="D111"/>
      <c r="E111"/>
      <c r="F111"/>
      <c r="G111"/>
      <c r="H111"/>
      <c r="I111"/>
    </row>
    <row r="112" spans="1:9" ht="15.75" customHeight="1">
      <c r="A112"/>
      <c r="B112"/>
      <c r="C112"/>
      <c r="D112"/>
      <c r="E112"/>
      <c r="F112"/>
      <c r="G112"/>
      <c r="H112"/>
      <c r="I112"/>
    </row>
    <row r="113" spans="1:20" ht="15.75" customHeight="1">
      <c r="A113"/>
      <c r="B113"/>
      <c r="C113"/>
      <c r="D113"/>
      <c r="E113"/>
      <c r="F113"/>
      <c r="G113"/>
      <c r="H113"/>
      <c r="I113"/>
    </row>
    <row r="114" spans="1:20" ht="15.75" customHeight="1">
      <c r="A114"/>
      <c r="B114"/>
      <c r="C114"/>
      <c r="D114"/>
      <c r="E114"/>
      <c r="F114"/>
      <c r="G114"/>
      <c r="H114"/>
      <c r="I114"/>
    </row>
    <row r="115" spans="1:20" ht="15.75" customHeight="1">
      <c r="A115"/>
      <c r="B115"/>
      <c r="C115"/>
      <c r="D115"/>
      <c r="E115"/>
      <c r="F115"/>
      <c r="G115"/>
      <c r="H115"/>
      <c r="I115"/>
    </row>
    <row r="116" spans="1:20" ht="15.75" customHeight="1">
      <c r="A116"/>
      <c r="B116"/>
      <c r="C116"/>
      <c r="D116"/>
      <c r="E116"/>
      <c r="F116"/>
      <c r="G116"/>
      <c r="H116"/>
      <c r="I116"/>
    </row>
    <row r="117" spans="1:20" ht="15.75" customHeight="1">
      <c r="A117"/>
      <c r="B117"/>
      <c r="C117"/>
      <c r="D117"/>
      <c r="E117"/>
      <c r="F117"/>
      <c r="G117"/>
      <c r="H117"/>
      <c r="I117"/>
    </row>
    <row r="118" spans="1:20" ht="15.75" customHeight="1">
      <c r="B118"/>
      <c r="D118"/>
      <c r="E118" s="145"/>
      <c r="F118" s="145"/>
      <c r="G118" s="145"/>
      <c r="H118" s="145"/>
      <c r="I118"/>
    </row>
    <row r="119" spans="1:20" ht="15.75" customHeight="1">
      <c r="B119"/>
    </row>
    <row r="120" spans="1:20" ht="15.75" customHeight="1">
      <c r="B120"/>
    </row>
    <row r="121" spans="1:20">
      <c r="B121"/>
    </row>
    <row r="125" spans="1:20">
      <c r="C125"/>
      <c r="D125"/>
      <c r="E125"/>
      <c r="F125"/>
      <c r="G125"/>
      <c r="H125"/>
    </row>
    <row r="126" spans="1:20">
      <c r="C126"/>
      <c r="D126"/>
      <c r="E126"/>
      <c r="F126"/>
      <c r="G126"/>
      <c r="H126"/>
    </row>
    <row r="127" spans="1:20">
      <c r="C127"/>
      <c r="D127"/>
      <c r="E127"/>
      <c r="F127"/>
      <c r="G127"/>
      <c r="H127"/>
      <c r="I127"/>
      <c r="J127"/>
      <c r="K127"/>
      <c r="L127"/>
      <c r="M127"/>
      <c r="N127"/>
      <c r="O127"/>
      <c r="P127"/>
      <c r="Q127"/>
      <c r="R127"/>
      <c r="S127"/>
      <c r="T127"/>
    </row>
    <row r="128" spans="1:20">
      <c r="C128"/>
      <c r="D128"/>
      <c r="E128"/>
      <c r="G128"/>
      <c r="H128"/>
      <c r="I128"/>
      <c r="J128"/>
      <c r="K128"/>
      <c r="L128"/>
      <c r="M128"/>
      <c r="N128"/>
      <c r="O128"/>
      <c r="P128"/>
      <c r="Q128"/>
      <c r="R128"/>
      <c r="S128"/>
      <c r="T128"/>
    </row>
    <row r="129" spans="3:20">
      <c r="C129"/>
      <c r="D129"/>
      <c r="E129"/>
      <c r="F129"/>
      <c r="G129"/>
      <c r="H129"/>
      <c r="I129"/>
      <c r="J129"/>
      <c r="K129"/>
      <c r="L129"/>
      <c r="M129"/>
      <c r="N129"/>
      <c r="O129"/>
      <c r="P129"/>
      <c r="Q129"/>
      <c r="R129"/>
      <c r="S129"/>
      <c r="T129"/>
    </row>
    <row r="130" spans="3:20">
      <c r="D130"/>
      <c r="E130"/>
      <c r="F130"/>
      <c r="G130"/>
      <c r="I130"/>
      <c r="J130"/>
      <c r="K130"/>
      <c r="L130"/>
      <c r="M130"/>
      <c r="N130"/>
      <c r="O130"/>
      <c r="P130"/>
      <c r="Q130"/>
      <c r="R130"/>
      <c r="S130"/>
      <c r="T130"/>
    </row>
    <row r="131" spans="3:20">
      <c r="I131"/>
      <c r="J131"/>
      <c r="K131"/>
      <c r="L131"/>
      <c r="M131"/>
      <c r="N131"/>
      <c r="O131"/>
      <c r="P131"/>
      <c r="Q131"/>
      <c r="R131"/>
      <c r="S131"/>
      <c r="T131"/>
    </row>
    <row r="132" spans="3:20">
      <c r="I132"/>
      <c r="J132"/>
      <c r="K132"/>
      <c r="L132"/>
      <c r="M132"/>
      <c r="N132"/>
      <c r="O132"/>
      <c r="P132"/>
      <c r="Q132"/>
      <c r="R132"/>
      <c r="S132"/>
      <c r="T132"/>
    </row>
    <row r="133" spans="3:20">
      <c r="I133"/>
      <c r="K133"/>
      <c r="L133"/>
      <c r="M133"/>
      <c r="N133"/>
      <c r="O133"/>
      <c r="P133"/>
      <c r="Q133"/>
      <c r="R133"/>
      <c r="S133"/>
      <c r="T133"/>
    </row>
    <row r="134" spans="3:20">
      <c r="I134"/>
      <c r="J134"/>
      <c r="K134"/>
      <c r="L134"/>
      <c r="M134"/>
      <c r="N134"/>
      <c r="O134"/>
      <c r="P134"/>
      <c r="Q134"/>
      <c r="R134"/>
      <c r="S134"/>
      <c r="T134"/>
    </row>
    <row r="135" spans="3:20">
      <c r="I135"/>
      <c r="J135"/>
      <c r="K135"/>
      <c r="L135"/>
      <c r="M135"/>
      <c r="N135"/>
      <c r="O135"/>
      <c r="P135"/>
      <c r="Q135"/>
      <c r="R135"/>
      <c r="S135"/>
      <c r="T135"/>
    </row>
    <row r="136" spans="3:20">
      <c r="I136"/>
      <c r="J136"/>
      <c r="K136"/>
      <c r="L136"/>
      <c r="M136"/>
      <c r="N136"/>
      <c r="O136"/>
      <c r="P136"/>
      <c r="Q136"/>
      <c r="R136"/>
      <c r="S136"/>
      <c r="T136"/>
    </row>
    <row r="137" spans="3:20">
      <c r="I137"/>
      <c r="J137"/>
      <c r="K137"/>
      <c r="L137"/>
      <c r="M137"/>
      <c r="N137"/>
      <c r="O137"/>
      <c r="P137"/>
      <c r="Q137"/>
      <c r="R137"/>
      <c r="S137"/>
      <c r="T137"/>
    </row>
    <row r="138" spans="3:20">
      <c r="I138"/>
      <c r="J138"/>
      <c r="K138"/>
      <c r="L138"/>
      <c r="M138"/>
      <c r="N138"/>
      <c r="O138"/>
      <c r="P138"/>
      <c r="Q138"/>
      <c r="R138"/>
      <c r="S138"/>
      <c r="T138"/>
    </row>
    <row r="139" spans="3:20">
      <c r="I139"/>
      <c r="J139"/>
      <c r="K139"/>
      <c r="L139"/>
      <c r="M139"/>
      <c r="N139"/>
      <c r="O139"/>
      <c r="P139"/>
      <c r="Q139"/>
      <c r="R139"/>
      <c r="S139"/>
      <c r="T139"/>
    </row>
    <row r="140" spans="3:20">
      <c r="I140"/>
      <c r="J140"/>
      <c r="K140"/>
      <c r="L140"/>
      <c r="M140"/>
      <c r="N140"/>
      <c r="O140"/>
      <c r="P140"/>
      <c r="Q140"/>
      <c r="R140"/>
      <c r="S140"/>
      <c r="T140"/>
    </row>
    <row r="141" spans="3:20">
      <c r="I141"/>
      <c r="J141"/>
      <c r="K141"/>
      <c r="L141"/>
      <c r="M141"/>
      <c r="N141"/>
      <c r="O141"/>
      <c r="P141"/>
      <c r="Q141"/>
      <c r="R141"/>
      <c r="S141"/>
      <c r="T141"/>
    </row>
    <row r="142" spans="3:20">
      <c r="I142"/>
      <c r="J142"/>
      <c r="K142"/>
      <c r="L142"/>
      <c r="M142"/>
      <c r="N142"/>
      <c r="O142"/>
      <c r="P142"/>
      <c r="Q142"/>
      <c r="R142"/>
      <c r="S142"/>
      <c r="T142"/>
    </row>
    <row r="143" spans="3:20">
      <c r="I143"/>
      <c r="J143"/>
      <c r="K143"/>
      <c r="L143"/>
      <c r="M143"/>
      <c r="N143"/>
      <c r="O143"/>
      <c r="P143"/>
      <c r="Q143"/>
      <c r="R143"/>
      <c r="S143"/>
      <c r="T143"/>
    </row>
    <row r="144" spans="3:20">
      <c r="I144"/>
      <c r="J144"/>
      <c r="K144"/>
      <c r="L144"/>
      <c r="M144"/>
      <c r="N144"/>
      <c r="O144"/>
      <c r="P144"/>
      <c r="Q144"/>
      <c r="R144"/>
      <c r="S144"/>
      <c r="T144"/>
    </row>
    <row r="145" spans="9:20">
      <c r="I145"/>
      <c r="J145"/>
      <c r="K145"/>
      <c r="L145"/>
      <c r="M145"/>
      <c r="N145"/>
      <c r="O145"/>
      <c r="P145"/>
      <c r="Q145"/>
      <c r="R145"/>
      <c r="S145"/>
      <c r="T145"/>
    </row>
    <row r="146" spans="9:20">
      <c r="I146"/>
      <c r="J146"/>
      <c r="K146"/>
      <c r="L146"/>
      <c r="M146"/>
      <c r="N146"/>
      <c r="O146"/>
      <c r="P146"/>
      <c r="Q146"/>
      <c r="R146"/>
      <c r="S146"/>
      <c r="T146"/>
    </row>
    <row r="147" spans="9:20">
      <c r="I147"/>
      <c r="J147"/>
      <c r="K147"/>
      <c r="L147"/>
      <c r="M147"/>
      <c r="N147"/>
      <c r="O147"/>
      <c r="P147"/>
      <c r="Q147"/>
      <c r="R147"/>
      <c r="S147"/>
      <c r="T147"/>
    </row>
    <row r="148" spans="9:20">
      <c r="I148"/>
      <c r="J148"/>
      <c r="K148"/>
      <c r="L148"/>
      <c r="M148"/>
      <c r="N148"/>
      <c r="O148"/>
      <c r="P148"/>
      <c r="Q148"/>
      <c r="R148"/>
      <c r="S148"/>
      <c r="T148"/>
    </row>
    <row r="149" spans="9:20">
      <c r="I149"/>
      <c r="J149"/>
      <c r="K149"/>
      <c r="L149"/>
      <c r="M149"/>
      <c r="N149"/>
      <c r="O149"/>
      <c r="P149"/>
      <c r="Q149"/>
      <c r="R149"/>
      <c r="S149"/>
      <c r="T149"/>
    </row>
    <row r="150" spans="9:20">
      <c r="I150"/>
      <c r="J150"/>
      <c r="K150"/>
      <c r="L150"/>
      <c r="M150"/>
      <c r="N150"/>
      <c r="O150"/>
      <c r="P150"/>
      <c r="Q150"/>
      <c r="R150"/>
      <c r="S150"/>
      <c r="T150"/>
    </row>
    <row r="151" spans="9:20">
      <c r="I151"/>
      <c r="J151"/>
      <c r="K151"/>
      <c r="L151"/>
      <c r="M151"/>
      <c r="N151"/>
      <c r="O151"/>
      <c r="P151"/>
      <c r="Q151"/>
      <c r="R151"/>
      <c r="S151"/>
      <c r="T151"/>
    </row>
    <row r="152" spans="9:20">
      <c r="I152"/>
      <c r="J152"/>
      <c r="K152"/>
      <c r="L152"/>
      <c r="M152"/>
      <c r="N152"/>
      <c r="O152"/>
      <c r="P152"/>
      <c r="Q152"/>
      <c r="R152"/>
      <c r="S152"/>
      <c r="T152"/>
    </row>
    <row r="153" spans="9:20">
      <c r="I153"/>
      <c r="J153"/>
      <c r="K153"/>
      <c r="L153"/>
      <c r="M153"/>
      <c r="N153"/>
      <c r="O153"/>
      <c r="P153"/>
      <c r="Q153"/>
      <c r="R153"/>
      <c r="S153"/>
      <c r="T153"/>
    </row>
    <row r="154" spans="9:20">
      <c r="I154"/>
      <c r="J154"/>
      <c r="K154"/>
      <c r="L154"/>
      <c r="M154"/>
      <c r="N154"/>
      <c r="O154"/>
      <c r="P154"/>
      <c r="Q154"/>
      <c r="R154"/>
      <c r="S154"/>
      <c r="T154"/>
    </row>
    <row r="155" spans="9:20">
      <c r="I155"/>
      <c r="J155"/>
      <c r="K155"/>
      <c r="L155"/>
      <c r="M155"/>
      <c r="N155"/>
      <c r="O155"/>
      <c r="P155"/>
      <c r="Q155"/>
      <c r="R155"/>
      <c r="S155"/>
      <c r="T155"/>
    </row>
    <row r="156" spans="9:20">
      <c r="I156"/>
      <c r="J156"/>
      <c r="K156"/>
      <c r="L156"/>
      <c r="M156"/>
      <c r="N156"/>
      <c r="O156"/>
      <c r="P156"/>
      <c r="Q156"/>
      <c r="R156"/>
      <c r="S156"/>
      <c r="T156"/>
    </row>
    <row r="157" spans="9:20">
      <c r="I157"/>
      <c r="J157"/>
      <c r="K157"/>
      <c r="L157"/>
      <c r="M157"/>
      <c r="N157"/>
      <c r="O157"/>
      <c r="P157"/>
      <c r="Q157"/>
      <c r="R157"/>
      <c r="S157"/>
      <c r="T157"/>
    </row>
    <row r="158" spans="9:20">
      <c r="I158"/>
      <c r="J158"/>
      <c r="K158"/>
      <c r="L158"/>
      <c r="M158"/>
      <c r="N158"/>
      <c r="O158"/>
      <c r="P158"/>
      <c r="Q158"/>
      <c r="R158"/>
      <c r="S158"/>
      <c r="T158"/>
    </row>
    <row r="159" spans="9:20">
      <c r="I159"/>
      <c r="J159"/>
      <c r="K159"/>
      <c r="L159"/>
      <c r="M159"/>
      <c r="N159"/>
      <c r="O159"/>
      <c r="P159"/>
      <c r="Q159"/>
      <c r="R159"/>
      <c r="S159"/>
      <c r="T159"/>
    </row>
  </sheetData>
  <sheetProtection algorithmName="SHA-512" hashValue="URa/b4bdt5cig63AH54LR+Un2btTMUUZqX+QMHAEVjXv675BSSjxGPPi6eaVgqWUKCDajrW4wHlZ5KZOW0j0Lw==" saltValue="vN9IHkkVLikqOrijSCK3bg==" spinCount="100000" sheet="1" objects="1" scenarios="1"/>
  <mergeCells count="11">
    <mergeCell ref="W12:Z12"/>
    <mergeCell ref="G17:M17"/>
    <mergeCell ref="R6:S6"/>
    <mergeCell ref="X6:Z6"/>
    <mergeCell ref="P7:P11"/>
    <mergeCell ref="Q7:Q11"/>
    <mergeCell ref="R7:S11"/>
    <mergeCell ref="X7:Z7"/>
    <mergeCell ref="X9:Z9"/>
    <mergeCell ref="X10:Z10"/>
    <mergeCell ref="X11:Z11"/>
  </mergeCells>
  <conditionalFormatting sqref="E84:E85">
    <cfRule type="containsText" dxfId="129" priority="3" operator="containsText" text="No">
      <formula>NOT(ISERROR(SEARCH("No",E84)))</formula>
    </cfRule>
  </conditionalFormatting>
  <conditionalFormatting sqref="E93">
    <cfRule type="expression" dxfId="128" priority="2">
      <formula>ISERROR($E$93)</formula>
    </cfRule>
  </conditionalFormatting>
  <conditionalFormatting sqref="E94">
    <cfRule type="expression" dxfId="127" priority="4">
      <formula>$E$94&gt;0</formula>
    </cfRule>
    <cfRule type="expression" dxfId="126" priority="5">
      <formula>$E$94&lt;0</formula>
    </cfRule>
  </conditionalFormatting>
  <conditionalFormatting sqref="L8:M8">
    <cfRule type="expression" dxfId="125" priority="1">
      <formula>ISNUMBER(L$7)</formula>
    </cfRule>
  </conditionalFormatting>
  <dataValidations count="9">
    <dataValidation type="list" allowBlank="1" showInputMessage="1" showErrorMessage="1" error="Choose Default Scope Names in Drop-down List Only" sqref="B19:B42" xr:uid="{20904000-19E8-4EC8-8CBF-6E3BD59A119D}">
      <formula1>"Scope 1, Scope 2, Scope 3, Scope 4, Scope 5, Scope 6, Scope 7, Scope 8, Scope 9, Scope 10"</formula1>
    </dataValidation>
    <dataValidation type="list" allowBlank="1" showInputMessage="1" showErrorMessage="1" errorTitle="Wrong Data Type" error="Choose Default Scope Names in Drop-down List Only" sqref="U19:U42" xr:uid="{BE72405B-EBA8-4482-903F-6A4538406E41}">
      <formula1>$B$19:$B$42</formula1>
    </dataValidation>
    <dataValidation allowBlank="1" showInputMessage="1" showErrorMessage="1" errorTitle="Wrong Data Type" error="Enter Number Values Only" sqref="S19:T42 Y19 V19:X42" xr:uid="{13B21C11-C9CD-4AC8-8A52-951A0F45E7D9}"/>
    <dataValidation type="whole" allowBlank="1" showInputMessage="1" showErrorMessage="1" errorTitle="Wrong Data Type" error="Enter Year Values Only (Whole Number)" sqref="R19:R42" xr:uid="{DAEFAC8D-2AE9-43D1-A934-85114E784B6F}">
      <formula1>0</formula1>
      <formula2>9999</formula2>
    </dataValidation>
    <dataValidation type="decimal" allowBlank="1" showInputMessage="1" showErrorMessage="1" errorTitle="Wrong Data Type" error="Enter Number Values Only" sqref="P19:P42" xr:uid="{59C88314-32E7-46ED-A4A4-5FE86DF114A9}">
      <formula1>-9.99999999999999E+40</formula1>
      <formula2>9.99999999999999E+36</formula2>
    </dataValidation>
    <dataValidation type="decimal" allowBlank="1" showInputMessage="1" showErrorMessage="1" errorTitle="Wrong Data Type" error="Please enter numerical values only" sqref="E7:E14" xr:uid="{C558F244-14C1-48A7-B4B6-9304D41BB184}">
      <formula1>0</formula1>
      <formula2>9.99999999999999E+25</formula2>
    </dataValidation>
    <dataValidation type="whole" allowBlank="1" showInputMessage="1" showErrorMessage="1" errorTitle="Out of Range" error="Please input a year between 2023 and 2050" sqref="G7" xr:uid="{E1C930BD-E7F0-4ED9-B4FB-52AD1D9C8916}">
      <formula1>2021</formula1>
      <formula2>2050</formula2>
    </dataValidation>
    <dataValidation type="decimal" allowBlank="1" showInputMessage="1" showErrorMessage="1" errorTitle="Wrong Data Type" error="Please enter numerical values only" sqref="H7:M7" xr:uid="{7768CA48-1119-4477-A46C-8B8961612459}">
      <formula1>-9.99999999999999E+25</formula1>
      <formula2>9.99999999999999E+25</formula2>
    </dataValidation>
    <dataValidation type="decimal" allowBlank="1" showInputMessage="1" showErrorMessage="1" errorTitle="Wrong Data Type" error="Enter Numerical Values Only" sqref="N19:N42 E19:L42" xr:uid="{F0EFE0B5-4EF7-4962-B032-63E79FDB8618}">
      <formula1>-9.99999999999999E+40</formula1>
      <formula2>9.99999999999999E+36</formula2>
    </dataValidation>
  </dataValidations>
  <pageMargins left="0.7" right="0.7" top="0.75" bottom="0.75" header="0.3" footer="0.3"/>
  <pageSetup paperSize="3" scale="43" orientation="landscape"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49DA5E6A-DBD4-4F91-8174-A2975FC8627A}">
          <x14:formula1>
            <xm:f>'Adjustable Lists'!$L$8:$L$10</xm:f>
          </x14:formula1>
          <xm:sqref>Q7:Q11</xm:sqref>
        </x14:dataValidation>
        <x14:dataValidation type="list" allowBlank="1" showInputMessage="1" showErrorMessage="1" xr:uid="{C97CC671-CC63-49E9-8462-61331A8A9089}">
          <x14:formula1>
            <xm:f>References!$C$12:$C$32</xm:f>
          </x14:formula1>
          <xm:sqref>L8:M8</xm:sqref>
        </x14:dataValidation>
        <x14:dataValidation type="list" allowBlank="1" showInputMessage="1" showErrorMessage="1" xr:uid="{8141635C-47F8-4C50-B22F-61A17BCB1962}">
          <x14:formula1>
            <xm:f>References!$M$12:$M$71</xm:f>
          </x14:formula1>
          <xm:sqref>D7:D14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214B5-FE52-493C-8B31-57F44050C467}">
  <sheetPr>
    <tabColor theme="4"/>
    <outlinePr summaryBelow="0" summaryRight="0"/>
    <pageSetUpPr autoPageBreaks="0" fitToPage="1"/>
  </sheetPr>
  <dimension ref="A1:BC159"/>
  <sheetViews>
    <sheetView showGridLines="0" zoomScale="75" zoomScaleNormal="75" workbookViewId="0">
      <selection activeCell="H21" sqref="H21"/>
    </sheetView>
  </sheetViews>
  <sheetFormatPr defaultColWidth="9" defaultRowHeight="14.25" outlineLevelRow="1"/>
  <cols>
    <col min="1" max="1" width="1.875" style="1" customWidth="1"/>
    <col min="2" max="2" width="13.5" style="1" customWidth="1"/>
    <col min="3" max="3" width="8.75" style="1" customWidth="1"/>
    <col min="4" max="4" width="42.875" style="1" customWidth="1"/>
    <col min="5" max="5" width="13.5" style="1" customWidth="1"/>
    <col min="6" max="6" width="13.875" style="1" customWidth="1"/>
    <col min="7" max="7" width="13.625" style="1" customWidth="1"/>
    <col min="8" max="8" width="13.5" style="1" customWidth="1"/>
    <col min="9" max="9" width="12" style="1" customWidth="1"/>
    <col min="10" max="10" width="12.5" style="1" customWidth="1"/>
    <col min="11" max="12" width="11.5" style="1" customWidth="1"/>
    <col min="13" max="13" width="13" style="1" customWidth="1"/>
    <col min="14" max="14" width="11.375" style="1" customWidth="1"/>
    <col min="15" max="15" width="12.5" style="1" customWidth="1"/>
    <col min="16" max="16" width="15.875" style="1" customWidth="1"/>
    <col min="17" max="17" width="13.5" style="1" customWidth="1"/>
    <col min="18" max="18" width="15.5" style="1" customWidth="1"/>
    <col min="19" max="19" width="39.125" style="1" customWidth="1"/>
    <col min="20" max="20" width="6.375" style="1" customWidth="1"/>
    <col min="21" max="21" width="14.125" style="1" customWidth="1"/>
    <col min="22" max="22" width="10.875" style="1" customWidth="1"/>
    <col min="23" max="23" width="16.0625" style="1" customWidth="1"/>
    <col min="24" max="24" width="10.25" style="1" customWidth="1"/>
    <col min="25" max="25" width="9.75" style="1" customWidth="1"/>
    <col min="26" max="26" width="10.25" style="1" customWidth="1"/>
    <col min="27" max="27" width="9.125" style="1" bestFit="1" customWidth="1"/>
    <col min="28" max="28" width="31.625" style="1" customWidth="1"/>
    <col min="29" max="32" width="9.875" style="1" customWidth="1"/>
    <col min="33" max="33" width="8.375" style="1" customWidth="1"/>
    <col min="34" max="34" width="9" style="1" customWidth="1"/>
    <col min="35" max="35" width="10.75" style="1" customWidth="1"/>
    <col min="36" max="36" width="9" style="1" customWidth="1"/>
    <col min="37" max="37" width="11.25" style="1" customWidth="1"/>
    <col min="38" max="38" width="11.125" style="1" customWidth="1"/>
    <col min="39" max="39" width="10.125" style="1" customWidth="1"/>
    <col min="40" max="40" width="8.625" style="1" customWidth="1"/>
    <col min="41" max="41" width="10.875" style="1" customWidth="1"/>
    <col min="42" max="42" width="11.375" style="1" customWidth="1"/>
    <col min="43" max="43" width="13.5" style="1" customWidth="1"/>
    <col min="44" max="45" width="11.375" style="1" customWidth="1"/>
    <col min="46" max="46" width="12.625" style="1" customWidth="1"/>
    <col min="47" max="47" width="11.375" style="1" customWidth="1"/>
    <col min="48" max="49" width="10.875" style="1" customWidth="1"/>
    <col min="50" max="53" width="11" style="1" customWidth="1"/>
    <col min="54" max="54" width="10.5" style="1" customWidth="1"/>
    <col min="55" max="55" width="12.125" style="1" customWidth="1"/>
    <col min="56" max="56" width="7" style="1" customWidth="1"/>
    <col min="57" max="57" width="6.875" style="1" customWidth="1"/>
    <col min="58" max="16384" width="9" style="1"/>
  </cols>
  <sheetData>
    <row r="1" spans="2:32" s="29" customFormat="1" ht="23.25">
      <c r="B1" s="64" t="s">
        <v>0</v>
      </c>
      <c r="P1" s="209" t="s">
        <v>1</v>
      </c>
      <c r="Q1" s="209"/>
    </row>
    <row r="2" spans="2:32">
      <c r="B2" s="71" t="s">
        <v>2</v>
      </c>
      <c r="Q2"/>
      <c r="R2"/>
      <c r="S2"/>
      <c r="T2"/>
    </row>
    <row r="3" spans="2:32">
      <c r="B3" s="87" t="s">
        <v>3</v>
      </c>
      <c r="Q3"/>
      <c r="R3"/>
      <c r="S3"/>
      <c r="T3"/>
    </row>
    <row r="4" spans="2:32" ht="15" customHeight="1">
      <c r="B4" s="79" t="s">
        <v>4</v>
      </c>
      <c r="Q4"/>
      <c r="R4"/>
      <c r="S4"/>
      <c r="T4"/>
    </row>
    <row r="5" spans="2:32" ht="18">
      <c r="B5" s="65" t="s">
        <v>5</v>
      </c>
      <c r="D5" s="66" t="s">
        <v>6</v>
      </c>
      <c r="E5" s="67"/>
      <c r="G5" s="66" t="s">
        <v>123</v>
      </c>
      <c r="H5" s="68"/>
      <c r="I5" s="68"/>
      <c r="J5" s="68"/>
      <c r="K5" s="68"/>
      <c r="L5" s="68"/>
      <c r="M5" s="68"/>
      <c r="N5" s="67"/>
      <c r="P5" s="2" t="s">
        <v>8</v>
      </c>
      <c r="R5" s="31"/>
      <c r="T5"/>
      <c r="U5" s="2" t="s">
        <v>365</v>
      </c>
      <c r="V5" s="202"/>
      <c r="W5" s="202"/>
      <c r="X5" s="202"/>
    </row>
    <row r="6" spans="2:32" ht="75.75" customHeight="1">
      <c r="B6" s="206" t="s">
        <v>9</v>
      </c>
      <c r="D6" s="51" t="s">
        <v>10</v>
      </c>
      <c r="E6" s="51" t="s">
        <v>11</v>
      </c>
      <c r="F6"/>
      <c r="G6" s="24" t="s">
        <v>124</v>
      </c>
      <c r="H6" s="24" t="s">
        <v>12</v>
      </c>
      <c r="I6" s="24" t="s">
        <v>13</v>
      </c>
      <c r="J6" s="24" t="s">
        <v>14</v>
      </c>
      <c r="K6" s="24" t="s">
        <v>15</v>
      </c>
      <c r="L6" s="24" t="s">
        <v>16</v>
      </c>
      <c r="M6" s="24" t="s">
        <v>17</v>
      </c>
      <c r="N6" s="24" t="s">
        <v>18</v>
      </c>
      <c r="P6" s="210" t="s">
        <v>338</v>
      </c>
      <c r="Q6" s="210" t="s">
        <v>339</v>
      </c>
      <c r="R6" s="270" t="s">
        <v>21</v>
      </c>
      <c r="S6" s="270"/>
      <c r="T6"/>
      <c r="U6" s="208" t="s">
        <v>19</v>
      </c>
      <c r="V6" s="208"/>
      <c r="W6" s="210" t="s">
        <v>366</v>
      </c>
      <c r="X6" s="271" t="s">
        <v>367</v>
      </c>
      <c r="Y6" s="271"/>
      <c r="Z6" s="271"/>
      <c r="AA6"/>
    </row>
    <row r="7" spans="2:32" ht="18.75" customHeight="1">
      <c r="B7" s="70" t="s">
        <v>22</v>
      </c>
      <c r="D7" s="167" t="s">
        <v>23</v>
      </c>
      <c r="E7" s="235">
        <v>55300</v>
      </c>
      <c r="F7"/>
      <c r="G7" s="236">
        <v>2024</v>
      </c>
      <c r="H7" s="237">
        <v>580638</v>
      </c>
      <c r="I7" s="237">
        <v>43387</v>
      </c>
      <c r="J7" s="237"/>
      <c r="K7" s="237"/>
      <c r="L7" s="237"/>
      <c r="M7" s="237"/>
      <c r="N7" s="185" cm="1">
        <f t="array" ref="N7">Table_UtilityInput9[[#This Row],[Annual Electricity 
(kWh)]]*3.412*INDEX(Table_UtilityDecarb[Carbon Intensity (tCO2e/kBtu)],MATCH("Electricity"&amp;Table_UtilityInput9[[#This Row],[Usage Year]],Table_UtilityDecarb[Fuel Type]&amp;Table_UtilityDecarb[Year],0))+
Table_UtilityInput9[[#This Row],[Annual Natural Gas  
(therm)]]*100*INDEX(Table_UtilityDecarb[Carbon Intensity (tCO2e/kBtu)],MATCH("Natural Gas",Table_UtilityDecarb[Fuel Type],0))+
Table_UtilityInput9[[#This Row],[Annual District Steam  
(Mlb for ConEd, kLb for others)]]*1194*INDEX(Table_UtilityDecarb[Carbon Intensity (tCO2e/kBtu)],MATCH("District Steam"&amp;Table_UtilityInput9[[#This Row],[Usage Year]],Table_UtilityDecarb[Fuel Type]&amp;Table_UtilityDecarb[Year],0))+
Table_UtilityInput9[[#This Row],[Annual Fuel Oil'#2
(Gallon)]]*138*INDEX(Table_UtilityDecarb[Carbon Intensity (tCO2e/kBtu)],MATCH("Fuel Oil #2",Table_UtilityDecarb[Fuel Type],0))+
IF(ISNUMBER(Table_UtilityInput9[[#This Row],[Annual Other Fuel 1
(kBtu)]]),Table_UtilityInput9[[#This Row],[Annual Other Fuel 1
(kBtu)]]*INDEX(Table_UtilityDecarb[Carbon Intensity (tCO2e/kBtu)],MATCH($L$8,Table_UtilityDecarb[Fuel Type],0)),0)+
IF(ISNUMBER(Table_UtilityInput9[[#This Row],[Annual Other Fuel 2
(kBtu)]]),Table_UtilityInput9[[#This Row],[Annual Other Fuel 2
(kBtu)]]*INDEX(Table_UtilityDecarb[Carbon Intensity (tCO2e/kBtu)],MATCH($M$8,Table_UtilityDecarb[Fuel Type],0)),0)</f>
        <v>398.21067475599995</v>
      </c>
      <c r="P7" s="272" t="s">
        <v>24</v>
      </c>
      <c r="Q7" s="275" t="s">
        <v>326</v>
      </c>
      <c r="R7" s="276" t="s">
        <v>356</v>
      </c>
      <c r="S7" s="277"/>
      <c r="T7"/>
      <c r="U7" s="226" t="s">
        <v>129</v>
      </c>
      <c r="V7" s="227" t="s">
        <v>344</v>
      </c>
      <c r="W7" s="232">
        <f>INDEX(Table_HPD_DefaultRates[HPD Default Rate],MATCH('Pre-filled Sample'!$U7,Table_HPD_DefaultRates[Fuel Type],0))</f>
        <v>0.3</v>
      </c>
      <c r="X7" s="282">
        <v>0.3</v>
      </c>
      <c r="Y7" s="282"/>
      <c r="Z7" s="282"/>
      <c r="AA7"/>
    </row>
    <row r="8" spans="2:32" ht="18">
      <c r="B8" s="2"/>
      <c r="D8" s="167" t="s">
        <v>26</v>
      </c>
      <c r="E8" s="235">
        <v>5000</v>
      </c>
      <c r="F8"/>
      <c r="G8" s="78" t="s">
        <v>125</v>
      </c>
      <c r="H8"/>
      <c r="I8"/>
      <c r="J8"/>
      <c r="K8" s="145"/>
      <c r="L8" s="234"/>
      <c r="M8" s="234"/>
      <c r="N8" s="162" t="str" cm="1">
        <f t="array" ref="N8">IF(AND(ISERROR(Table_UtilityInput9[Total Emissions (tCO2e)]),OR($L$8="",$M$8="")),"Please choose the fuel type in the green drop down cell.","")</f>
        <v/>
      </c>
      <c r="P8" s="273"/>
      <c r="Q8" s="275"/>
      <c r="R8" s="278"/>
      <c r="S8" s="279"/>
      <c r="T8"/>
      <c r="U8" s="226" t="s">
        <v>130</v>
      </c>
      <c r="V8" s="227" t="s">
        <v>345</v>
      </c>
      <c r="W8" s="232" cm="1">
        <f t="array" ref="W8">INDEX(Table_HPD_DefaultRates[HPD Default Rate],MATCH('Pre-filled Sample'!$U8&amp;$Q$7,Table_HPD_DefaultRates[Fuel Type]&amp;Table_HPD_DefaultRates[Fuel Territory],0))</f>
        <v>2.6</v>
      </c>
      <c r="X8" s="228" t="s">
        <v>27</v>
      </c>
      <c r="Y8" s="228"/>
      <c r="Z8" s="228"/>
      <c r="AA8"/>
    </row>
    <row r="9" spans="2:32" ht="18">
      <c r="B9" s="2"/>
      <c r="D9" s="167" t="s">
        <v>28</v>
      </c>
      <c r="E9" s="235">
        <v>2000</v>
      </c>
      <c r="F9" s="78"/>
      <c r="H9"/>
      <c r="I9"/>
      <c r="J9"/>
      <c r="K9" s="145"/>
      <c r="L9" s="233" t="s">
        <v>126</v>
      </c>
      <c r="M9" s="145"/>
      <c r="N9" s="145"/>
      <c r="P9" s="273"/>
      <c r="Q9" s="275"/>
      <c r="R9" s="278"/>
      <c r="S9" s="279"/>
      <c r="T9"/>
      <c r="U9" s="226" t="s">
        <v>132</v>
      </c>
      <c r="V9" s="227"/>
      <c r="W9" s="232">
        <f>INDEX(Table_HPD_DefaultRates[HPD Default Rate],MATCH('Pre-filled Sample'!$U9,Table_HPD_DefaultRates[Fuel Type],0))</f>
        <v>40</v>
      </c>
      <c r="X9" s="283" t="s">
        <v>343</v>
      </c>
      <c r="Y9" s="283"/>
      <c r="Z9" s="283"/>
      <c r="AA9"/>
    </row>
    <row r="10" spans="2:32" ht="18">
      <c r="B10" s="2"/>
      <c r="D10" s="167" t="s">
        <v>30</v>
      </c>
      <c r="E10" s="235">
        <v>800</v>
      </c>
      <c r="F10" s="86"/>
      <c r="G10"/>
      <c r="H10"/>
      <c r="I10"/>
      <c r="J10"/>
      <c r="K10"/>
      <c r="L10"/>
      <c r="M10"/>
      <c r="N10"/>
      <c r="P10" s="273"/>
      <c r="Q10" s="275"/>
      <c r="R10" s="278"/>
      <c r="S10" s="279"/>
      <c r="T10"/>
      <c r="U10" s="226" t="s">
        <v>131</v>
      </c>
      <c r="V10" s="227" t="s">
        <v>346</v>
      </c>
      <c r="W10" s="232">
        <f>INDEX(Table_HPD_DefaultRates[HPD Default Rate],MATCH('Pre-filled Sample'!$U10,Table_HPD_DefaultRates[Fuel Type],0))</f>
        <v>4</v>
      </c>
      <c r="X10" s="283">
        <v>4</v>
      </c>
      <c r="Y10" s="283"/>
      <c r="Z10" s="283"/>
      <c r="AA10"/>
    </row>
    <row r="11" spans="2:32" ht="18">
      <c r="B11" s="2"/>
      <c r="D11" s="167" t="s">
        <v>31</v>
      </c>
      <c r="E11" s="235">
        <v>650</v>
      </c>
      <c r="F11" s="86"/>
      <c r="G11"/>
      <c r="H11"/>
      <c r="I11"/>
      <c r="J11"/>
      <c r="K11"/>
      <c r="L11"/>
      <c r="M11"/>
      <c r="N11"/>
      <c r="P11" s="274"/>
      <c r="Q11" s="275"/>
      <c r="R11" s="280"/>
      <c r="S11" s="281"/>
      <c r="T11"/>
      <c r="U11" s="226" t="str" cm="1">
        <f t="array" ref="U11">IF(Table_UtilityInput9[Annual Other Fuel 1
(kBtu)]&gt;0,$L$8,"")</f>
        <v/>
      </c>
      <c r="V11" s="227" t="str">
        <f>IF(U11="","","($/ kBtu)")</f>
        <v/>
      </c>
      <c r="W11" s="232" t="str">
        <f>IF($U11="","",INDEX(Table_HPD_DefaultRates[HPD Default Rate],MATCH('Pre-filled Sample'!$U11,Table_HPD_DefaultRates[Fuel Type],0)))</f>
        <v/>
      </c>
      <c r="X11" s="283" t="s">
        <v>29</v>
      </c>
      <c r="Y11" s="283"/>
      <c r="Z11" s="283"/>
      <c r="AA11"/>
    </row>
    <row r="12" spans="2:32" ht="18">
      <c r="B12" s="2"/>
      <c r="D12" s="167"/>
      <c r="E12" s="235"/>
      <c r="F12" s="78"/>
      <c r="G12"/>
      <c r="H12"/>
      <c r="I12"/>
      <c r="J12"/>
      <c r="K12"/>
      <c r="L12"/>
      <c r="M12"/>
      <c r="N12"/>
      <c r="T12"/>
      <c r="U12" s="226" t="s">
        <v>362</v>
      </c>
      <c r="V12" s="227"/>
      <c r="W12" s="267" t="s">
        <v>33</v>
      </c>
      <c r="X12" s="267"/>
      <c r="Y12" s="267"/>
      <c r="Z12" s="267"/>
      <c r="AA12"/>
    </row>
    <row r="13" spans="2:32" ht="18">
      <c r="B13" s="2"/>
      <c r="D13" s="167"/>
      <c r="E13" s="235"/>
      <c r="F13" s="78"/>
      <c r="G13"/>
      <c r="H13"/>
      <c r="I13"/>
      <c r="J13"/>
      <c r="K13"/>
      <c r="L13"/>
      <c r="M13"/>
      <c r="N13"/>
      <c r="U13" s="202"/>
      <c r="V13" s="202"/>
      <c r="W13" s="202"/>
      <c r="X13" s="202"/>
      <c r="Y13" s="202"/>
      <c r="Z13" s="202"/>
      <c r="AA13"/>
    </row>
    <row r="14" spans="2:32" ht="18">
      <c r="B14" s="2"/>
      <c r="D14" s="167"/>
      <c r="E14" s="235"/>
      <c r="F14"/>
      <c r="G14"/>
      <c r="H14"/>
      <c r="I14"/>
      <c r="J14"/>
      <c r="K14"/>
      <c r="L14"/>
      <c r="M14"/>
      <c r="N14"/>
      <c r="W14"/>
      <c r="X14"/>
      <c r="Y14"/>
      <c r="Z14"/>
      <c r="AA14"/>
    </row>
    <row r="15" spans="2:32" ht="18">
      <c r="B15" s="2"/>
      <c r="D15" s="73" t="s">
        <v>34</v>
      </c>
      <c r="E15" s="74">
        <f>_xlfn.AGGREGATE(9,7,Table_AreaInput8[Sq.Ft.])</f>
        <v>63750</v>
      </c>
      <c r="F15"/>
      <c r="G15"/>
      <c r="H15"/>
      <c r="I15"/>
      <c r="J15"/>
      <c r="K15"/>
      <c r="L15"/>
      <c r="M15"/>
      <c r="N15"/>
      <c r="W15"/>
      <c r="X15"/>
      <c r="Y15"/>
      <c r="Z15"/>
      <c r="AA15"/>
    </row>
    <row r="16" spans="2:32">
      <c r="D16" s="72"/>
      <c r="G16"/>
      <c r="H16"/>
      <c r="I16"/>
      <c r="J16"/>
      <c r="K16"/>
      <c r="L16"/>
      <c r="M16"/>
      <c r="N16"/>
      <c r="O16"/>
      <c r="X16"/>
      <c r="Y16"/>
      <c r="Z16"/>
      <c r="AA16"/>
      <c r="AB16"/>
      <c r="AC16"/>
      <c r="AD16"/>
      <c r="AE16"/>
      <c r="AF16"/>
    </row>
    <row r="17" spans="2:36" ht="18">
      <c r="D17" s="69" t="s">
        <v>35</v>
      </c>
      <c r="E17" s="69"/>
      <c r="G17" s="268" t="s">
        <v>36</v>
      </c>
      <c r="H17" s="269"/>
      <c r="I17" s="269"/>
      <c r="J17" s="269"/>
      <c r="K17" s="269"/>
      <c r="L17" s="269"/>
      <c r="M17" s="269"/>
      <c r="N17"/>
      <c r="O17"/>
      <c r="P17"/>
      <c r="Q17"/>
      <c r="R17"/>
      <c r="S17"/>
      <c r="U17" s="175" t="s">
        <v>37</v>
      </c>
      <c r="W17"/>
      <c r="X17"/>
      <c r="Z17"/>
      <c r="AA17"/>
      <c r="AB17"/>
      <c r="AC17"/>
      <c r="AD17"/>
      <c r="AE17"/>
      <c r="AF17"/>
      <c r="AG17"/>
    </row>
    <row r="18" spans="2:36" s="4" customFormat="1" ht="78" customHeight="1">
      <c r="B18" s="3" t="s">
        <v>38</v>
      </c>
      <c r="C18" s="63" t="s">
        <v>39</v>
      </c>
      <c r="D18" s="63" t="s">
        <v>40</v>
      </c>
      <c r="E18" s="63" t="s">
        <v>41</v>
      </c>
      <c r="F18" s="63" t="s">
        <v>42</v>
      </c>
      <c r="G18" s="63" t="s">
        <v>43</v>
      </c>
      <c r="H18" s="63" t="s">
        <v>44</v>
      </c>
      <c r="I18" s="63" t="s">
        <v>127</v>
      </c>
      <c r="J18" s="63" t="s">
        <v>45</v>
      </c>
      <c r="K18" s="63" t="s">
        <v>46</v>
      </c>
      <c r="L18" s="63" t="s">
        <v>47</v>
      </c>
      <c r="M18" s="63" t="s">
        <v>48</v>
      </c>
      <c r="N18" s="63" t="s">
        <v>364</v>
      </c>
      <c r="O18" s="63" t="s">
        <v>369</v>
      </c>
      <c r="P18" s="63" t="s">
        <v>368</v>
      </c>
      <c r="Q18" s="63" t="s">
        <v>52</v>
      </c>
      <c r="R18" s="63" t="s">
        <v>53</v>
      </c>
      <c r="S18" s="85" t="s">
        <v>54</v>
      </c>
      <c r="T18"/>
      <c r="U18" s="170" t="s">
        <v>38</v>
      </c>
      <c r="V18" s="170" t="s">
        <v>41</v>
      </c>
      <c r="W18" s="170" t="s">
        <v>42</v>
      </c>
      <c r="X18" s="170" t="s">
        <v>55</v>
      </c>
      <c r="Y18" s="170" t="s">
        <v>56</v>
      </c>
      <c r="Z18" s="170" t="s">
        <v>51</v>
      </c>
      <c r="AA18" s="3"/>
      <c r="AB18" s="3"/>
      <c r="AC18" s="3"/>
    </row>
    <row r="19" spans="2:36">
      <c r="B19" s="183" t="s">
        <v>57</v>
      </c>
      <c r="C19" s="168"/>
      <c r="D19" s="89" t="s">
        <v>59</v>
      </c>
      <c r="E19" s="90">
        <v>2000</v>
      </c>
      <c r="F19" s="90"/>
      <c r="G19" s="91"/>
      <c r="H19" s="91">
        <v>1789</v>
      </c>
      <c r="I19" s="91"/>
      <c r="J19" s="91"/>
      <c r="K19" s="91"/>
      <c r="L19" s="91"/>
      <c r="M19"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178900</v>
      </c>
      <c r="N19" s="215">
        <v>1700</v>
      </c>
      <c r="O19" s="174" cm="1">
        <f t="array" ref="O19">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4651.4000000000005</v>
      </c>
      <c r="P19" s="94">
        <f>IF(Table_ECM7[[#This Row],[Total Annual Utility Savings using Rates in Column W
($)]]=0,"",(Table_ECM7[[#This Row],[Cost to Install Measures ($)]]-Table_ECM7[[#This Row],[Incentives &amp; Rebates ($)]])/Table_ECM7[[#This Row],[Total Annual Utility Savings using Rates in Column W
($)]])</f>
        <v>0.42997807111837294</v>
      </c>
      <c r="Q19" s="178" t="b">
        <v>1</v>
      </c>
      <c r="R19" s="164">
        <v>2025</v>
      </c>
      <c r="S19" s="212" t="s">
        <v>60</v>
      </c>
      <c r="T19" s="163"/>
      <c r="U19" s="184" t="s">
        <v>57</v>
      </c>
      <c r="V19" s="186">
        <f>IF(Table_SummaryByScope12[[#This Row],[Scope Name]]="","",SUMIFS(Table_ECM7[Cost to Install Measures ($)],Table_ECM7[Scope Name],Table_SummaryByScope12[[#This Row],[Scope Name]]))</f>
        <v>8720</v>
      </c>
      <c r="W19" s="186">
        <f>IF(Table_SummaryByScope12[[#This Row],[Scope Name]]="","",SUMIFS(Table_ECM7[Incentives &amp; Rebates ($)],Table_ECM7[Scope Name],Table_SummaryByScope12[[#This Row],[Scope Name]]))</f>
        <v>0</v>
      </c>
      <c r="X19" s="216">
        <f>IF(Table_SummaryByScope12[[#This Row],[Scope Name]]="","",SUMIFS(Table_ECM7[Total Annual Energy Savings
(kBtu)],Table_ECM7[Scope Name],Table_SummaryByScope12[[#This Row],[Scope Name]]))</f>
        <v>519520.64399999997</v>
      </c>
      <c r="Y19" s="186">
        <f>IF(Table_SummaryByScope12[[#This Row],[Scope Name]]="","",SUMIFS(Table_ECM7[Total Annual Utility Savings using Rates in Column W
($)],Table_ECM7[Scope Name],Table_SummaryByScope12[[#This Row],[Scope Name]]))</f>
        <v>13768.900000000001</v>
      </c>
      <c r="Z19" s="187">
        <f>IF(OR(Table_SummaryByScope12[[#This Row],[Scope Name]]="",Table_SummaryByScope12[[#This Row],[Annual Utility Savings
($)]]=0),"",(Table_SummaryByScope12[[#This Row],[Cost to Install Measures ($)]]-Table_SummaryByScope12[[#This Row],[Incentives &amp; Rebates ($)]])/Table_SummaryByScope12[[#This Row],[Annual Utility Savings
($)]])</f>
        <v>0.63331130300895488</v>
      </c>
      <c r="AJ19" s="4"/>
    </row>
    <row r="20" spans="2:36">
      <c r="B20" s="183" t="s">
        <v>57</v>
      </c>
      <c r="C20" s="169"/>
      <c r="D20" s="89" t="s">
        <v>62</v>
      </c>
      <c r="E20" s="92">
        <v>2500</v>
      </c>
      <c r="F20" s="92"/>
      <c r="G20" s="91"/>
      <c r="H20" s="91">
        <v>1797</v>
      </c>
      <c r="I20" s="91"/>
      <c r="J20" s="91"/>
      <c r="K20" s="91"/>
      <c r="L20" s="91"/>
      <c r="M20"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179700</v>
      </c>
      <c r="N20" s="215">
        <v>1707</v>
      </c>
      <c r="O20" s="174" cm="1">
        <f t="array" ref="O20">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4672.2</v>
      </c>
      <c r="P20" s="95">
        <f>IF(Table_ECM7[[#This Row],[Total Annual Utility Savings using Rates in Column W
($)]]=0,"",(Table_ECM7[[#This Row],[Cost to Install Measures ($)]]-Table_ECM7[[#This Row],[Incentives &amp; Rebates ($)]])/Table_ECM7[[#This Row],[Total Annual Utility Savings using Rates in Column W
($)]])</f>
        <v>0.5350798339112196</v>
      </c>
      <c r="Q20" s="178" t="b">
        <v>1</v>
      </c>
      <c r="R20" s="165">
        <v>2025</v>
      </c>
      <c r="S20" s="213" t="s">
        <v>60</v>
      </c>
      <c r="T20" s="163"/>
      <c r="U20" s="184" t="s">
        <v>63</v>
      </c>
      <c r="V20" s="186">
        <f>IF(Table_SummaryByScope12[[#This Row],[Scope Name]]="","",SUMIFS(Table_ECM7[Cost to Install Measures ($)],Table_ECM7[Scope Name],Table_SummaryByScope12[[#This Row],[Scope Name]]))</f>
        <v>317800</v>
      </c>
      <c r="W20" s="186">
        <f>IF(Table_SummaryByScope12[[#This Row],[Scope Name]]="","",SUMIFS(Table_ECM7[Incentives &amp; Rebates ($)],Table_ECM7[Scope Name],Table_SummaryByScope12[[#This Row],[Scope Name]]))</f>
        <v>150000</v>
      </c>
      <c r="X20" s="216">
        <f>IF(Table_SummaryByScope12[[#This Row],[Scope Name]]="","",SUMIFS(Table_ECM7[Total Annual Energy Savings
(kBtu)],Table_ECM7[Scope Name],Table_SummaryByScope12[[#This Row],[Scope Name]]))</f>
        <v>998038.75600000005</v>
      </c>
      <c r="Y20" s="188">
        <f>IF(Table_SummaryByScope12[[#This Row],[Scope Name]]="","",SUMIFS(Table_ECM7[Total Annual Utility Savings using Rates in Column W
($)],Table_ECM7[Scope Name],Table_SummaryByScope12[[#This Row],[Scope Name]]))</f>
        <v>63180.7</v>
      </c>
      <c r="Z20" s="187">
        <f>IF(OR(Table_SummaryByScope12[[#This Row],[Scope Name]]="",Table_SummaryByScope12[[#This Row],[Annual Utility Savings
($)]]=0),"",(Table_SummaryByScope12[[#This Row],[Cost to Install Measures ($)]]-Table_SummaryByScope12[[#This Row],[Incentives &amp; Rebates ($)]])/Table_SummaryByScope12[[#This Row],[Annual Utility Savings
($)]])</f>
        <v>2.6558743413732357</v>
      </c>
    </row>
    <row r="21" spans="2:36">
      <c r="B21" s="183" t="s">
        <v>57</v>
      </c>
      <c r="C21" s="169"/>
      <c r="D21" s="89" t="s">
        <v>65</v>
      </c>
      <c r="E21" s="92">
        <v>3500</v>
      </c>
      <c r="F21" s="92"/>
      <c r="G21" s="91">
        <v>0</v>
      </c>
      <c r="H21" s="91">
        <v>1567</v>
      </c>
      <c r="I21" s="91"/>
      <c r="J21" s="91"/>
      <c r="K21" s="91"/>
      <c r="L21" s="91"/>
      <c r="M21"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156700</v>
      </c>
      <c r="N21" s="215">
        <v>1489</v>
      </c>
      <c r="O21" s="174" cm="1">
        <f t="array" ref="O21">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4074.2000000000003</v>
      </c>
      <c r="P21" s="95">
        <f>IF(Table_ECM7[[#This Row],[Total Annual Utility Savings using Rates in Column W
($)]]=0,"",(Table_ECM7[[#This Row],[Cost to Install Measures ($)]]-Table_ECM7[[#This Row],[Incentives &amp; Rebates ($)]])/Table_ECM7[[#This Row],[Total Annual Utility Savings using Rates in Column W
($)]])</f>
        <v>0.85906435619262667</v>
      </c>
      <c r="Q21" s="178" t="b">
        <v>1</v>
      </c>
      <c r="R21" s="165">
        <v>2025</v>
      </c>
      <c r="S21" s="213" t="s">
        <v>60</v>
      </c>
      <c r="T21" s="163"/>
      <c r="U21" s="184" t="s">
        <v>66</v>
      </c>
      <c r="V21" s="186">
        <f>IF(Table_SummaryByScope12[[#This Row],[Scope Name]]="","",SUMIFS(Table_ECM7[Cost to Install Measures ($)],Table_ECM7[Scope Name],Table_SummaryByScope12[[#This Row],[Scope Name]]))</f>
        <v>178866</v>
      </c>
      <c r="W21" s="186">
        <f>IF(Table_SummaryByScope12[[#This Row],[Scope Name]]="","",SUMIFS(Table_ECM7[Incentives &amp; Rebates ($)],Table_ECM7[Scope Name],Table_SummaryByScope12[[#This Row],[Scope Name]]))</f>
        <v>1500</v>
      </c>
      <c r="X21" s="216">
        <f>IF(Table_SummaryByScope12[[#This Row],[Scope Name]]="","",SUMIFS(Table_ECM7[Total Annual Energy Savings
(kBtu)],Table_ECM7[Scope Name],Table_SummaryByScope12[[#This Row],[Scope Name]]))</f>
        <v>305762.27600000001</v>
      </c>
      <c r="Y21" s="188">
        <f>IF(Table_SummaryByScope12[[#This Row],[Scope Name]]="","",SUMIFS(Table_ECM7[Total Annual Utility Savings using Rates in Column W
($)],Table_ECM7[Scope Name],Table_SummaryByScope12[[#This Row],[Scope Name]]))</f>
        <v>9254.1</v>
      </c>
      <c r="Z21" s="187">
        <f>IF(OR(Table_SummaryByScope12[[#This Row],[Scope Name]]="",Table_SummaryByScope12[[#This Row],[Annual Utility Savings
($)]]=0),"",(Table_SummaryByScope12[[#This Row],[Cost to Install Measures ($)]]-Table_SummaryByScope12[[#This Row],[Incentives &amp; Rebates ($)]])/Table_SummaryByScope12[[#This Row],[Annual Utility Savings
($)]])</f>
        <v>19.166207410769278</v>
      </c>
    </row>
    <row r="22" spans="2:36">
      <c r="B22" s="183" t="s">
        <v>57</v>
      </c>
      <c r="C22" s="169"/>
      <c r="D22" s="89" t="s">
        <v>68</v>
      </c>
      <c r="E22" s="92">
        <v>720</v>
      </c>
      <c r="F22" s="92"/>
      <c r="G22" s="91">
        <v>1237</v>
      </c>
      <c r="H22" s="91">
        <v>0</v>
      </c>
      <c r="I22" s="91"/>
      <c r="J22" s="91"/>
      <c r="K22" s="91"/>
      <c r="L22" s="91"/>
      <c r="M22"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4220.6440000000002</v>
      </c>
      <c r="N22" s="215">
        <v>235</v>
      </c>
      <c r="O22" s="174" cm="1">
        <f t="array" ref="O22">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371.09999999999997</v>
      </c>
      <c r="P22" s="95">
        <f>IF(Table_ECM7[[#This Row],[Total Annual Utility Savings using Rates in Column W
($)]]=0,"",(Table_ECM7[[#This Row],[Cost to Install Measures ($)]]-Table_ECM7[[#This Row],[Incentives &amp; Rebates ($)]])/Table_ECM7[[#This Row],[Total Annual Utility Savings using Rates in Column W
($)]])</f>
        <v>1.9401778496362168</v>
      </c>
      <c r="Q22" s="178" t="b">
        <v>1</v>
      </c>
      <c r="R22" s="165">
        <v>2025</v>
      </c>
      <c r="S22" s="213" t="s">
        <v>60</v>
      </c>
      <c r="T22" s="163"/>
      <c r="U22" s="184" t="s">
        <v>69</v>
      </c>
      <c r="V22" s="186">
        <f>IF(Table_SummaryByScope12[[#This Row],[Scope Name]]="","",SUMIFS(Table_ECM7[Cost to Install Measures ($)],Table_ECM7[Scope Name],Table_SummaryByScope12[[#This Row],[Scope Name]]))</f>
        <v>1089273</v>
      </c>
      <c r="W22" s="186">
        <f>IF(Table_SummaryByScope12[[#This Row],[Scope Name]]="","",SUMIFS(Table_ECM7[Incentives &amp; Rebates ($)],Table_ECM7[Scope Name],Table_SummaryByScope12[[#This Row],[Scope Name]]))</f>
        <v>0</v>
      </c>
      <c r="X22" s="216">
        <f>IF(Table_SummaryByScope12[[#This Row],[Scope Name]]="","",SUMIFS(Table_ECM7[Total Annual Energy Savings
(kBtu)],Table_ECM7[Scope Name],Table_SummaryByScope12[[#This Row],[Scope Name]]))</f>
        <v>1838080.952</v>
      </c>
      <c r="Y22" s="188">
        <f>IF(Table_SummaryByScope12[[#This Row],[Scope Name]]="","",SUMIFS(Table_ECM7[Total Annual Utility Savings using Rates in Column W
($)],Table_ECM7[Scope Name],Table_SummaryByScope12[[#This Row],[Scope Name]]))</f>
        <v>11247.000000000009</v>
      </c>
      <c r="Z22" s="187">
        <f>IF(OR(Table_SummaryByScope12[[#This Row],[Scope Name]]="",Table_SummaryByScope12[[#This Row],[Annual Utility Savings
($)]]=0),"",(Table_SummaryByScope12[[#This Row],[Cost to Install Measures ($)]]-Table_SummaryByScope12[[#This Row],[Incentives &amp; Rebates ($)]])/Table_SummaryByScope12[[#This Row],[Annual Utility Savings
($)]])</f>
        <v>96.850093358228776</v>
      </c>
    </row>
    <row r="23" spans="2:36">
      <c r="B23" s="183" t="s">
        <v>63</v>
      </c>
      <c r="C23" s="169"/>
      <c r="D23" s="89" t="s">
        <v>71</v>
      </c>
      <c r="E23" s="92">
        <v>2655</v>
      </c>
      <c r="F23" s="92"/>
      <c r="G23" s="91">
        <v>3456</v>
      </c>
      <c r="H23" s="91"/>
      <c r="I23" s="91"/>
      <c r="J23" s="91"/>
      <c r="K23" s="91"/>
      <c r="L23" s="91"/>
      <c r="M23"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11791.871999999999</v>
      </c>
      <c r="N23" s="215">
        <v>657</v>
      </c>
      <c r="O23" s="174" cm="1">
        <f t="array" ref="O23">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1036.8</v>
      </c>
      <c r="P23" s="95">
        <f>IF(Table_ECM7[[#This Row],[Total Annual Utility Savings using Rates in Column W
($)]]=0,"",(Table_ECM7[[#This Row],[Cost to Install Measures ($)]]-Table_ECM7[[#This Row],[Incentives &amp; Rebates ($)]])/Table_ECM7[[#This Row],[Total Annual Utility Savings using Rates in Column W
($)]])</f>
        <v>2.5607638888888888</v>
      </c>
      <c r="Q23" s="178" t="b">
        <v>1</v>
      </c>
      <c r="R23" s="165">
        <v>2025</v>
      </c>
      <c r="S23" s="213" t="s">
        <v>60</v>
      </c>
      <c r="T23" s="163"/>
      <c r="U23" s="184" t="s">
        <v>353</v>
      </c>
      <c r="V23" s="186">
        <f>IF(Table_SummaryByScope12[[#This Row],[Scope Name]]="","",SUMIFS(Table_ECM7[Cost to Install Measures ($)],Table_ECM7[Scope Name],Table_SummaryByScope12[[#This Row],[Scope Name]]))</f>
        <v>50000</v>
      </c>
      <c r="W23" s="186">
        <f>IF(Table_SummaryByScope12[[#This Row],[Scope Name]]="","",SUMIFS(Table_ECM7[Incentives &amp; Rebates ($)],Table_ECM7[Scope Name],Table_SummaryByScope12[[#This Row],[Scope Name]]))</f>
        <v>0</v>
      </c>
      <c r="X23" s="216">
        <f>IF(Table_SummaryByScope12[[#This Row],[Scope Name]]="","",SUMIFS(Table_ECM7[Total Annual Energy Savings
(kBtu)],Table_ECM7[Scope Name],Table_SummaryByScope12[[#This Row],[Scope Name]]))</f>
        <v>582940</v>
      </c>
      <c r="Y23" s="188">
        <f>IF(Table_SummaryByScope12[[#This Row],[Scope Name]]="","",SUMIFS(Table_ECM7[Total Annual Utility Savings using Rates in Column W
($)],Table_ECM7[Scope Name],Table_SummaryByScope12[[#This Row],[Scope Name]]))</f>
        <v>14100</v>
      </c>
      <c r="Z23" s="187">
        <f>IF(OR(Table_SummaryByScope12[[#This Row],[Scope Name]]="",Table_SummaryByScope12[[#This Row],[Annual Utility Savings
($)]]=0),"",(Table_SummaryByScope12[[#This Row],[Cost to Install Measures ($)]]-Table_SummaryByScope12[[#This Row],[Incentives &amp; Rebates ($)]])/Table_SummaryByScope12[[#This Row],[Annual Utility Savings
($)]])</f>
        <v>3.5460992907801416</v>
      </c>
    </row>
    <row r="24" spans="2:36">
      <c r="B24" s="183" t="s">
        <v>63</v>
      </c>
      <c r="C24" s="169"/>
      <c r="D24" s="89" t="s">
        <v>73</v>
      </c>
      <c r="E24" s="92">
        <v>250950</v>
      </c>
      <c r="F24" s="92">
        <v>150000</v>
      </c>
      <c r="G24" s="91">
        <v>172732</v>
      </c>
      <c r="H24" s="91"/>
      <c r="I24" s="91"/>
      <c r="J24" s="91"/>
      <c r="K24" s="91"/>
      <c r="L24" s="91"/>
      <c r="M24"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589361.58400000003</v>
      </c>
      <c r="N24" s="215">
        <v>29924</v>
      </c>
      <c r="O24" s="174" cm="1">
        <f t="array" ref="O24">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51819.6</v>
      </c>
      <c r="P24" s="95">
        <f>IF(Table_ECM7[[#This Row],[Total Annual Utility Savings using Rates in Column W
($)]]=0,"",(Table_ECM7[[#This Row],[Cost to Install Measures ($)]]-Table_ECM7[[#This Row],[Incentives &amp; Rebates ($)]])/Table_ECM7[[#This Row],[Total Annual Utility Savings using Rates in Column W
($)]])</f>
        <v>1.9481045781904918</v>
      </c>
      <c r="Q24" s="178" t="b">
        <v>1</v>
      </c>
      <c r="R24" s="165">
        <v>2025</v>
      </c>
      <c r="S24" s="213" t="s">
        <v>74</v>
      </c>
      <c r="T24" s="163"/>
      <c r="U24" s="184"/>
      <c r="V24" s="186" t="str">
        <f>IF(Table_SummaryByScope12[[#This Row],[Scope Name]]="","",SUMIFS(Table_ECM7[Cost to Install Measures ($)],Table_ECM7[Scope Name],Table_SummaryByScope12[[#This Row],[Scope Name]]))</f>
        <v/>
      </c>
      <c r="W24" s="186" t="str">
        <f>IF(Table_SummaryByScope12[[#This Row],[Scope Name]]="","",SUMIFS(Table_ECM7[Incentives &amp; Rebates ($)],Table_ECM7[Scope Name],Table_SummaryByScope12[[#This Row],[Scope Name]]))</f>
        <v/>
      </c>
      <c r="X24" s="216" t="str">
        <f>IF(Table_SummaryByScope12[[#This Row],[Scope Name]]="","",SUMIFS(Table_ECM7[Total Annual Energy Savings
(kBtu)],Table_ECM7[Scope Name],Table_SummaryByScope12[[#This Row],[Scope Name]]))</f>
        <v/>
      </c>
      <c r="Y24" s="188" t="str">
        <f>IF(Table_SummaryByScope12[[#This Row],[Scope Name]]="","",SUMIFS(Table_ECM7[Total Annual Utility Savings using Rates in Column W
($)],Table_ECM7[Scope Name],Table_SummaryByScope12[[#This Row],[Scope Name]]))</f>
        <v/>
      </c>
      <c r="Z24"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25" spans="2:36">
      <c r="B25" s="183" t="s">
        <v>63</v>
      </c>
      <c r="C25" s="169"/>
      <c r="D25" s="89" t="s">
        <v>76</v>
      </c>
      <c r="E25" s="92">
        <v>42900</v>
      </c>
      <c r="F25" s="92"/>
      <c r="G25" s="91">
        <v>0</v>
      </c>
      <c r="H25" s="91">
        <v>2662</v>
      </c>
      <c r="I25" s="91"/>
      <c r="J25" s="91"/>
      <c r="K25" s="91"/>
      <c r="L25" s="91"/>
      <c r="M25"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266200</v>
      </c>
      <c r="N25" s="215">
        <v>2529</v>
      </c>
      <c r="O25" s="174" cm="1">
        <f t="array" ref="O25">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6921.2</v>
      </c>
      <c r="P25" s="95">
        <f>IF(Table_ECM7[[#This Row],[Total Annual Utility Savings using Rates in Column W
($)]]=0,"",(Table_ECM7[[#This Row],[Cost to Install Measures ($)]]-Table_ECM7[[#This Row],[Incentives &amp; Rebates ($)]])/Table_ECM7[[#This Row],[Total Annual Utility Savings using Rates in Column W
($)]])</f>
        <v>6.1983471074380168</v>
      </c>
      <c r="Q25" s="178" t="b">
        <v>1</v>
      </c>
      <c r="R25" s="165">
        <v>2030</v>
      </c>
      <c r="S25" s="213"/>
      <c r="T25" s="163"/>
      <c r="U25" s="184"/>
      <c r="V25" s="186" t="str">
        <f>IF(Table_SummaryByScope12[[#This Row],[Scope Name]]="","",SUMIFS(Table_ECM7[Cost to Install Measures ($)],Table_ECM7[Scope Name],Table_SummaryByScope12[[#This Row],[Scope Name]]))</f>
        <v/>
      </c>
      <c r="W25" s="186" t="str">
        <f>IF(Table_SummaryByScope12[[#This Row],[Scope Name]]="","",SUMIFS(Table_ECM7[Incentives &amp; Rebates ($)],Table_ECM7[Scope Name],Table_SummaryByScope12[[#This Row],[Scope Name]]))</f>
        <v/>
      </c>
      <c r="X25" s="216" t="str">
        <f>IF(Table_SummaryByScope12[[#This Row],[Scope Name]]="","",SUMIFS(Table_ECM7[Total Annual Energy Savings
(kBtu)],Table_ECM7[Scope Name],Table_SummaryByScope12[[#This Row],[Scope Name]]))</f>
        <v/>
      </c>
      <c r="Y25" s="188" t="str">
        <f>IF(Table_SummaryByScope12[[#This Row],[Scope Name]]="","",SUMIFS(Table_ECM7[Total Annual Utility Savings using Rates in Column W
($)],Table_ECM7[Scope Name],Table_SummaryByScope12[[#This Row],[Scope Name]]))</f>
        <v/>
      </c>
      <c r="Z25"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26" spans="2:36">
      <c r="B26" s="183" t="s">
        <v>63</v>
      </c>
      <c r="C26" s="169"/>
      <c r="D26" s="89" t="s">
        <v>78</v>
      </c>
      <c r="E26" s="92">
        <v>21050</v>
      </c>
      <c r="F26" s="92"/>
      <c r="G26" s="91"/>
      <c r="H26" s="91">
        <v>1300</v>
      </c>
      <c r="I26" s="91"/>
      <c r="J26" s="91"/>
      <c r="K26" s="91"/>
      <c r="L26" s="91"/>
      <c r="M26"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130000</v>
      </c>
      <c r="N26" s="215">
        <v>1027</v>
      </c>
      <c r="O26" s="174" cm="1">
        <f t="array" ref="O26">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3380</v>
      </c>
      <c r="P26" s="95">
        <f>IF(Table_ECM7[[#This Row],[Total Annual Utility Savings using Rates in Column W
($)]]=0,"",(Table_ECM7[[#This Row],[Cost to Install Measures ($)]]-Table_ECM7[[#This Row],[Incentives &amp; Rebates ($)]])/Table_ECM7[[#This Row],[Total Annual Utility Savings using Rates in Column W
($)]])</f>
        <v>6.2278106508875739</v>
      </c>
      <c r="Q26" s="178" t="b">
        <v>1</v>
      </c>
      <c r="R26" s="165">
        <v>2030</v>
      </c>
      <c r="S26" s="214"/>
      <c r="T26" s="163"/>
      <c r="U26" s="184"/>
      <c r="V26" s="186" t="str">
        <f>IF(Table_SummaryByScope12[[#This Row],[Scope Name]]="","",SUMIFS(Table_ECM7[Cost to Install Measures ($)],Table_ECM7[Scope Name],Table_SummaryByScope12[[#This Row],[Scope Name]]))</f>
        <v/>
      </c>
      <c r="W26" s="186" t="str">
        <f>IF(Table_SummaryByScope12[[#This Row],[Scope Name]]="","",SUMIFS(Table_ECM7[Incentives &amp; Rebates ($)],Table_ECM7[Scope Name],Table_SummaryByScope12[[#This Row],[Scope Name]]))</f>
        <v/>
      </c>
      <c r="X26" s="216" t="str">
        <f>IF(Table_SummaryByScope12[[#This Row],[Scope Name]]="","",SUMIFS(Table_ECM7[Total Annual Energy Savings
(kBtu)],Table_ECM7[Scope Name],Table_SummaryByScope12[[#This Row],[Scope Name]]))</f>
        <v/>
      </c>
      <c r="Y26" s="188" t="str">
        <f>IF(Table_SummaryByScope12[[#This Row],[Scope Name]]="","",SUMIFS(Table_ECM7[Total Annual Utility Savings using Rates in Column W
($)],Table_ECM7[Scope Name],Table_SummaryByScope12[[#This Row],[Scope Name]]))</f>
        <v/>
      </c>
      <c r="Z26"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27" spans="2:36">
      <c r="B27" s="183" t="s">
        <v>63</v>
      </c>
      <c r="C27" s="169"/>
      <c r="D27" s="89" t="s">
        <v>80</v>
      </c>
      <c r="E27" s="92">
        <v>245</v>
      </c>
      <c r="F27" s="92"/>
      <c r="G27" s="91">
        <v>25</v>
      </c>
      <c r="H27" s="91">
        <v>6</v>
      </c>
      <c r="I27" s="91"/>
      <c r="J27" s="91"/>
      <c r="K27" s="91"/>
      <c r="L27" s="91"/>
      <c r="M27"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685.3</v>
      </c>
      <c r="N27" s="215">
        <v>12</v>
      </c>
      <c r="O27" s="174" cm="1">
        <f t="array" ref="O27">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23.1</v>
      </c>
      <c r="P27" s="95">
        <f>IF(Table_ECM7[[#This Row],[Total Annual Utility Savings using Rates in Column W
($)]]=0,"",(Table_ECM7[[#This Row],[Cost to Install Measures ($)]]-Table_ECM7[[#This Row],[Incentives &amp; Rebates ($)]])/Table_ECM7[[#This Row],[Total Annual Utility Savings using Rates in Column W
($)]])</f>
        <v>10.606060606060606</v>
      </c>
      <c r="Q27" s="178" t="b">
        <v>1</v>
      </c>
      <c r="R27" s="165">
        <v>2030</v>
      </c>
      <c r="S27" s="214"/>
      <c r="T27" s="163"/>
      <c r="U27" s="184"/>
      <c r="V27" s="186" t="str">
        <f>IF(Table_SummaryByScope12[[#This Row],[Scope Name]]="","",SUMIFS(Table_ECM7[Cost to Install Measures ($)],Table_ECM7[Scope Name],Table_SummaryByScope12[[#This Row],[Scope Name]]))</f>
        <v/>
      </c>
      <c r="W27" s="186" t="str">
        <f>IF(Table_SummaryByScope12[[#This Row],[Scope Name]]="","",SUMIFS(Table_ECM7[Incentives &amp; Rebates ($)],Table_ECM7[Scope Name],Table_SummaryByScope12[[#This Row],[Scope Name]]))</f>
        <v/>
      </c>
      <c r="X27" s="216" t="str">
        <f>IF(Table_SummaryByScope12[[#This Row],[Scope Name]]="","",SUMIFS(Table_ECM7[Total Annual Energy Savings
(kBtu)],Table_ECM7[Scope Name],Table_SummaryByScope12[[#This Row],[Scope Name]]))</f>
        <v/>
      </c>
      <c r="Y27" s="188" t="str">
        <f>IF(Table_SummaryByScope12[[#This Row],[Scope Name]]="","",SUMIFS(Table_ECM7[Total Annual Utility Savings using Rates in Column W
($)],Table_ECM7[Scope Name],Table_SummaryByScope12[[#This Row],[Scope Name]]))</f>
        <v/>
      </c>
      <c r="Z27"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28" spans="2:36">
      <c r="B28" s="183" t="s">
        <v>66</v>
      </c>
      <c r="C28" s="169"/>
      <c r="D28" s="89" t="s">
        <v>82</v>
      </c>
      <c r="E28" s="92">
        <v>27200</v>
      </c>
      <c r="F28" s="92"/>
      <c r="G28" s="91">
        <v>5283</v>
      </c>
      <c r="H28" s="91"/>
      <c r="I28" s="91"/>
      <c r="J28" s="91"/>
      <c r="K28" s="91"/>
      <c r="L28" s="91"/>
      <c r="M28"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18025.596000000001</v>
      </c>
      <c r="N28" s="215">
        <v>1124</v>
      </c>
      <c r="O28" s="174" cm="1">
        <f t="array" ref="O28">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1584.8999999999999</v>
      </c>
      <c r="P28" s="95">
        <f>IF(Table_ECM7[[#This Row],[Total Annual Utility Savings using Rates in Column W
($)]]=0,"",(Table_ECM7[[#This Row],[Cost to Install Measures ($)]]-Table_ECM7[[#This Row],[Incentives &amp; Rebates ($)]])/Table_ECM7[[#This Row],[Total Annual Utility Savings using Rates in Column W
($)]])</f>
        <v>17.161966054640672</v>
      </c>
      <c r="Q28" s="178" t="b">
        <v>1</v>
      </c>
      <c r="R28" s="165">
        <v>2035</v>
      </c>
      <c r="S28" s="214"/>
      <c r="T28" s="163"/>
      <c r="U28" s="184"/>
      <c r="V28" s="186" t="str">
        <f>IF(Table_SummaryByScope12[[#This Row],[Scope Name]]="","",SUMIFS(Table_ECM7[Cost to Install Measures ($)],Table_ECM7[Scope Name],Table_SummaryByScope12[[#This Row],[Scope Name]]))</f>
        <v/>
      </c>
      <c r="W28" s="186" t="str">
        <f>IF(Table_SummaryByScope12[[#This Row],[Scope Name]]="","",SUMIFS(Table_ECM7[Incentives &amp; Rebates ($)],Table_ECM7[Scope Name],Table_SummaryByScope12[[#This Row],[Scope Name]]))</f>
        <v/>
      </c>
      <c r="X28" s="216" t="str">
        <f>IF(Table_SummaryByScope12[[#This Row],[Scope Name]]="","",SUMIFS(Table_ECM7[Total Annual Energy Savings
(kBtu)],Table_ECM7[Scope Name],Table_SummaryByScope12[[#This Row],[Scope Name]]))</f>
        <v/>
      </c>
      <c r="Y28" s="188" t="str">
        <f>IF(Table_SummaryByScope12[[#This Row],[Scope Name]]="","",SUMIFS(Table_ECM7[Total Annual Utility Savings using Rates in Column W
($)],Table_ECM7[Scope Name],Table_SummaryByScope12[[#This Row],[Scope Name]]))</f>
        <v/>
      </c>
      <c r="Z28"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29" spans="2:36">
      <c r="B29" s="183" t="s">
        <v>66</v>
      </c>
      <c r="C29" s="169"/>
      <c r="D29" s="89" t="s">
        <v>84</v>
      </c>
      <c r="E29" s="92">
        <v>30294</v>
      </c>
      <c r="F29" s="92">
        <v>1500</v>
      </c>
      <c r="G29" s="91"/>
      <c r="H29" s="91">
        <v>1058</v>
      </c>
      <c r="I29" s="91"/>
      <c r="J29" s="91"/>
      <c r="K29" s="91"/>
      <c r="L29" s="91"/>
      <c r="M29"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105800</v>
      </c>
      <c r="N29" s="215">
        <v>1005</v>
      </c>
      <c r="O29" s="174" cm="1">
        <f t="array" ref="O29">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2750.8</v>
      </c>
      <c r="P29" s="95">
        <f>IF(Table_ECM7[[#This Row],[Total Annual Utility Savings using Rates in Column W
($)]]=0,"",(Table_ECM7[[#This Row],[Cost to Install Measures ($)]]-Table_ECM7[[#This Row],[Incentives &amp; Rebates ($)]])/Table_ECM7[[#This Row],[Total Annual Utility Savings using Rates in Column W
($)]])</f>
        <v>10.467500363530609</v>
      </c>
      <c r="Q29" s="178" t="b">
        <v>1</v>
      </c>
      <c r="R29" s="165">
        <v>2035</v>
      </c>
      <c r="S29" s="214"/>
      <c r="T29" s="163"/>
      <c r="U29" s="184"/>
      <c r="V29" s="186" t="str">
        <f>IF(Table_SummaryByScope12[[#This Row],[Scope Name]]="","",SUMIFS(Table_ECM7[Cost to Install Measures ($)],Table_ECM7[Scope Name],Table_SummaryByScope12[[#This Row],[Scope Name]]))</f>
        <v/>
      </c>
      <c r="W29" s="186" t="str">
        <f>IF(Table_SummaryByScope12[[#This Row],[Scope Name]]="","",SUMIFS(Table_ECM7[Incentives &amp; Rebates ($)],Table_ECM7[Scope Name],Table_SummaryByScope12[[#This Row],[Scope Name]]))</f>
        <v/>
      </c>
      <c r="X29" s="216" t="str">
        <f>IF(Table_SummaryByScope12[[#This Row],[Scope Name]]="","",SUMIFS(Table_ECM7[Total Annual Energy Savings
(kBtu)],Table_ECM7[Scope Name],Table_SummaryByScope12[[#This Row],[Scope Name]]))</f>
        <v/>
      </c>
      <c r="Y29" s="188" t="str">
        <f>IF(Table_SummaryByScope12[[#This Row],[Scope Name]]="","",SUMIFS(Table_ECM7[Total Annual Utility Savings using Rates in Column W
($)],Table_ECM7[Scope Name],Table_SummaryByScope12[[#This Row],[Scope Name]]))</f>
        <v/>
      </c>
      <c r="Z29"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30" spans="2:36">
      <c r="B30" s="183" t="s">
        <v>66</v>
      </c>
      <c r="C30" s="169"/>
      <c r="D30" s="89" t="s">
        <v>86</v>
      </c>
      <c r="E30" s="92">
        <v>94200</v>
      </c>
      <c r="F30" s="92"/>
      <c r="G30" s="91">
        <v>652</v>
      </c>
      <c r="H30" s="91">
        <v>1437</v>
      </c>
      <c r="I30" s="91"/>
      <c r="J30" s="91"/>
      <c r="K30" s="91"/>
      <c r="L30" s="91"/>
      <c r="M30"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145924.62400000001</v>
      </c>
      <c r="N30" s="215">
        <v>1743</v>
      </c>
      <c r="O30" s="174" cm="1">
        <f t="array" ref="O30">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3931.8</v>
      </c>
      <c r="P30" s="95">
        <f>IF(Table_ECM7[[#This Row],[Total Annual Utility Savings using Rates in Column W
($)]]=0,"",(Table_ECM7[[#This Row],[Cost to Install Measures ($)]]-Table_ECM7[[#This Row],[Incentives &amp; Rebates ($)]])/Table_ECM7[[#This Row],[Total Annual Utility Savings using Rates in Column W
($)]])</f>
        <v>23.958492293605982</v>
      </c>
      <c r="Q30" s="178" t="b">
        <v>1</v>
      </c>
      <c r="R30" s="165">
        <v>2035</v>
      </c>
      <c r="S30" s="214"/>
      <c r="T30" s="163"/>
      <c r="U30" s="184"/>
      <c r="V30" s="186" t="str">
        <f>IF(Table_SummaryByScope12[[#This Row],[Scope Name]]="","",SUMIFS(Table_ECM7[Cost to Install Measures ($)],Table_ECM7[Scope Name],Table_SummaryByScope12[[#This Row],[Scope Name]]))</f>
        <v/>
      </c>
      <c r="W30" s="186" t="str">
        <f>IF(Table_SummaryByScope12[[#This Row],[Scope Name]]="","",SUMIFS(Table_ECM7[Incentives &amp; Rebates ($)],Table_ECM7[Scope Name],Table_SummaryByScope12[[#This Row],[Scope Name]]))</f>
        <v/>
      </c>
      <c r="X30" s="216" t="str">
        <f>IF(Table_SummaryByScope12[[#This Row],[Scope Name]]="","",SUMIFS(Table_ECM7[Total Annual Energy Savings
(kBtu)],Table_ECM7[Scope Name],Table_SummaryByScope12[[#This Row],[Scope Name]]))</f>
        <v/>
      </c>
      <c r="Y30" s="188" t="str">
        <f>IF(Table_SummaryByScope12[[#This Row],[Scope Name]]="","",SUMIFS(Table_ECM7[Total Annual Utility Savings using Rates in Column W
($)],Table_ECM7[Scope Name],Table_SummaryByScope12[[#This Row],[Scope Name]]))</f>
        <v/>
      </c>
      <c r="Z30"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31" spans="2:36">
      <c r="B31" s="183" t="s">
        <v>66</v>
      </c>
      <c r="C31" s="169"/>
      <c r="D31" s="89" t="s">
        <v>88</v>
      </c>
      <c r="E31" s="92">
        <v>27172</v>
      </c>
      <c r="F31" s="92"/>
      <c r="G31" s="91">
        <v>238</v>
      </c>
      <c r="H31" s="91">
        <v>352</v>
      </c>
      <c r="I31" s="91"/>
      <c r="J31" s="91"/>
      <c r="K31" s="91"/>
      <c r="L31" s="91"/>
      <c r="M31"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36012.055999999997</v>
      </c>
      <c r="N31" s="215">
        <v>442</v>
      </c>
      <c r="O31" s="174" cm="1">
        <f t="array" ref="O31">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986.6</v>
      </c>
      <c r="P31" s="95">
        <f>IF(Table_ECM7[[#This Row],[Total Annual Utility Savings using Rates in Column W
($)]]=0,"",(Table_ECM7[[#This Row],[Cost to Install Measures ($)]]-Table_ECM7[[#This Row],[Incentives &amp; Rebates ($)]])/Table_ECM7[[#This Row],[Total Annual Utility Savings using Rates in Column W
($)]])</f>
        <v>27.541050070950739</v>
      </c>
      <c r="Q31" s="178" t="b">
        <v>1</v>
      </c>
      <c r="R31" s="165">
        <v>2035</v>
      </c>
      <c r="S31" s="214"/>
      <c r="T31" s="163"/>
      <c r="U31" s="184"/>
      <c r="V31" s="186" t="str">
        <f>IF(Table_SummaryByScope12[[#This Row],[Scope Name]]="","",SUMIFS(Table_ECM7[Cost to Install Measures ($)],Table_ECM7[Scope Name],Table_SummaryByScope12[[#This Row],[Scope Name]]))</f>
        <v/>
      </c>
      <c r="W31" s="186" t="str">
        <f>IF(Table_SummaryByScope12[[#This Row],[Scope Name]]="","",SUMIFS(Table_ECM7[Incentives &amp; Rebates ($)],Table_ECM7[Scope Name],Table_SummaryByScope12[[#This Row],[Scope Name]]))</f>
        <v/>
      </c>
      <c r="X31" s="216" t="str">
        <f>IF(Table_SummaryByScope12[[#This Row],[Scope Name]]="","",SUMIFS(Table_ECM7[Total Annual Energy Savings
(kBtu)],Table_ECM7[Scope Name],Table_SummaryByScope12[[#This Row],[Scope Name]]))</f>
        <v/>
      </c>
      <c r="Y31" s="188" t="str">
        <f>IF(Table_SummaryByScope12[[#This Row],[Scope Name]]="","",SUMIFS(Table_ECM7[Total Annual Utility Savings using Rates in Column W
($)],Table_ECM7[Scope Name],Table_SummaryByScope12[[#This Row],[Scope Name]]))</f>
        <v/>
      </c>
      <c r="Z31"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32" spans="2:36">
      <c r="B32" s="183" t="s">
        <v>69</v>
      </c>
      <c r="C32" s="169"/>
      <c r="D32" s="89" t="s">
        <v>90</v>
      </c>
      <c r="E32" s="92">
        <f>55*12000</f>
        <v>660000</v>
      </c>
      <c r="F32" s="92">
        <v>0</v>
      </c>
      <c r="G32" s="91">
        <v>-124781</v>
      </c>
      <c r="H32" s="91">
        <v>16518</v>
      </c>
      <c r="I32" s="91"/>
      <c r="J32" s="91"/>
      <c r="K32" s="91"/>
      <c r="L32" s="91"/>
      <c r="M32"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1226047.2280000001</v>
      </c>
      <c r="N32" s="215">
        <v>-9597</v>
      </c>
      <c r="O32" s="174" cm="1">
        <f t="array" ref="O32">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5512.5000000000073</v>
      </c>
      <c r="P32" s="95">
        <f>IF(Table_ECM7[[#This Row],[Total Annual Utility Savings using Rates in Column W
($)]]=0,"",(Table_ECM7[[#This Row],[Cost to Install Measures ($)]]-Table_ECM7[[#This Row],[Incentives &amp; Rebates ($)]])/Table_ECM7[[#This Row],[Total Annual Utility Savings using Rates in Column W
($)]])</f>
        <v>119.72789115646243</v>
      </c>
      <c r="Q32" s="178" t="b">
        <v>1</v>
      </c>
      <c r="R32" s="165">
        <v>2040</v>
      </c>
      <c r="S32" s="214" t="s">
        <v>91</v>
      </c>
      <c r="T32" s="163"/>
      <c r="U32" s="184"/>
      <c r="V32" s="186" t="str">
        <f>IF(Table_SummaryByScope12[[#This Row],[Scope Name]]="","",SUMIFS(Table_ECM7[Cost to Install Measures ($)],Table_ECM7[Scope Name],Table_SummaryByScope12[[#This Row],[Scope Name]]))</f>
        <v/>
      </c>
      <c r="W32" s="186" t="str">
        <f>IF(Table_SummaryByScope12[[#This Row],[Scope Name]]="","",SUMIFS(Table_ECM7[Incentives &amp; Rebates ($)],Table_ECM7[Scope Name],Table_SummaryByScope12[[#This Row],[Scope Name]]))</f>
        <v/>
      </c>
      <c r="X32" s="216" t="str">
        <f>IF(Table_SummaryByScope12[[#This Row],[Scope Name]]="","",SUMIFS(Table_ECM7[Total Annual Energy Savings
(kBtu)],Table_ECM7[Scope Name],Table_SummaryByScope12[[#This Row],[Scope Name]]))</f>
        <v/>
      </c>
      <c r="Y32" s="188" t="str">
        <f>IF(Table_SummaryByScope12[[#This Row],[Scope Name]]="","",SUMIFS(Table_ECM7[Total Annual Utility Savings using Rates in Column W
($)],Table_ECM7[Scope Name],Table_SummaryByScope12[[#This Row],[Scope Name]]))</f>
        <v/>
      </c>
      <c r="Z32"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33" spans="2:36">
      <c r="B33" s="183" t="s">
        <v>69</v>
      </c>
      <c r="C33" s="169"/>
      <c r="D33" s="89" t="s">
        <v>93</v>
      </c>
      <c r="E33" s="92">
        <v>154273</v>
      </c>
      <c r="F33" s="92">
        <v>0</v>
      </c>
      <c r="G33" s="91">
        <v>-48173</v>
      </c>
      <c r="H33" s="91">
        <v>7764</v>
      </c>
      <c r="I33" s="91"/>
      <c r="J33" s="91"/>
      <c r="K33" s="91"/>
      <c r="L33" s="91"/>
      <c r="M33"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612033.72400000005</v>
      </c>
      <c r="N33" s="215">
        <v>-2655</v>
      </c>
      <c r="O33" s="174" cm="1">
        <f t="array" ref="O33">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5734.5000000000018</v>
      </c>
      <c r="P33" s="95">
        <f>IF(Table_ECM7[[#This Row],[Total Annual Utility Savings using Rates in Column W
($)]]=0,"",(Table_ECM7[[#This Row],[Cost to Install Measures ($)]]-Table_ECM7[[#This Row],[Incentives &amp; Rebates ($)]])/Table_ECM7[[#This Row],[Total Annual Utility Savings using Rates in Column W
($)]])</f>
        <v>26.902607027639714</v>
      </c>
      <c r="Q33" s="178" t="b">
        <v>1</v>
      </c>
      <c r="R33" s="165">
        <v>2040</v>
      </c>
      <c r="S33" s="214" t="s">
        <v>91</v>
      </c>
      <c r="T33" s="163"/>
      <c r="U33" s="184"/>
      <c r="V33" s="186" t="str">
        <f>IF(Table_SummaryByScope12[[#This Row],[Scope Name]]="","",SUMIFS(Table_ECM7[Cost to Install Measures ($)],Table_ECM7[Scope Name],Table_SummaryByScope12[[#This Row],[Scope Name]]))</f>
        <v/>
      </c>
      <c r="W33" s="186" t="str">
        <f>IF(Table_SummaryByScope12[[#This Row],[Scope Name]]="","",SUMIFS(Table_ECM7[Incentives &amp; Rebates ($)],Table_ECM7[Scope Name],Table_SummaryByScope12[[#This Row],[Scope Name]]))</f>
        <v/>
      </c>
      <c r="X33" s="216" t="str">
        <f>IF(Table_SummaryByScope12[[#This Row],[Scope Name]]="","",SUMIFS(Table_ECM7[Total Annual Energy Savings
(kBtu)],Table_ECM7[Scope Name],Table_SummaryByScope12[[#This Row],[Scope Name]]))</f>
        <v/>
      </c>
      <c r="Y33" s="188" t="str">
        <f>IF(Table_SummaryByScope12[[#This Row],[Scope Name]]="","",SUMIFS(Table_ECM7[Total Annual Utility Savings using Rates in Column W
($)],Table_ECM7[Scope Name],Table_SummaryByScope12[[#This Row],[Scope Name]]))</f>
        <v/>
      </c>
      <c r="Z33"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34" spans="2:36">
      <c r="B34" s="183" t="s">
        <v>69</v>
      </c>
      <c r="C34" s="169"/>
      <c r="D34" s="89" t="s">
        <v>363</v>
      </c>
      <c r="E34" s="92">
        <f>55*5000</f>
        <v>275000</v>
      </c>
      <c r="F34" s="92">
        <v>0</v>
      </c>
      <c r="G34" s="91">
        <v>0</v>
      </c>
      <c r="H34" s="91">
        <v>0</v>
      </c>
      <c r="I34" s="91"/>
      <c r="J34" s="91"/>
      <c r="K34" s="91"/>
      <c r="L34" s="91"/>
      <c r="M34"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0</v>
      </c>
      <c r="N34" s="215">
        <v>0</v>
      </c>
      <c r="O34" s="174" cm="1">
        <f t="array" ref="O34">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0</v>
      </c>
      <c r="P34" s="95" t="str">
        <f>IF(Table_ECM7[[#This Row],[Total Annual Utility Savings using Rates in Column W
($)]]=0,"",(Table_ECM7[[#This Row],[Cost to Install Measures ($)]]-Table_ECM7[[#This Row],[Incentives &amp; Rebates ($)]])/Table_ECM7[[#This Row],[Total Annual Utility Savings using Rates in Column W
($)]])</f>
        <v/>
      </c>
      <c r="Q34" s="178" t="b">
        <v>1</v>
      </c>
      <c r="R34" s="165">
        <v>2050</v>
      </c>
      <c r="S34" s="214"/>
      <c r="T34" s="163"/>
      <c r="U34" s="184"/>
      <c r="V34" s="186" t="str">
        <f>IF(Table_SummaryByScope12[[#This Row],[Scope Name]]="","",SUMIFS(Table_ECM7[Cost to Install Measures ($)],Table_ECM7[Scope Name],Table_SummaryByScope12[[#This Row],[Scope Name]]))</f>
        <v/>
      </c>
      <c r="W34" s="186" t="str">
        <f>IF(Table_SummaryByScope12[[#This Row],[Scope Name]]="","",SUMIFS(Table_ECM7[Incentives &amp; Rebates ($)],Table_ECM7[Scope Name],Table_SummaryByScope12[[#This Row],[Scope Name]]))</f>
        <v/>
      </c>
      <c r="X34" s="216" t="str">
        <f>IF(Table_SummaryByScope12[[#This Row],[Scope Name]]="","",SUMIFS(Table_ECM7[Total Annual Energy Savings
(kBtu)],Table_ECM7[Scope Name],Table_SummaryByScope12[[#This Row],[Scope Name]]))</f>
        <v/>
      </c>
      <c r="Y34" s="188" t="str">
        <f>IF(Table_SummaryByScope12[[#This Row],[Scope Name]]="","",SUMIFS(Table_ECM7[Total Annual Utility Savings using Rates in Column W
($)],Table_ECM7[Scope Name],Table_SummaryByScope12[[#This Row],[Scope Name]]))</f>
        <v/>
      </c>
      <c r="Z34"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35" spans="2:36">
      <c r="B35" s="183" t="s">
        <v>353</v>
      </c>
      <c r="C35" s="169"/>
      <c r="D35" s="89" t="s">
        <v>354</v>
      </c>
      <c r="E35" s="92">
        <v>50000</v>
      </c>
      <c r="F35" s="92">
        <v>0</v>
      </c>
      <c r="G35" s="91">
        <v>-5000</v>
      </c>
      <c r="H35" s="91">
        <v>6000</v>
      </c>
      <c r="I35" s="91"/>
      <c r="J35" s="91"/>
      <c r="K35" s="91"/>
      <c r="L35" s="91"/>
      <c r="M35" s="96">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582940</v>
      </c>
      <c r="N35" s="215">
        <v>0</v>
      </c>
      <c r="O35" s="174" cm="1">
        <f t="array" ref="O35">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14100</v>
      </c>
      <c r="P35" s="95">
        <f>IF(Table_ECM7[[#This Row],[Total Annual Utility Savings using Rates in Column W
($)]]=0,"",(Table_ECM7[[#This Row],[Cost to Install Measures ($)]]-Table_ECM7[[#This Row],[Incentives &amp; Rebates ($)]])/Table_ECM7[[#This Row],[Total Annual Utility Savings using Rates in Column W
($)]])</f>
        <v>3.5460992907801416</v>
      </c>
      <c r="Q35" s="178" t="b">
        <v>0</v>
      </c>
      <c r="R35" s="165"/>
      <c r="S35" s="214"/>
      <c r="T35" s="163"/>
      <c r="U35" s="184"/>
      <c r="V35" s="186" t="str">
        <f>IF(Table_SummaryByScope12[[#This Row],[Scope Name]]="","",SUMIFS(Table_ECM7[Cost to Install Measures ($)],Table_ECM7[Scope Name],Table_SummaryByScope12[[#This Row],[Scope Name]]))</f>
        <v/>
      </c>
      <c r="W35" s="186" t="str">
        <f>IF(Table_SummaryByScope12[[#This Row],[Scope Name]]="","",SUMIFS(Table_ECM7[Incentives &amp; Rebates ($)],Table_ECM7[Scope Name],Table_SummaryByScope12[[#This Row],[Scope Name]]))</f>
        <v/>
      </c>
      <c r="X35" s="216" t="str">
        <f>IF(Table_SummaryByScope12[[#This Row],[Scope Name]]="","",SUMIFS(Table_ECM7[Total Annual Energy Savings
(kBtu)],Table_ECM7[Scope Name],Table_SummaryByScope12[[#This Row],[Scope Name]]))</f>
        <v/>
      </c>
      <c r="Y35" s="188" t="str">
        <f>IF(Table_SummaryByScope12[[#This Row],[Scope Name]]="","",SUMIFS(Table_ECM7[Total Annual Utility Savings using Rates in Column W
($)],Table_ECM7[Scope Name],Table_SummaryByScope12[[#This Row],[Scope Name]]))</f>
        <v/>
      </c>
      <c r="Z35"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36" spans="2:36">
      <c r="B36" s="183"/>
      <c r="C36" s="169"/>
      <c r="D36" s="89"/>
      <c r="E36" s="93"/>
      <c r="F36" s="93"/>
      <c r="G36" s="91"/>
      <c r="H36" s="91"/>
      <c r="I36" s="91"/>
      <c r="J36" s="91"/>
      <c r="K36" s="91"/>
      <c r="L36" s="91"/>
      <c r="M36" s="97">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0</v>
      </c>
      <c r="N36" s="215">
        <v>0</v>
      </c>
      <c r="O36" s="174" cm="1">
        <f t="array" ref="O36">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0</v>
      </c>
      <c r="P36" s="95" t="str">
        <f>IF(Table_ECM7[[#This Row],[Total Annual Utility Savings using Rates in Column W
($)]]=0,"",(Table_ECM7[[#This Row],[Cost to Install Measures ($)]]-Table_ECM7[[#This Row],[Incentives &amp; Rebates ($)]])/Table_ECM7[[#This Row],[Total Annual Utility Savings using Rates in Column W
($)]])</f>
        <v/>
      </c>
      <c r="Q36" s="178" t="b">
        <v>0</v>
      </c>
      <c r="R36" s="165"/>
      <c r="S36" s="213"/>
      <c r="T36" s="163"/>
      <c r="U36" s="184"/>
      <c r="V36" s="186" t="str">
        <f>IF(Table_SummaryByScope12[[#This Row],[Scope Name]]="","",SUMIFS(Table_ECM7[Cost to Install Measures ($)],Table_ECM7[Scope Name],Table_SummaryByScope12[[#This Row],[Scope Name]]))</f>
        <v/>
      </c>
      <c r="W36" s="186" t="str">
        <f>IF(Table_SummaryByScope12[[#This Row],[Scope Name]]="","",SUMIFS(Table_ECM7[Incentives &amp; Rebates ($)],Table_ECM7[Scope Name],Table_SummaryByScope12[[#This Row],[Scope Name]]))</f>
        <v/>
      </c>
      <c r="X36" s="216" t="str">
        <f>IF(Table_SummaryByScope12[[#This Row],[Scope Name]]="","",SUMIFS(Table_ECM7[Total Annual Energy Savings
(kBtu)],Table_ECM7[Scope Name],Table_SummaryByScope12[[#This Row],[Scope Name]]))</f>
        <v/>
      </c>
      <c r="Y36" s="188" t="str">
        <f>IF(Table_SummaryByScope12[[#This Row],[Scope Name]]="","",SUMIFS(Table_ECM7[Total Annual Utility Savings using Rates in Column W
($)],Table_ECM7[Scope Name],Table_SummaryByScope12[[#This Row],[Scope Name]]))</f>
        <v/>
      </c>
      <c r="Z36"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37" spans="2:36">
      <c r="B37" s="183"/>
      <c r="C37" s="169"/>
      <c r="D37" s="89"/>
      <c r="E37" s="93"/>
      <c r="F37" s="93"/>
      <c r="G37" s="91"/>
      <c r="H37" s="91"/>
      <c r="I37" s="91"/>
      <c r="J37" s="91"/>
      <c r="K37" s="91"/>
      <c r="L37" s="91"/>
      <c r="M37" s="97">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0</v>
      </c>
      <c r="N37" s="215">
        <v>0</v>
      </c>
      <c r="O37" s="174" cm="1">
        <f t="array" ref="O37">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0</v>
      </c>
      <c r="P37" s="95" t="str">
        <f>IF(Table_ECM7[[#This Row],[Total Annual Utility Savings using Rates in Column W
($)]]=0,"",(Table_ECM7[[#This Row],[Cost to Install Measures ($)]]-Table_ECM7[[#This Row],[Incentives &amp; Rebates ($)]])/Table_ECM7[[#This Row],[Total Annual Utility Savings using Rates in Column W
($)]])</f>
        <v/>
      </c>
      <c r="Q37" s="178" t="b">
        <v>0</v>
      </c>
      <c r="R37" s="165"/>
      <c r="S37" s="213"/>
      <c r="T37" s="163"/>
      <c r="U37" s="184"/>
      <c r="V37" s="186" t="str">
        <f>IF(Table_SummaryByScope12[[#This Row],[Scope Name]]="","",SUMIFS(Table_ECM7[Cost to Install Measures ($)],Table_ECM7[Scope Name],Table_SummaryByScope12[[#This Row],[Scope Name]]))</f>
        <v/>
      </c>
      <c r="W37" s="186" t="str">
        <f>IF(Table_SummaryByScope12[[#This Row],[Scope Name]]="","",SUMIFS(Table_ECM7[Incentives &amp; Rebates ($)],Table_ECM7[Scope Name],Table_SummaryByScope12[[#This Row],[Scope Name]]))</f>
        <v/>
      </c>
      <c r="X37" s="216" t="str">
        <f>IF(Table_SummaryByScope12[[#This Row],[Scope Name]]="","",SUMIFS(Table_ECM7[Total Annual Energy Savings
(kBtu)],Table_ECM7[Scope Name],Table_SummaryByScope12[[#This Row],[Scope Name]]))</f>
        <v/>
      </c>
      <c r="Y37" s="188" t="str">
        <f>IF(Table_SummaryByScope12[[#This Row],[Scope Name]]="","",SUMIFS(Table_ECM7[Total Annual Utility Savings using Rates in Column W
($)],Table_ECM7[Scope Name],Table_SummaryByScope12[[#This Row],[Scope Name]]))</f>
        <v/>
      </c>
      <c r="Z37"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38" spans="2:36">
      <c r="B38" s="183"/>
      <c r="C38" s="169"/>
      <c r="D38" s="89"/>
      <c r="E38" s="93"/>
      <c r="F38" s="93"/>
      <c r="G38" s="91"/>
      <c r="H38" s="91"/>
      <c r="I38" s="91"/>
      <c r="J38" s="91"/>
      <c r="K38" s="91"/>
      <c r="L38" s="91"/>
      <c r="M38" s="97">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0</v>
      </c>
      <c r="N38" s="215">
        <v>0</v>
      </c>
      <c r="O38" s="174" cm="1">
        <f t="array" ref="O38">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0</v>
      </c>
      <c r="P38" s="95" t="str">
        <f>IF(Table_ECM7[[#This Row],[Total Annual Utility Savings using Rates in Column W
($)]]=0,"",(Table_ECM7[[#This Row],[Cost to Install Measures ($)]]-Table_ECM7[[#This Row],[Incentives &amp; Rebates ($)]])/Table_ECM7[[#This Row],[Total Annual Utility Savings using Rates in Column W
($)]])</f>
        <v/>
      </c>
      <c r="Q38" s="178" t="b">
        <v>0</v>
      </c>
      <c r="R38" s="165"/>
      <c r="S38" s="213"/>
      <c r="T38" s="163"/>
      <c r="U38" s="184"/>
      <c r="V38" s="186" t="str">
        <f>IF(Table_SummaryByScope12[[#This Row],[Scope Name]]="","",SUMIFS(Table_ECM7[Cost to Install Measures ($)],Table_ECM7[Scope Name],Table_SummaryByScope12[[#This Row],[Scope Name]]))</f>
        <v/>
      </c>
      <c r="W38" s="186" t="str">
        <f>IF(Table_SummaryByScope12[[#This Row],[Scope Name]]="","",SUMIFS(Table_ECM7[Incentives &amp; Rebates ($)],Table_ECM7[Scope Name],Table_SummaryByScope12[[#This Row],[Scope Name]]))</f>
        <v/>
      </c>
      <c r="X38" s="216" t="str">
        <f>IF(Table_SummaryByScope12[[#This Row],[Scope Name]]="","",SUMIFS(Table_ECM7[Total Annual Energy Savings
(kBtu)],Table_ECM7[Scope Name],Table_SummaryByScope12[[#This Row],[Scope Name]]))</f>
        <v/>
      </c>
      <c r="Y38" s="188" t="str">
        <f>IF(Table_SummaryByScope12[[#This Row],[Scope Name]]="","",SUMIFS(Table_ECM7[Total Annual Utility Savings using Rates in Column W
($)],Table_ECM7[Scope Name],Table_SummaryByScope12[[#This Row],[Scope Name]]))</f>
        <v/>
      </c>
      <c r="Z38"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39" spans="2:36">
      <c r="B39" s="183"/>
      <c r="C39" s="169"/>
      <c r="D39" s="89"/>
      <c r="E39" s="93"/>
      <c r="F39" s="93"/>
      <c r="G39" s="91"/>
      <c r="H39" s="91"/>
      <c r="I39" s="91"/>
      <c r="J39" s="91"/>
      <c r="K39" s="91"/>
      <c r="L39" s="91"/>
      <c r="M39" s="97">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0</v>
      </c>
      <c r="N39" s="215">
        <v>0</v>
      </c>
      <c r="O39" s="174" cm="1">
        <f t="array" ref="O39">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0</v>
      </c>
      <c r="P39" s="95" t="str">
        <f>IF(Table_ECM7[[#This Row],[Total Annual Utility Savings using Rates in Column W
($)]]=0,"",(Table_ECM7[[#This Row],[Cost to Install Measures ($)]]-Table_ECM7[[#This Row],[Incentives &amp; Rebates ($)]])/Table_ECM7[[#This Row],[Total Annual Utility Savings using Rates in Column W
($)]])</f>
        <v/>
      </c>
      <c r="Q39" s="178" t="b">
        <v>0</v>
      </c>
      <c r="R39" s="165"/>
      <c r="S39" s="213"/>
      <c r="T39" s="163"/>
      <c r="U39" s="184"/>
      <c r="V39" s="186" t="str">
        <f>IF(Table_SummaryByScope12[[#This Row],[Scope Name]]="","",SUMIFS(Table_ECM7[Cost to Install Measures ($)],Table_ECM7[Scope Name],Table_SummaryByScope12[[#This Row],[Scope Name]]))</f>
        <v/>
      </c>
      <c r="W39" s="186" t="str">
        <f>IF(Table_SummaryByScope12[[#This Row],[Scope Name]]="","",SUMIFS(Table_ECM7[Incentives &amp; Rebates ($)],Table_ECM7[Scope Name],Table_SummaryByScope12[[#This Row],[Scope Name]]))</f>
        <v/>
      </c>
      <c r="X39" s="216" t="str">
        <f>IF(Table_SummaryByScope12[[#This Row],[Scope Name]]="","",SUMIFS(Table_ECM7[Total Annual Energy Savings
(kBtu)],Table_ECM7[Scope Name],Table_SummaryByScope12[[#This Row],[Scope Name]]))</f>
        <v/>
      </c>
      <c r="Y39" s="188" t="str">
        <f>IF(Table_SummaryByScope12[[#This Row],[Scope Name]]="","",SUMIFS(Table_ECM7[Total Annual Utility Savings using Rates in Column W
($)],Table_ECM7[Scope Name],Table_SummaryByScope12[[#This Row],[Scope Name]]))</f>
        <v/>
      </c>
      <c r="Z39"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40" spans="2:36">
      <c r="B40" s="183"/>
      <c r="C40" s="169"/>
      <c r="D40" s="89"/>
      <c r="E40" s="93"/>
      <c r="F40" s="93"/>
      <c r="G40" s="91"/>
      <c r="H40" s="91"/>
      <c r="I40" s="91"/>
      <c r="J40" s="91"/>
      <c r="K40" s="91"/>
      <c r="L40" s="91"/>
      <c r="M40" s="97">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0</v>
      </c>
      <c r="N40" s="215">
        <v>0</v>
      </c>
      <c r="O40" s="174" cm="1">
        <f t="array" ref="O40">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0</v>
      </c>
      <c r="P40" s="95" t="str">
        <f>IF(Table_ECM7[[#This Row],[Total Annual Utility Savings using Rates in Column W
($)]]=0,"",(Table_ECM7[[#This Row],[Cost to Install Measures ($)]]-Table_ECM7[[#This Row],[Incentives &amp; Rebates ($)]])/Table_ECM7[[#This Row],[Total Annual Utility Savings using Rates in Column W
($)]])</f>
        <v/>
      </c>
      <c r="Q40" s="178" t="b">
        <v>0</v>
      </c>
      <c r="R40" s="165"/>
      <c r="S40" s="213"/>
      <c r="T40" s="163"/>
      <c r="U40" s="184"/>
      <c r="V40" s="186" t="str">
        <f>IF(Table_SummaryByScope12[[#This Row],[Scope Name]]="","",SUMIFS(Table_ECM7[Cost to Install Measures ($)],Table_ECM7[Scope Name],Table_SummaryByScope12[[#This Row],[Scope Name]]))</f>
        <v/>
      </c>
      <c r="W40" s="186" t="str">
        <f>IF(Table_SummaryByScope12[[#This Row],[Scope Name]]="","",SUMIFS(Table_ECM7[Incentives &amp; Rebates ($)],Table_ECM7[Scope Name],Table_SummaryByScope12[[#This Row],[Scope Name]]))</f>
        <v/>
      </c>
      <c r="X40" s="216" t="str">
        <f>IF(Table_SummaryByScope12[[#This Row],[Scope Name]]="","",SUMIFS(Table_ECM7[Total Annual Energy Savings
(kBtu)],Table_ECM7[Scope Name],Table_SummaryByScope12[[#This Row],[Scope Name]]))</f>
        <v/>
      </c>
      <c r="Y40" s="188" t="str">
        <f>IF(Table_SummaryByScope12[[#This Row],[Scope Name]]="","",SUMIFS(Table_ECM7[Total Annual Utility Savings using Rates in Column W
($)],Table_ECM7[Scope Name],Table_SummaryByScope12[[#This Row],[Scope Name]]))</f>
        <v/>
      </c>
      <c r="Z40"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41" spans="2:36">
      <c r="B41" s="183"/>
      <c r="C41" s="169"/>
      <c r="D41" s="89"/>
      <c r="E41" s="93"/>
      <c r="F41" s="93"/>
      <c r="G41" s="91"/>
      <c r="H41" s="91"/>
      <c r="I41" s="91"/>
      <c r="J41" s="91"/>
      <c r="K41" s="91"/>
      <c r="L41" s="91"/>
      <c r="M41" s="97">
        <f>SUM(Table_ECM7[[#This Row],[Annual Electricity Savings
(kWh)]]*3.412+Table_ECM7[[#This Row],[Annual Natural Gas Savings
(therm)]]*100+Table_ECM7[[#This Row],[Annual District Steam Savings
(Mlb for ConEd, klb for others)]]*1194+Table_ECM7[[#This Row],[Annual Fuel Oil'#2 Savings
(Gallon)]]*138+Table_ECM7[[#This Row],[Annual Other Fuel 1 Savings
(kBtu)]]+Table_ECM7[[#This Row],[Annual Other Fuel 2 Savings
(kBtu)]])</f>
        <v>0</v>
      </c>
      <c r="N41" s="215">
        <v>0</v>
      </c>
      <c r="O41" s="174" cm="1">
        <f t="array" ref="O41">SUMPRODUCT(Table_ECM7[[#This Row],[Annual Electricity Savings
(kWh)]:[Annual Fuel Oil'#2 Savings
(Gallon)]],TRANSPOSE($W$7:$W$10)+
IF(Table_UtilityInput9[Annual Other Fuel 1
(kBtu)]="",0,Table_UtilityInput9[Annual Other Fuel 1
(kBtu)]*$W$11)+
IF(Table_UtilityInput9[Annual Other Fuel 2
(kBtu)]="",0,Table_UtilityInput9[Annual Other Fuel 2
(kBtu)]*#REF!))</f>
        <v>0</v>
      </c>
      <c r="P41" s="95" t="str">
        <f>IF(Table_ECM7[[#This Row],[Total Annual Utility Savings using Rates in Column W
($)]]=0,"",(Table_ECM7[[#This Row],[Cost to Install Measures ($)]]-Table_ECM7[[#This Row],[Incentives &amp; Rebates ($)]])/Table_ECM7[[#This Row],[Total Annual Utility Savings using Rates in Column W
($)]])</f>
        <v/>
      </c>
      <c r="Q41" s="178" t="b">
        <v>0</v>
      </c>
      <c r="R41" s="165"/>
      <c r="S41" s="213"/>
      <c r="T41" s="163"/>
      <c r="U41" s="184"/>
      <c r="V41" s="186" t="str">
        <f>IF(Table_SummaryByScope12[[#This Row],[Scope Name]]="","",SUMIFS(Table_ECM7[Cost to Install Measures ($)],Table_ECM7[Scope Name],Table_SummaryByScope12[[#This Row],[Scope Name]]))</f>
        <v/>
      </c>
      <c r="W41" s="186" t="str">
        <f>IF(Table_SummaryByScope12[[#This Row],[Scope Name]]="","",SUMIFS(Table_ECM7[Incentives &amp; Rebates ($)],Table_ECM7[Scope Name],Table_SummaryByScope12[[#This Row],[Scope Name]]))</f>
        <v/>
      </c>
      <c r="X41" s="216" t="str">
        <f>IF(Table_SummaryByScope12[[#This Row],[Scope Name]]="","",SUMIFS(Table_ECM7[Total Annual Energy Savings
(kBtu)],Table_ECM7[Scope Name],Table_SummaryByScope12[[#This Row],[Scope Name]]))</f>
        <v/>
      </c>
      <c r="Y41" s="188" t="str">
        <f>IF(Table_SummaryByScope12[[#This Row],[Scope Name]]="","",SUMIFS(Table_ECM7[Total Annual Utility Savings using Rates in Column W
($)],Table_ECM7[Scope Name],Table_SummaryByScope12[[#This Row],[Scope Name]]))</f>
        <v/>
      </c>
      <c r="Z41"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42" spans="2:36">
      <c r="B42" s="183"/>
      <c r="C42" s="169"/>
      <c r="D42" s="89"/>
      <c r="E42" s="93"/>
      <c r="F42" s="93"/>
      <c r="G42" s="91"/>
      <c r="H42" s="91"/>
      <c r="I42" s="91"/>
      <c r="J42" s="91"/>
      <c r="K42" s="91"/>
      <c r="L42" s="91"/>
      <c r="M42" s="97"/>
      <c r="N42" s="215"/>
      <c r="O42" s="174"/>
      <c r="P42" s="95"/>
      <c r="Q42" s="178" t="b">
        <v>0</v>
      </c>
      <c r="R42" s="165"/>
      <c r="S42" s="213"/>
      <c r="T42" s="163"/>
      <c r="U42" s="184"/>
      <c r="V42" s="186" t="str">
        <f>IF(Table_SummaryByScope12[[#This Row],[Scope Name]]="","",SUMIFS(Table_ECM7[Cost to Install Measures ($)],Table_ECM7[Scope Name],Table_SummaryByScope12[[#This Row],[Scope Name]]))</f>
        <v/>
      </c>
      <c r="W42" s="186" t="str">
        <f>IF(Table_SummaryByScope12[[#This Row],[Scope Name]]="","",SUMIFS(Table_ECM7[Incentives &amp; Rebates ($)],Table_ECM7[Scope Name],Table_SummaryByScope12[[#This Row],[Scope Name]]))</f>
        <v/>
      </c>
      <c r="X42" s="216" t="str">
        <f>IF(Table_SummaryByScope12[[#This Row],[Scope Name]]="","",SUMIFS(Table_ECM7[Total Annual Energy Savings
(kBtu)],Table_ECM7[Scope Name],Table_SummaryByScope12[[#This Row],[Scope Name]]))</f>
        <v/>
      </c>
      <c r="Y42" s="188" t="str">
        <f>IF(Table_SummaryByScope12[[#This Row],[Scope Name]]="","",SUMIFS(Table_ECM7[Total Annual Utility Savings using Rates in Column W
($)],Table_ECM7[Scope Name],Table_SummaryByScope12[[#This Row],[Scope Name]]))</f>
        <v/>
      </c>
      <c r="Z42" s="187" t="str">
        <f>IF(OR(Table_SummaryByScope12[[#This Row],[Scope Name]]="",Table_SummaryByScope12[[#This Row],[Annual Utility Savings
($)]]=0),"",(Table_SummaryByScope12[[#This Row],[Cost to Install Measures ($)]]-Table_SummaryByScope12[[#This Row],[Incentives &amp; Rebates ($)]])/Table_SummaryByScope12[[#This Row],[Annual Utility Savings
($)]])</f>
        <v/>
      </c>
    </row>
    <row r="43" spans="2:36">
      <c r="G43" s="6"/>
      <c r="H43" s="7"/>
      <c r="I43" s="7"/>
      <c r="J43" s="7"/>
      <c r="K43" s="7"/>
      <c r="L43" s="8"/>
      <c r="R43"/>
      <c r="S43"/>
      <c r="T43"/>
      <c r="U43"/>
      <c r="V43"/>
      <c r="W43"/>
      <c r="X43"/>
      <c r="Y43"/>
      <c r="Z43"/>
    </row>
    <row r="44" spans="2:36" collapsed="1">
      <c r="E44"/>
      <c r="F44"/>
      <c r="G44"/>
      <c r="H44"/>
      <c r="I44"/>
      <c r="J44"/>
      <c r="K44"/>
      <c r="L44"/>
      <c r="M44"/>
      <c r="N44"/>
      <c r="O44"/>
      <c r="P44"/>
      <c r="Q44"/>
      <c r="R44"/>
      <c r="S44"/>
      <c r="T44"/>
      <c r="U44"/>
      <c r="V44"/>
      <c r="W44"/>
      <c r="X44"/>
      <c r="Y44"/>
      <c r="Z44"/>
    </row>
    <row r="45" spans="2:36" ht="45" hidden="1" customHeight="1" outlineLevel="1">
      <c r="C45" s="2" t="s">
        <v>128</v>
      </c>
      <c r="E45"/>
      <c r="F45"/>
      <c r="G45"/>
      <c r="H45"/>
      <c r="I45"/>
      <c r="J45"/>
      <c r="K45"/>
      <c r="L45"/>
      <c r="M45"/>
      <c r="N45"/>
      <c r="O45"/>
      <c r="P45"/>
      <c r="Q45"/>
      <c r="R45"/>
      <c r="S45"/>
      <c r="T45"/>
      <c r="U45"/>
      <c r="V45"/>
      <c r="W45"/>
      <c r="X45"/>
      <c r="Y45"/>
      <c r="Z45"/>
    </row>
    <row r="46" spans="2:36" s="25" customFormat="1" ht="18" hidden="1" customHeight="1" outlineLevel="1">
      <c r="N46" s="25" t="s">
        <v>129</v>
      </c>
      <c r="O46" s="25" t="s">
        <v>130</v>
      </c>
      <c r="P46" s="25" t="s">
        <v>131</v>
      </c>
      <c r="Q46" s="25" t="s">
        <v>132</v>
      </c>
      <c r="R46" s="25">
        <f>$L$8</f>
        <v>0</v>
      </c>
      <c r="S46" s="25">
        <f>$M$8</f>
        <v>0</v>
      </c>
    </row>
    <row r="47" spans="2:36" s="3" customFormat="1" ht="72.75" hidden="1" customHeight="1" outlineLevel="1">
      <c r="B47" s="30"/>
      <c r="C47" s="9" t="s">
        <v>133</v>
      </c>
      <c r="D47" s="9" t="s">
        <v>134</v>
      </c>
      <c r="E47" s="22" t="s">
        <v>135</v>
      </c>
      <c r="F47" s="22" t="s">
        <v>136</v>
      </c>
      <c r="G47" s="22" t="s">
        <v>137</v>
      </c>
      <c r="H47" s="22" t="s">
        <v>138</v>
      </c>
      <c r="I47" s="22" t="s">
        <v>139</v>
      </c>
      <c r="J47" s="22" t="s">
        <v>140</v>
      </c>
      <c r="K47" s="23" t="s">
        <v>141</v>
      </c>
      <c r="L47" s="24" t="s">
        <v>142</v>
      </c>
      <c r="M47" s="17" t="s">
        <v>143</v>
      </c>
      <c r="N47" s="9" t="s">
        <v>144</v>
      </c>
      <c r="O47" s="9" t="s">
        <v>145</v>
      </c>
      <c r="P47" s="9" t="s">
        <v>146</v>
      </c>
      <c r="Q47" s="9" t="s">
        <v>147</v>
      </c>
      <c r="R47" s="9" t="s">
        <v>148</v>
      </c>
      <c r="S47" s="9" t="s">
        <v>149</v>
      </c>
      <c r="T47" s="9" t="s">
        <v>150</v>
      </c>
      <c r="U47" s="9" t="s">
        <v>151</v>
      </c>
      <c r="V47" s="9" t="s">
        <v>152</v>
      </c>
      <c r="W47" s="9" t="s">
        <v>153</v>
      </c>
      <c r="X47" s="9" t="s">
        <v>154</v>
      </c>
      <c r="Y47" s="9" t="s">
        <v>155</v>
      </c>
      <c r="Z47" s="9" t="s">
        <v>156</v>
      </c>
      <c r="AA47" s="9" t="s">
        <v>157</v>
      </c>
      <c r="AB47" s="9" t="s">
        <v>358</v>
      </c>
      <c r="AC47" s="9" t="s">
        <v>158</v>
      </c>
      <c r="AD47" s="18" t="s">
        <v>159</v>
      </c>
      <c r="AE47" s="12" t="s">
        <v>160</v>
      </c>
      <c r="AF47" s="12" t="s">
        <v>161</v>
      </c>
      <c r="AG47" s="9" t="s">
        <v>162</v>
      </c>
      <c r="AH47" s="9" t="s">
        <v>163</v>
      </c>
      <c r="AI47" s="9" t="s">
        <v>164</v>
      </c>
      <c r="AJ47" s="9" t="s">
        <v>165</v>
      </c>
    </row>
    <row r="48" spans="2:36" hidden="1" outlineLevel="1">
      <c r="B48" s="11" t="s">
        <v>166</v>
      </c>
      <c r="C48" s="98">
        <v>0</v>
      </c>
      <c r="D48" s="99">
        <f>IF(BaseYr+Table_Perf6[[#This Row],['#]]&gt;EndYr,NA(),BaseYr+Table_Perf6[[#This Row],['#]])</f>
        <v>2024</v>
      </c>
      <c r="E48" s="100" cm="1">
        <f t="array" ref="E48">MAX(0,IF(Table_Perf6[[#This Row],[Year]]=BaseYr,IFERROR(Table_UtilityInput9[Annual Electricity 
(kWh)]*3.412,0),
(E47-3.412*SUMIFS(Table_ECM7[Annual Electricity Savings
(kWh)],Table_ECM7[When will the measure installation be complete and operational?],Table_Perf6[[#This Row],[Year]],Table_ECM7[Would you like to Include this measure in the decarbonization pathway?],TRUE))))</f>
        <v>1981136.8559999999</v>
      </c>
      <c r="F48" s="100" cm="1">
        <f t="array" ref="F48">MAX(0,IF(Table_Perf6[[#This Row],[Year]]=BaseYr,IFERROR(Table_UtilityInput9[Annual Natural Gas  
(therm)]*100,0),
(F47-100*SUMIFS(Table_ECM7[Annual Natural Gas Savings
(therm)],Table_ECM7[When will the measure installation be complete and operational?],Table_Perf6[[#This Row],[Year]],Table_ECM7[Would you like to Include this measure in the decarbonization pathway?],TRUE))))</f>
        <v>4338700</v>
      </c>
      <c r="G48" s="100" cm="1">
        <f t="array" ref="G48">MAX(0,IF(Table_Perf6[[#This Row],[Year]]=BaseYr,IFERROR(Table_UtilityInput9[Annual Fuel Oil'#2
(Gallon)]*138,0),
(G47-138*SUMIFS(Table_ECM7[Annual Fuel Oil'#2 Savings
(Gallon)],Table_ECM7[When will the measure installation be complete and operational?],Table_Perf6[[#This Row],[Year]],Table_ECM7[Would you like to Include this measure in the decarbonization pathway?],TRUE))))</f>
        <v>0</v>
      </c>
      <c r="H48" s="100" cm="1">
        <f t="array" ref="H48">MAX(0,IF(Table_Perf6[[#This Row],[Year]]=BaseYr,IFERROR(Table_UtilityInput9[Annual District Steam  
(Mlb for ConEd, kLb for others)]*1194,0),
(H47-1194*SUMIFS(Table_ECM7[Annual District Steam Savings
(Mlb for ConEd, klb for others)],Table_ECM7[When will the measure installation be complete and operational?],Table_Perf6[[#This Row],[Year]],Table_ECM7[Would you like to Include this measure in the decarbonization pathway?],TRUE))))</f>
        <v>0</v>
      </c>
      <c r="I48" s="100" cm="1">
        <f t="array" ref="I48">MAX(0,IF(Table_Perf6[[#This Row],[Year]]=BaseYr,IFERROR(Table_UtilityInput9[Annual Other Fuel 1
(kBtu)],0),
(I47-SUMIFS(Table_ECM7[Annual Other Fuel 1 Savings
(kBtu)],Table_ECM7[When will the measure installation be complete and operational?],Table_Perf6[[#This Row],[Year]],Table_ECM7[Would you like to Include this measure in the decarbonization pathway?],TRUE))))</f>
        <v>0</v>
      </c>
      <c r="J48" s="100" cm="1">
        <f t="array" ref="J48">MAX(0,IF(Table_Perf6[[#This Row],[Year]]=BaseYr,IFERROR(Table_UtilityInput9[Annual Other Fuel 2
(kBtu)],0),
(J47-SUMIFS(Table_ECM7[Annual Other Fuel 2 Savings
(kBtu)],Table_ECM7[When will the measure installation be complete and operational?],Table_Perf6[[#This Row],[Year]],Table_ECM7[Would you like to Include this measure in the decarbonization pathway?],TRUE))))</f>
        <v>0</v>
      </c>
      <c r="K48" s="101">
        <f>-SUMIFS(Table_ECM7[Cost to Install Measures ($)],Table_ECM7[When will the measure installation be complete and operational?],Table_Perf6[[#This Row],[Year]],Table_ECM7[Would you like to Include this measure in the decarbonization pathway?],TRUE)</f>
        <v>0</v>
      </c>
      <c r="L48" s="102" cm="1">
        <f t="array" ref="L48">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0</v>
      </c>
      <c r="M48" s="103"/>
      <c r="N48" s="100" cm="1">
        <f t="array" ref="N48">Table_Perf6[[#This Row],[Electricity (kBtu)]]*INDEX(Table_UtilityDecarb[Carbon Intensity (tCO2e/kBtu)],MATCH(N$46&amp;Table_Perf6[[#This Row],[Year]],Table_UtilityDecarb[Fuel Type]&amp;Table_UtilityDecarb[Year],0))</f>
        <v>167.78231775599994</v>
      </c>
      <c r="O48" s="100">
        <f>Table_Perf6[[#This Row],[Natural Gas (kBtu)]]*INDEX(Table_UtilityDecarb[Carbon Intensity (tCO2e/kBtu)],MATCH(O$46,Table_UtilityDecarb[Fuel Type],0))</f>
        <v>230.42835700000001</v>
      </c>
      <c r="P48" s="100">
        <f>Table_Perf6[[#This Row],[Fuel Oil'#2 (kBtu)]]*INDEX(Table_UtilityDecarb[Carbon Intensity (tCO2e/kBtu)],MATCH(P$46,Table_UtilityDecarb[Fuel Type],0))</f>
        <v>0</v>
      </c>
      <c r="Q48" s="100" cm="1">
        <f t="array" ref="Q48">Table_Perf6[[#This Row],[District Steam (kBtu)]]*INDEX(Table_UtilityDecarb[Carbon Intensity (tCO2e/kBtu)],MATCH(Q$46&amp;Table_Perf6[[#This Row],[Year]],Table_UtilityDecarb[Fuel Type]&amp;Table_UtilityDecarb[Year],0))</f>
        <v>0</v>
      </c>
      <c r="R48" s="100" cm="1">
        <f t="array" ref="R48">IF(OR(Table_UtilityInput9[Annual Other Fuel 1
(kBtu)]="",NOT(ISNUMBER(Table_UtilityInput9[Annual Other Fuel 1
(kBtu)]))),0,Table_Perf6[[#This Row],[Other Fuel 1 (kBtu)]]*INDEX(Table_UtilityDecarb[Carbon Intensity (tCO2e/kBtu)],MATCH(R$46,Table_UtilityDecarb[Fuel Type],0)))</f>
        <v>0</v>
      </c>
      <c r="S48" s="100" cm="1">
        <f t="array" ref="S48">IF(OR(Table_UtilityInput9[Annual Other Fuel 2
(kBtu)]="",NOT(ISNUMBER(Table_UtilityInput9[Annual Other Fuel 2
(kBtu)]))),0,Table_Perf6[[#This Row],[Other Fuel 2 (kBtu)]]*INDEX(Table_UtilityDecarb[Carbon Intensity (tCO2e/kBtu)],MATCH(S$46,Table_UtilityDecarb[Fuel Type],0)))</f>
        <v>0</v>
      </c>
      <c r="T48" s="100">
        <f>IF(Table_Perf6[[#This Row],[Year]]&gt;2050,NA(),_xlfn.AGGREGATE(9,6,Table_Perf6[[#This Row],[LL97 Electricity (tCO2e)]:[LL97 Other Fuel 2 (tCO2e)]]))</f>
        <v>398.21067475599995</v>
      </c>
      <c r="U48" s="100" t="e">
        <f>IF(Table_Perf6[[#This Row],[Year]]&lt;2035,NA(),INDEX(Table_LimitsCalc_Sample1[Total Limits (tCO2e)],MATCH(Table_Perf6[[#This Row],[Year]],Table_LimitsCalc_Sample1[Year],0)))</f>
        <v>#N/A</v>
      </c>
      <c r="V48" s="100" cm="1">
        <f t="array" ref="V48">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398.21067475599995</v>
      </c>
      <c r="W48" s="100" t="e">
        <f>IF(Table_Perf6[[#This Row],[LL97 Emissions Limit (tCO2e)]]="",0,MAX(0,Table_Perf6[[#This Row],[LL97 Business-As-Usual Emissions]]-Table_Perf6[[#This Row],[LL97 Emissions Limit (tCO2e)]]))</f>
        <v>#N/A</v>
      </c>
      <c r="X48" s="100" t="e">
        <f>IF(Table_Perf6[[#This Row],[LL97 Emissions Limit (tCO2e)]]="",0,MAX(0,Table_Perf6[[#This Row],[LL97 Emissions After Measures]]-Table_Perf6[[#This Row],[LL97 Emissions Limit (tCO2e)]]))</f>
        <v>#N/A</v>
      </c>
      <c r="Y48" s="100">
        <f>Table_Perf6[[#This Row],[LL97 Business-As-Usual Emissions]]-Table_Perf6[[#This Row],[LL97 Emissions After Measures]]</f>
        <v>0</v>
      </c>
      <c r="Z48" s="102" t="e">
        <f>IF(Table_Perf6[[#This Row],[Year]]&lt;2024,"Not in enforcement period",IF(Table_Perf6[[#This Row],[LL97 Excess Emissions After Measures]]=0,"Compliant","Not-Compliant"))</f>
        <v>#N/A</v>
      </c>
      <c r="AA48" s="104">
        <f>IFERROR(-268*Table_Perf6[[#This Row],[LL97 Excess Emissions After Measures]],0)</f>
        <v>0</v>
      </c>
      <c r="AB48" s="102">
        <f>IFERROR(268*MIN(Table_Perf6[[#This Row],[LL97 BAU Excess Emissions]],Table_Perf6[[#This Row],[LL97 Emissions Reduced by Measures]]),0)</f>
        <v>0</v>
      </c>
      <c r="AC48" s="105">
        <f>IF(OR(Table_Perf6[[#This Row],[Year]]&lt;2024,Table_Perf6[[#This Row],[Year]]&gt;2050,ISERROR(Table_Perf6[[#This Row],[LL97 Adjusted Penalty After Measures]])),"",Table_Perf6[[#This Row],[LL97 Adjusted Penalty After Measures]])</f>
        <v>0</v>
      </c>
      <c r="AD48" s="102">
        <f>IF(Table_Perf6[[#This Row],[Year]]&gt;2050,NA(),_xlfn.AGGREGATE(9,6,Table_Perf6[[#This Row],[Measure Cost ($)]],Table_Perf6[[#This Row],[Utility Savings ($)]],Table_Perf6[[#This Row],[LL97 Penalty Avoided by Measures ($)]]))</f>
        <v>0</v>
      </c>
      <c r="AE48" s="102">
        <f>SUM($AD$48:AD48)</f>
        <v>0</v>
      </c>
      <c r="AF48" s="102">
        <f>IF(Table_Perf6[[#This Row],[Year]]&gt;2050,NA(),_xlfn.AGGREGATE(9,6,Table_Perf6[[#This Row],[Measure Cost ($)]],Table_Perf6[[#This Row],[LL97 Adjusted Penalty After Measures]]))</f>
        <v>0</v>
      </c>
      <c r="AG48" s="106">
        <f>Table_Perf6[[#This Row],[Year]]</f>
        <v>2024</v>
      </c>
      <c r="AH48" s="99">
        <f>COUNTIFS(Table_ECM7[When will the measure installation be complete and operational?],"&lt;="&amp;Table_Perf6[[#This Row],[Yr]],Table_ECM7[Would you like to Include this measure in the decarbonization pathway?],TRUE)</f>
        <v>0</v>
      </c>
      <c r="AI48" s="99" t="str">
        <f>IF(Table_Perf6[[#This Row],[Measure Qty]]=AH47,"",_xlfn.CONCAT(Table_Perf6[[#This Row],[Measure Qty]], " Measures Done"))</f>
        <v>0 Measures Done</v>
      </c>
      <c r="AJ48" s="107">
        <f>IF(Table_Perf6[[#This Row],[Measure Label]]="",NA(),Table_Perf6[[#This Row],[LL97 Emissions After Measures]])</f>
        <v>398.21067475599995</v>
      </c>
    </row>
    <row r="49" spans="3:36" hidden="1" outlineLevel="1">
      <c r="C49" s="98">
        <v>1</v>
      </c>
      <c r="D49" s="108">
        <f>IF(BaseYr+Table_Perf6[[#This Row],['#]]&gt;EndYr,NA(),BaseYr+Table_Perf6[[#This Row],['#]])</f>
        <v>2025</v>
      </c>
      <c r="E49" s="100" cm="1">
        <f t="array" ref="E49">MAX(0,IF(Table_Perf6[[#This Row],[Year]]=BaseYr,IFERROR(Table_UtilityInput9[Annual Electricity 
(kWh)]*3.412,0),
(E48-3.412*SUMIFS(Table_ECM7[Annual Electricity Savings
(kWh)],Table_ECM7[When will the measure installation be complete and operational?],Table_Perf6[[#This Row],[Year]],Table_ECM7[Would you like to Include this measure in the decarbonization pathway?],TRUE))))</f>
        <v>1375762.7560000001</v>
      </c>
      <c r="F49" s="100" cm="1">
        <f t="array" ref="F49">MAX(0,IF(Table_Perf6[[#This Row],[Year]]=BaseYr,IFERROR(Table_UtilityInput9[Annual Natural Gas  
(therm)]*100,0),
(F48-100*SUMIFS(Table_ECM7[Annual Natural Gas Savings
(therm)],Table_ECM7[When will the measure installation be complete and operational?],Table_Perf6[[#This Row],[Year]],Table_ECM7[Would you like to Include this measure in the decarbonization pathway?],TRUE))))</f>
        <v>3823400</v>
      </c>
      <c r="G49" s="100" cm="1">
        <f t="array" ref="G49">MAX(0,IF(Table_Perf6[[#This Row],[Year]]=BaseYr,IFERROR(Table_UtilityInput9[Annual Fuel Oil'#2
(Gallon)]*138,0),
(G48-138*SUMIFS(Table_ECM7[Annual Fuel Oil'#2 Savings
(Gallon)],Table_ECM7[When will the measure installation be complete and operational?],Table_Perf6[[#This Row],[Year]],Table_ECM7[Would you like to Include this measure in the decarbonization pathway?],TRUE))))</f>
        <v>0</v>
      </c>
      <c r="H49" s="100" cm="1">
        <f t="array" ref="H49">MAX(0,IF(Table_Perf6[[#This Row],[Year]]=BaseYr,IFERROR(Table_UtilityInput9[Annual District Steam  
(Mlb for ConEd, kLb for others)]*1194,0),
(H48-1194*SUMIFS(Table_ECM7[Annual District Steam Savings
(Mlb for ConEd, klb for others)],Table_ECM7[When will the measure installation be complete and operational?],Table_Perf6[[#This Row],[Year]],Table_ECM7[Would you like to Include this measure in the decarbonization pathway?],TRUE))))</f>
        <v>0</v>
      </c>
      <c r="I49" s="100" cm="1">
        <f t="array" ref="I49">MAX(0,IF(Table_Perf6[[#This Row],[Year]]=BaseYr,IFERROR(Table_UtilityInput9[Annual Other Fuel 1
(kBtu)],0),
(I48-SUMIFS(Table_ECM7[Annual Other Fuel 1 Savings
(kBtu)],Table_ECM7[When will the measure installation be complete and operational?],Table_Perf6[[#This Row],[Year]],Table_ECM7[Would you like to Include this measure in the decarbonization pathway?],TRUE))))</f>
        <v>0</v>
      </c>
      <c r="J49" s="100" cm="1">
        <f t="array" ref="J49">MAX(0,IF(Table_Perf6[[#This Row],[Year]]=BaseYr,IFERROR(Table_UtilityInput9[Annual Other Fuel 2
(kBtu)],0),
(J48-SUMIFS(Table_ECM7[Annual Other Fuel 2 Savings
(kBtu)],Table_ECM7[When will the measure installation be complete and operational?],Table_Perf6[[#This Row],[Year]],Table_ECM7[Would you like to Include this measure in the decarbonization pathway?],TRUE))))</f>
        <v>0</v>
      </c>
      <c r="K49" s="101">
        <f>-SUMIFS(Table_ECM7[Cost to Install Measures ($)],Table_ECM7[When will the measure installation be complete and operational?],Table_Perf6[[#This Row],[Year]],Table_ECM7[Would you like to Include this measure in the decarbonization pathway?],TRUE)</f>
        <v>-262325</v>
      </c>
      <c r="L49" s="102" cm="1">
        <f t="array" ref="L49">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35712</v>
      </c>
      <c r="M49" s="103"/>
      <c r="N49" s="100" cm="1">
        <f t="array" ref="N49">Table_Perf6[[#This Row],[Electricity (kBtu)]]*INDEX(Table_UtilityDecarb[Carbon Intensity (tCO2e/kBtu)],MATCH(N$46&amp;Table_Perf6[[#This Row],[Year]],Table_UtilityDecarb[Fuel Type]&amp;Table_UtilityDecarb[Year],0))</f>
        <v>116.51323490599997</v>
      </c>
      <c r="O49" s="100">
        <f>Table_Perf6[[#This Row],[Natural Gas (kBtu)]]*INDEX(Table_UtilityDecarb[Carbon Intensity (tCO2e/kBtu)],MATCH(O$46,Table_UtilityDecarb[Fuel Type],0))</f>
        <v>203.06077399999998</v>
      </c>
      <c r="P49" s="100">
        <f>Table_Perf6[[#This Row],[Fuel Oil'#2 (kBtu)]]*INDEX(Table_UtilityDecarb[Carbon Intensity (tCO2e/kBtu)],MATCH(P$46,Table_UtilityDecarb[Fuel Type],0))</f>
        <v>0</v>
      </c>
      <c r="Q49" s="100" cm="1">
        <f t="array" ref="Q49">Table_Perf6[[#This Row],[District Steam (kBtu)]]*INDEX(Table_UtilityDecarb[Carbon Intensity (tCO2e/kBtu)],MATCH(Q$46&amp;Table_Perf6[[#This Row],[Year]],Table_UtilityDecarb[Fuel Type]&amp;Table_UtilityDecarb[Year],0))</f>
        <v>0</v>
      </c>
      <c r="R49" s="100" cm="1">
        <f t="array" ref="R49">IF(OR(Table_UtilityInput9[Annual Other Fuel 1
(kBtu)]="",NOT(ISNUMBER(Table_UtilityInput9[Annual Other Fuel 1
(kBtu)]))),0,Table_Perf6[[#This Row],[Other Fuel 1 (kBtu)]]*INDEX(Table_UtilityDecarb[Carbon Intensity (tCO2e/kBtu)],MATCH(R$46,Table_UtilityDecarb[Fuel Type],0)))</f>
        <v>0</v>
      </c>
      <c r="S49" s="100" cm="1">
        <f t="array" ref="S49">IF(OR(Table_UtilityInput9[Annual Other Fuel 2
(kBtu)]="",NOT(ISNUMBER(Table_UtilityInput9[Annual Other Fuel 2
(kBtu)]))),0,Table_Perf6[[#This Row],[Other Fuel 2 (kBtu)]]*INDEX(Table_UtilityDecarb[Carbon Intensity (tCO2e/kBtu)],MATCH(S$46,Table_UtilityDecarb[Fuel Type],0)))</f>
        <v>0</v>
      </c>
      <c r="T49" s="100">
        <f>IF(Table_Perf6[[#This Row],[Year]]&gt;2050,NA(),_xlfn.AGGREGATE(9,6,Table_Perf6[[#This Row],[LL97 Electricity (tCO2e)]:[LL97 Other Fuel 2 (tCO2e)]]))</f>
        <v>319.57400890599996</v>
      </c>
      <c r="U49" s="100" t="e">
        <f>IF(Table_Perf6[[#This Row],[Year]]&lt;2035,NA(),INDEX(Table_LimitsCalc_Sample1[Total Limits (tCO2e)],MATCH(Table_Perf6[[#This Row],[Year]],Table_LimitsCalc_Sample1[Year],0)))</f>
        <v>#N/A</v>
      </c>
      <c r="V49" s="100" cm="1">
        <f t="array" ref="V49">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398.21067475599995</v>
      </c>
      <c r="W49" s="100" t="e">
        <f>IF(Table_Perf6[[#This Row],[LL97 Emissions Limit (tCO2e)]]="",0,MAX(0,Table_Perf6[[#This Row],[LL97 Business-As-Usual Emissions]]-Table_Perf6[[#This Row],[LL97 Emissions Limit (tCO2e)]]))</f>
        <v>#N/A</v>
      </c>
      <c r="X49" s="100" t="e">
        <f>IF(Table_Perf6[[#This Row],[LL97 Emissions Limit (tCO2e)]]="",0,MAX(0,Table_Perf6[[#This Row],[LL97 Emissions After Measures]]-Table_Perf6[[#This Row],[LL97 Emissions Limit (tCO2e)]]))</f>
        <v>#N/A</v>
      </c>
      <c r="Y49" s="100">
        <f>Table_Perf6[[#This Row],[LL97 Business-As-Usual Emissions]]-Table_Perf6[[#This Row],[LL97 Emissions After Measures]]</f>
        <v>78.636665849999986</v>
      </c>
      <c r="Z49" s="102" t="e">
        <f>IF(Table_Perf6[[#This Row],[Year]]&lt;2024,"Not in enforcement period",IF(Table_Perf6[[#This Row],[LL97 Excess Emissions After Measures]]=0,"Compliant","Not-Compliant"))</f>
        <v>#N/A</v>
      </c>
      <c r="AA49" s="104">
        <f>IFERROR(-268*Table_Perf6[[#This Row],[LL97 Excess Emissions After Measures]],0)</f>
        <v>0</v>
      </c>
      <c r="AB49" s="102">
        <f>IFERROR(268*MIN(Table_Perf6[[#This Row],[LL97 BAU Excess Emissions]],Table_Perf6[[#This Row],[LL97 Emissions Reduced by Measures]]),0)</f>
        <v>0</v>
      </c>
      <c r="AC49" s="105">
        <f>IF(OR(Table_Perf6[[#This Row],[Year]]&lt;2024,Table_Perf6[[#This Row],[Year]]&gt;2050,ISERROR(Table_Perf6[[#This Row],[LL97 Adjusted Penalty After Measures]])),"",Table_Perf6[[#This Row],[LL97 Adjusted Penalty After Measures]])</f>
        <v>0</v>
      </c>
      <c r="AD49" s="102">
        <f>IF(Table_Perf6[[#This Row],[Year]]&gt;2050,NA(),_xlfn.AGGREGATE(9,6,Table_Perf6[[#This Row],[Measure Cost ($)]],Table_Perf6[[#This Row],[Utility Savings ($)]],Table_Perf6[[#This Row],[LL97 Penalty Avoided by Measures ($)]]))</f>
        <v>-226613</v>
      </c>
      <c r="AE49" s="102">
        <f>SUM($AD$48:AD49)</f>
        <v>-226613</v>
      </c>
      <c r="AF49" s="102">
        <f>IF(Table_Perf6[[#This Row],[Year]]&gt;2050,NA(),_xlfn.AGGREGATE(9,6,Table_Perf6[[#This Row],[Measure Cost ($)]],Table_Perf6[[#This Row],[LL97 Adjusted Penalty After Measures]]))</f>
        <v>-262325</v>
      </c>
      <c r="AG49" s="106">
        <f>Table_Perf6[[#This Row],[Year]]</f>
        <v>2025</v>
      </c>
      <c r="AH49" s="99">
        <f>COUNTIFS(Table_ECM7[When will the measure installation be complete and operational?],"&lt;="&amp;Table_Perf6[[#This Row],[Yr]],Table_ECM7[Would you like to Include this measure in the decarbonization pathway?],TRUE)</f>
        <v>6</v>
      </c>
      <c r="AI49" s="99" t="str">
        <f>IF(Table_Perf6[[#This Row],[Measure Qty]]=AH48,"",_xlfn.CONCAT(Table_Perf6[[#This Row],[Measure Qty]], " Measures Done"))</f>
        <v>6 Measures Done</v>
      </c>
      <c r="AJ49" s="107">
        <f>IF(Table_Perf6[[#This Row],[Measure Label]]="",NA(),Table_Perf6[[#This Row],[LL97 Emissions After Measures]])</f>
        <v>319.57400890599996</v>
      </c>
    </row>
    <row r="50" spans="3:36" hidden="1" outlineLevel="1">
      <c r="C50" s="98">
        <v>2</v>
      </c>
      <c r="D50" s="108">
        <f>IF(BaseYr+Table_Perf6[[#This Row],['#]]&gt;EndYr,NA(),BaseYr+Table_Perf6[[#This Row],['#]])</f>
        <v>2026</v>
      </c>
      <c r="E50" s="100" cm="1">
        <f t="array" ref="E50">MAX(0,IF(Table_Perf6[[#This Row],[Year]]=BaseYr,IFERROR(Table_UtilityInput9[Annual Electricity 
(kWh)]*3.412,0),
(E49-3.412*SUMIFS(Table_ECM7[Annual Electricity Savings
(kWh)],Table_ECM7[When will the measure installation be complete and operational?],Table_Perf6[[#This Row],[Year]],Table_ECM7[Would you like to Include this measure in the decarbonization pathway?],TRUE))))</f>
        <v>1375762.7560000001</v>
      </c>
      <c r="F50" s="100" cm="1">
        <f t="array" ref="F50">MAX(0,IF(Table_Perf6[[#This Row],[Year]]=BaseYr,IFERROR(Table_UtilityInput9[Annual Natural Gas  
(therm)]*100,0),
(F49-100*SUMIFS(Table_ECM7[Annual Natural Gas Savings
(therm)],Table_ECM7[When will the measure installation be complete and operational?],Table_Perf6[[#This Row],[Year]],Table_ECM7[Would you like to Include this measure in the decarbonization pathway?],TRUE))))</f>
        <v>3823400</v>
      </c>
      <c r="G50" s="100" cm="1">
        <f t="array" ref="G50">MAX(0,IF(Table_Perf6[[#This Row],[Year]]=BaseYr,IFERROR(Table_UtilityInput9[Annual Fuel Oil'#2
(Gallon)]*138,0),
(G49-138*SUMIFS(Table_ECM7[Annual Fuel Oil'#2 Savings
(Gallon)],Table_ECM7[When will the measure installation be complete and operational?],Table_Perf6[[#This Row],[Year]],Table_ECM7[Would you like to Include this measure in the decarbonization pathway?],TRUE))))</f>
        <v>0</v>
      </c>
      <c r="H50" s="100" cm="1">
        <f t="array" ref="H50">MAX(0,IF(Table_Perf6[[#This Row],[Year]]=BaseYr,IFERROR(Table_UtilityInput9[Annual District Steam  
(Mlb for ConEd, kLb for others)]*1194,0),
(H49-1194*SUMIFS(Table_ECM7[Annual District Steam Savings
(Mlb for ConEd, klb for others)],Table_ECM7[When will the measure installation be complete and operational?],Table_Perf6[[#This Row],[Year]],Table_ECM7[Would you like to Include this measure in the decarbonization pathway?],TRUE))))</f>
        <v>0</v>
      </c>
      <c r="I50" s="100" cm="1">
        <f t="array" ref="I50">MAX(0,IF(Table_Perf6[[#This Row],[Year]]=BaseYr,IFERROR(Table_UtilityInput9[Annual Other Fuel 1
(kBtu)],0),
(I49-SUMIFS(Table_ECM7[Annual Other Fuel 1 Savings
(kBtu)],Table_ECM7[When will the measure installation be complete and operational?],Table_Perf6[[#This Row],[Year]],Table_ECM7[Would you like to Include this measure in the decarbonization pathway?],TRUE))))</f>
        <v>0</v>
      </c>
      <c r="J50" s="100" cm="1">
        <f t="array" ref="J50">MAX(0,IF(Table_Perf6[[#This Row],[Year]]=BaseYr,IFERROR(Table_UtilityInput9[Annual Other Fuel 2
(kBtu)],0),
(J49-SUMIFS(Table_ECM7[Annual Other Fuel 2 Savings
(kBtu)],Table_ECM7[When will the measure installation be complete and operational?],Table_Perf6[[#This Row],[Year]],Table_ECM7[Would you like to Include this measure in the decarbonization pathway?],TRUE))))</f>
        <v>0</v>
      </c>
      <c r="K50" s="101">
        <f>-SUMIFS(Table_ECM7[Cost to Install Measures ($)],Table_ECM7[When will the measure installation be complete and operational?],Table_Perf6[[#This Row],[Year]],Table_ECM7[Would you like to Include this measure in the decarbonization pathway?],TRUE)</f>
        <v>0</v>
      </c>
      <c r="L50" s="102" cm="1">
        <f t="array" ref="L50">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35712</v>
      </c>
      <c r="M50" s="103"/>
      <c r="N50" s="100" cm="1">
        <f t="array" ref="N50">Table_Perf6[[#This Row],[Electricity (kBtu)]]*INDEX(Table_UtilityDecarb[Carbon Intensity (tCO2e/kBtu)],MATCH(N$46&amp;Table_Perf6[[#This Row],[Year]],Table_UtilityDecarb[Fuel Type]&amp;Table_UtilityDecarb[Year],0))</f>
        <v>116.51323490599997</v>
      </c>
      <c r="O50" s="100">
        <f>Table_Perf6[[#This Row],[Natural Gas (kBtu)]]*INDEX(Table_UtilityDecarb[Carbon Intensity (tCO2e/kBtu)],MATCH(O$46,Table_UtilityDecarb[Fuel Type],0))</f>
        <v>203.06077399999998</v>
      </c>
      <c r="P50" s="100">
        <f>Table_Perf6[[#This Row],[Fuel Oil'#2 (kBtu)]]*INDEX(Table_UtilityDecarb[Carbon Intensity (tCO2e/kBtu)],MATCH(P$46,Table_UtilityDecarb[Fuel Type],0))</f>
        <v>0</v>
      </c>
      <c r="Q50" s="100" cm="1">
        <f t="array" ref="Q50">Table_Perf6[[#This Row],[District Steam (kBtu)]]*INDEX(Table_UtilityDecarb[Carbon Intensity (tCO2e/kBtu)],MATCH(Q$46&amp;Table_Perf6[[#This Row],[Year]],Table_UtilityDecarb[Fuel Type]&amp;Table_UtilityDecarb[Year],0))</f>
        <v>0</v>
      </c>
      <c r="R50" s="100" cm="1">
        <f t="array" ref="R50">IF(OR(Table_UtilityInput9[Annual Other Fuel 1
(kBtu)]="",NOT(ISNUMBER(Table_UtilityInput9[Annual Other Fuel 1
(kBtu)]))),0,Table_Perf6[[#This Row],[Other Fuel 1 (kBtu)]]*INDEX(Table_UtilityDecarb[Carbon Intensity (tCO2e/kBtu)],MATCH(R$46,Table_UtilityDecarb[Fuel Type],0)))</f>
        <v>0</v>
      </c>
      <c r="S50" s="100" cm="1">
        <f t="array" ref="S50">IF(OR(Table_UtilityInput9[Annual Other Fuel 2
(kBtu)]="",NOT(ISNUMBER(Table_UtilityInput9[Annual Other Fuel 2
(kBtu)]))),0,Table_Perf6[[#This Row],[Other Fuel 2 (kBtu)]]*INDEX(Table_UtilityDecarb[Carbon Intensity (tCO2e/kBtu)],MATCH(S$46,Table_UtilityDecarb[Fuel Type],0)))</f>
        <v>0</v>
      </c>
      <c r="T50" s="100">
        <f>IF(Table_Perf6[[#This Row],[Year]]&gt;2050,NA(),_xlfn.AGGREGATE(9,6,Table_Perf6[[#This Row],[LL97 Electricity (tCO2e)]:[LL97 Other Fuel 2 (tCO2e)]]))</f>
        <v>319.57400890599996</v>
      </c>
      <c r="U50" s="100" t="e">
        <f>IF(Table_Perf6[[#This Row],[Year]]&lt;2035,NA(),INDEX(Table_LimitsCalc_Sample1[Total Limits (tCO2e)],MATCH(Table_Perf6[[#This Row],[Year]],Table_LimitsCalc_Sample1[Year],0)))</f>
        <v>#N/A</v>
      </c>
      <c r="V50" s="100" cm="1">
        <f t="array" ref="V50">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398.21067475599995</v>
      </c>
      <c r="W50" s="100" t="e">
        <f>IF(Table_Perf6[[#This Row],[LL97 Emissions Limit (tCO2e)]]="",0,MAX(0,Table_Perf6[[#This Row],[LL97 Business-As-Usual Emissions]]-Table_Perf6[[#This Row],[LL97 Emissions Limit (tCO2e)]]))</f>
        <v>#N/A</v>
      </c>
      <c r="X50" s="100" t="e">
        <f>IF(Table_Perf6[[#This Row],[LL97 Emissions Limit (tCO2e)]]="",0,MAX(0,Table_Perf6[[#This Row],[LL97 Emissions After Measures]]-Table_Perf6[[#This Row],[LL97 Emissions Limit (tCO2e)]]))</f>
        <v>#N/A</v>
      </c>
      <c r="Y50" s="100">
        <f>Table_Perf6[[#This Row],[LL97 Business-As-Usual Emissions]]-Table_Perf6[[#This Row],[LL97 Emissions After Measures]]</f>
        <v>78.636665849999986</v>
      </c>
      <c r="Z50" s="102" t="e">
        <f>IF(Table_Perf6[[#This Row],[Year]]&lt;2024,"Not in enforcement period",IF(Table_Perf6[[#This Row],[LL97 Excess Emissions After Measures]]=0,"Compliant","Not-Compliant"))</f>
        <v>#N/A</v>
      </c>
      <c r="AA50" s="104">
        <f>IFERROR(-268*Table_Perf6[[#This Row],[LL97 Excess Emissions After Measures]],0)</f>
        <v>0</v>
      </c>
      <c r="AB50" s="102">
        <f>IFERROR(268*MIN(Table_Perf6[[#This Row],[LL97 BAU Excess Emissions]],Table_Perf6[[#This Row],[LL97 Emissions Reduced by Measures]]),0)</f>
        <v>0</v>
      </c>
      <c r="AC50" s="105">
        <f>IF(OR(Table_Perf6[[#This Row],[Year]]&lt;2024,Table_Perf6[[#This Row],[Year]]&gt;2050,ISERROR(Table_Perf6[[#This Row],[LL97 Adjusted Penalty After Measures]])),"",Table_Perf6[[#This Row],[LL97 Adjusted Penalty After Measures]])</f>
        <v>0</v>
      </c>
      <c r="AD50" s="102">
        <f>IF(Table_Perf6[[#This Row],[Year]]&gt;2050,NA(),_xlfn.AGGREGATE(9,6,Table_Perf6[[#This Row],[Measure Cost ($)]],Table_Perf6[[#This Row],[Utility Savings ($)]],Table_Perf6[[#This Row],[LL97 Penalty Avoided by Measures ($)]]))</f>
        <v>35712</v>
      </c>
      <c r="AE50" s="102">
        <f>SUM($AD$48:AD50)</f>
        <v>-190901</v>
      </c>
      <c r="AF50" s="102">
        <f>IF(Table_Perf6[[#This Row],[Year]]&gt;2050,NA(),_xlfn.AGGREGATE(9,6,Table_Perf6[[#This Row],[Measure Cost ($)]],Table_Perf6[[#This Row],[LL97 Adjusted Penalty After Measures]]))</f>
        <v>0</v>
      </c>
      <c r="AG50" s="106">
        <f>Table_Perf6[[#This Row],[Year]]</f>
        <v>2026</v>
      </c>
      <c r="AH50" s="99">
        <f>COUNTIFS(Table_ECM7[When will the measure installation be complete and operational?],"&lt;="&amp;Table_Perf6[[#This Row],[Yr]],Table_ECM7[Would you like to Include this measure in the decarbonization pathway?],TRUE)</f>
        <v>6</v>
      </c>
      <c r="AI50" s="99" t="str">
        <f>IF(Table_Perf6[[#This Row],[Measure Qty]]=AH49,"",_xlfn.CONCAT(Table_Perf6[[#This Row],[Measure Qty]], " Measures Done"))</f>
        <v/>
      </c>
      <c r="AJ50" s="107" t="e">
        <f>IF(Table_Perf6[[#This Row],[Measure Label]]="",NA(),Table_Perf6[[#This Row],[LL97 Emissions After Measures]])</f>
        <v>#N/A</v>
      </c>
    </row>
    <row r="51" spans="3:36" hidden="1" outlineLevel="1">
      <c r="C51" s="98">
        <v>3</v>
      </c>
      <c r="D51" s="108">
        <f>IF(BaseYr+Table_Perf6[[#This Row],['#]]&gt;EndYr,NA(),BaseYr+Table_Perf6[[#This Row],['#]])</f>
        <v>2027</v>
      </c>
      <c r="E51" s="100" cm="1">
        <f t="array" ref="E51">MAX(0,IF(Table_Perf6[[#This Row],[Year]]=BaseYr,IFERROR(Table_UtilityInput9[Annual Electricity 
(kWh)]*3.412,0),
(E50-3.412*SUMIFS(Table_ECM7[Annual Electricity Savings
(kWh)],Table_ECM7[When will the measure installation be complete and operational?],Table_Perf6[[#This Row],[Year]],Table_ECM7[Would you like to Include this measure in the decarbonization pathway?],TRUE))))</f>
        <v>1375762.7560000001</v>
      </c>
      <c r="F51" s="100" cm="1">
        <f t="array" ref="F51">MAX(0,IF(Table_Perf6[[#This Row],[Year]]=BaseYr,IFERROR(Table_UtilityInput9[Annual Natural Gas  
(therm)]*100,0),
(F50-100*SUMIFS(Table_ECM7[Annual Natural Gas Savings
(therm)],Table_ECM7[When will the measure installation be complete and operational?],Table_Perf6[[#This Row],[Year]],Table_ECM7[Would you like to Include this measure in the decarbonization pathway?],TRUE))))</f>
        <v>3823400</v>
      </c>
      <c r="G51" s="100" cm="1">
        <f t="array" ref="G51">MAX(0,IF(Table_Perf6[[#This Row],[Year]]=BaseYr,IFERROR(Table_UtilityInput9[Annual Fuel Oil'#2
(Gallon)]*138,0),
(G50-138*SUMIFS(Table_ECM7[Annual Fuel Oil'#2 Savings
(Gallon)],Table_ECM7[When will the measure installation be complete and operational?],Table_Perf6[[#This Row],[Year]],Table_ECM7[Would you like to Include this measure in the decarbonization pathway?],TRUE))))</f>
        <v>0</v>
      </c>
      <c r="H51" s="100" cm="1">
        <f t="array" ref="H51">MAX(0,IF(Table_Perf6[[#This Row],[Year]]=BaseYr,IFERROR(Table_UtilityInput9[Annual District Steam  
(Mlb for ConEd, kLb for others)]*1194,0),
(H50-1194*SUMIFS(Table_ECM7[Annual District Steam Savings
(Mlb for ConEd, klb for others)],Table_ECM7[When will the measure installation be complete and operational?],Table_Perf6[[#This Row],[Year]],Table_ECM7[Would you like to Include this measure in the decarbonization pathway?],TRUE))))</f>
        <v>0</v>
      </c>
      <c r="I51" s="100" cm="1">
        <f t="array" ref="I51">MAX(0,IF(Table_Perf6[[#This Row],[Year]]=BaseYr,IFERROR(Table_UtilityInput9[Annual Other Fuel 1
(kBtu)],0),
(I50-SUMIFS(Table_ECM7[Annual Other Fuel 1 Savings
(kBtu)],Table_ECM7[When will the measure installation be complete and operational?],Table_Perf6[[#This Row],[Year]],Table_ECM7[Would you like to Include this measure in the decarbonization pathway?],TRUE))))</f>
        <v>0</v>
      </c>
      <c r="J51" s="100" cm="1">
        <f t="array" ref="J51">MAX(0,IF(Table_Perf6[[#This Row],[Year]]=BaseYr,IFERROR(Table_UtilityInput9[Annual Other Fuel 2
(kBtu)],0),
(J50-SUMIFS(Table_ECM7[Annual Other Fuel 2 Savings
(kBtu)],Table_ECM7[When will the measure installation be complete and operational?],Table_Perf6[[#This Row],[Year]],Table_ECM7[Would you like to Include this measure in the decarbonization pathway?],TRUE))))</f>
        <v>0</v>
      </c>
      <c r="K51" s="101">
        <f>-SUMIFS(Table_ECM7[Cost to Install Measures ($)],Table_ECM7[When will the measure installation be complete and operational?],Table_Perf6[[#This Row],[Year]],Table_ECM7[Would you like to Include this measure in the decarbonization pathway?],TRUE)</f>
        <v>0</v>
      </c>
      <c r="L51" s="102" cm="1">
        <f t="array" ref="L51">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35712</v>
      </c>
      <c r="M51" s="103"/>
      <c r="N51" s="100" cm="1">
        <f t="array" ref="N51">Table_Perf6[[#This Row],[Electricity (kBtu)]]*INDEX(Table_UtilityDecarb[Carbon Intensity (tCO2e/kBtu)],MATCH(N$46&amp;Table_Perf6[[#This Row],[Year]],Table_UtilityDecarb[Fuel Type]&amp;Table_UtilityDecarb[Year],0))</f>
        <v>116.51323490599997</v>
      </c>
      <c r="O51" s="100">
        <f>Table_Perf6[[#This Row],[Natural Gas (kBtu)]]*INDEX(Table_UtilityDecarb[Carbon Intensity (tCO2e/kBtu)],MATCH(O$46,Table_UtilityDecarb[Fuel Type],0))</f>
        <v>203.06077399999998</v>
      </c>
      <c r="P51" s="100">
        <f>Table_Perf6[[#This Row],[Fuel Oil'#2 (kBtu)]]*INDEX(Table_UtilityDecarb[Carbon Intensity (tCO2e/kBtu)],MATCH(P$46,Table_UtilityDecarb[Fuel Type],0))</f>
        <v>0</v>
      </c>
      <c r="Q51" s="100" cm="1">
        <f t="array" ref="Q51">Table_Perf6[[#This Row],[District Steam (kBtu)]]*INDEX(Table_UtilityDecarb[Carbon Intensity (tCO2e/kBtu)],MATCH(Q$46&amp;Table_Perf6[[#This Row],[Year]],Table_UtilityDecarb[Fuel Type]&amp;Table_UtilityDecarb[Year],0))</f>
        <v>0</v>
      </c>
      <c r="R51" s="100" cm="1">
        <f t="array" ref="R51">IF(OR(Table_UtilityInput9[Annual Other Fuel 1
(kBtu)]="",NOT(ISNUMBER(Table_UtilityInput9[Annual Other Fuel 1
(kBtu)]))),0,Table_Perf6[[#This Row],[Other Fuel 1 (kBtu)]]*INDEX(Table_UtilityDecarb[Carbon Intensity (tCO2e/kBtu)],MATCH(R$46,Table_UtilityDecarb[Fuel Type],0)))</f>
        <v>0</v>
      </c>
      <c r="S51" s="100" cm="1">
        <f t="array" ref="S51">IF(OR(Table_UtilityInput9[Annual Other Fuel 2
(kBtu)]="",NOT(ISNUMBER(Table_UtilityInput9[Annual Other Fuel 2
(kBtu)]))),0,Table_Perf6[[#This Row],[Other Fuel 2 (kBtu)]]*INDEX(Table_UtilityDecarb[Carbon Intensity (tCO2e/kBtu)],MATCH(S$46,Table_UtilityDecarb[Fuel Type],0)))</f>
        <v>0</v>
      </c>
      <c r="T51" s="100">
        <f>IF(Table_Perf6[[#This Row],[Year]]&gt;2050,NA(),_xlfn.AGGREGATE(9,6,Table_Perf6[[#This Row],[LL97 Electricity (tCO2e)]:[LL97 Other Fuel 2 (tCO2e)]]))</f>
        <v>319.57400890599996</v>
      </c>
      <c r="U51" s="100" t="e">
        <f>IF(Table_Perf6[[#This Row],[Year]]&lt;2035,NA(),INDEX(Table_LimitsCalc_Sample1[Total Limits (tCO2e)],MATCH(Table_Perf6[[#This Row],[Year]],Table_LimitsCalc_Sample1[Year],0)))</f>
        <v>#N/A</v>
      </c>
      <c r="V51" s="100" cm="1">
        <f t="array" ref="V51">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398.21067475599995</v>
      </c>
      <c r="W51" s="100" t="e">
        <f>IF(Table_Perf6[[#This Row],[LL97 Emissions Limit (tCO2e)]]="",0,MAX(0,Table_Perf6[[#This Row],[LL97 Business-As-Usual Emissions]]-Table_Perf6[[#This Row],[LL97 Emissions Limit (tCO2e)]]))</f>
        <v>#N/A</v>
      </c>
      <c r="X51" s="100" t="e">
        <f>IF(Table_Perf6[[#This Row],[LL97 Emissions Limit (tCO2e)]]="",0,MAX(0,Table_Perf6[[#This Row],[LL97 Emissions After Measures]]-Table_Perf6[[#This Row],[LL97 Emissions Limit (tCO2e)]]))</f>
        <v>#N/A</v>
      </c>
      <c r="Y51" s="100">
        <f>Table_Perf6[[#This Row],[LL97 Business-As-Usual Emissions]]-Table_Perf6[[#This Row],[LL97 Emissions After Measures]]</f>
        <v>78.636665849999986</v>
      </c>
      <c r="Z51" s="102" t="e">
        <f>IF(Table_Perf6[[#This Row],[Year]]&lt;2024,"Not in enforcement period",IF(Table_Perf6[[#This Row],[LL97 Excess Emissions After Measures]]=0,"Compliant","Not-Compliant"))</f>
        <v>#N/A</v>
      </c>
      <c r="AA51" s="104">
        <f>IFERROR(-268*Table_Perf6[[#This Row],[LL97 Excess Emissions After Measures]],0)</f>
        <v>0</v>
      </c>
      <c r="AB51" s="102">
        <f>IFERROR(268*MIN(Table_Perf6[[#This Row],[LL97 BAU Excess Emissions]],Table_Perf6[[#This Row],[LL97 Emissions Reduced by Measures]]),0)</f>
        <v>0</v>
      </c>
      <c r="AC51" s="105">
        <f>IF(OR(Table_Perf6[[#This Row],[Year]]&lt;2024,Table_Perf6[[#This Row],[Year]]&gt;2050,ISERROR(Table_Perf6[[#This Row],[LL97 Adjusted Penalty After Measures]])),"",Table_Perf6[[#This Row],[LL97 Adjusted Penalty After Measures]])</f>
        <v>0</v>
      </c>
      <c r="AD51" s="102">
        <f>IF(Table_Perf6[[#This Row],[Year]]&gt;2050,NA(),_xlfn.AGGREGATE(9,6,Table_Perf6[[#This Row],[Measure Cost ($)]],Table_Perf6[[#This Row],[Utility Savings ($)]],Table_Perf6[[#This Row],[LL97 Penalty Avoided by Measures ($)]]))</f>
        <v>35712</v>
      </c>
      <c r="AE51" s="102">
        <f>SUM($AD$48:AD51)</f>
        <v>-155189</v>
      </c>
      <c r="AF51" s="102">
        <f>IF(Table_Perf6[[#This Row],[Year]]&gt;2050,NA(),_xlfn.AGGREGATE(9,6,Table_Perf6[[#This Row],[Measure Cost ($)]],Table_Perf6[[#This Row],[LL97 Adjusted Penalty After Measures]]))</f>
        <v>0</v>
      </c>
      <c r="AG51" s="106">
        <f>Table_Perf6[[#This Row],[Year]]</f>
        <v>2027</v>
      </c>
      <c r="AH51" s="99">
        <f>COUNTIFS(Table_ECM7[When will the measure installation be complete and operational?],"&lt;="&amp;Table_Perf6[[#This Row],[Yr]],Table_ECM7[Would you like to Include this measure in the decarbonization pathway?],TRUE)</f>
        <v>6</v>
      </c>
      <c r="AI51" s="99" t="str">
        <f>IF(Table_Perf6[[#This Row],[Measure Qty]]=AH50,"",_xlfn.CONCAT(Table_Perf6[[#This Row],[Measure Qty]], " Measures Done"))</f>
        <v/>
      </c>
      <c r="AJ51" s="107" t="e">
        <f>IF(Table_Perf6[[#This Row],[Measure Label]]="",NA(),Table_Perf6[[#This Row],[LL97 Emissions After Measures]])</f>
        <v>#N/A</v>
      </c>
    </row>
    <row r="52" spans="3:36" hidden="1" outlineLevel="1">
      <c r="C52" s="98">
        <v>4</v>
      </c>
      <c r="D52" s="108">
        <f>IF(BaseYr+Table_Perf6[[#This Row],['#]]&gt;EndYr,NA(),BaseYr+Table_Perf6[[#This Row],['#]])</f>
        <v>2028</v>
      </c>
      <c r="E52" s="100" cm="1">
        <f t="array" ref="E52">MAX(0,IF(Table_Perf6[[#This Row],[Year]]=BaseYr,IFERROR(Table_UtilityInput9[Annual Electricity 
(kWh)]*3.412,0),
(E51-3.412*SUMIFS(Table_ECM7[Annual Electricity Savings
(kWh)],Table_ECM7[When will the measure installation be complete and operational?],Table_Perf6[[#This Row],[Year]],Table_ECM7[Would you like to Include this measure in the decarbonization pathway?],TRUE))))</f>
        <v>1375762.7560000001</v>
      </c>
      <c r="F52" s="100" cm="1">
        <f t="array" ref="F52">MAX(0,IF(Table_Perf6[[#This Row],[Year]]=BaseYr,IFERROR(Table_UtilityInput9[Annual Natural Gas  
(therm)]*100,0),
(F51-100*SUMIFS(Table_ECM7[Annual Natural Gas Savings
(therm)],Table_ECM7[When will the measure installation be complete and operational?],Table_Perf6[[#This Row],[Year]],Table_ECM7[Would you like to Include this measure in the decarbonization pathway?],TRUE))))</f>
        <v>3823400</v>
      </c>
      <c r="G52" s="100" cm="1">
        <f t="array" ref="G52">MAX(0,IF(Table_Perf6[[#This Row],[Year]]=BaseYr,IFERROR(Table_UtilityInput9[Annual Fuel Oil'#2
(Gallon)]*138,0),
(G51-138*SUMIFS(Table_ECM7[Annual Fuel Oil'#2 Savings
(Gallon)],Table_ECM7[When will the measure installation be complete and operational?],Table_Perf6[[#This Row],[Year]],Table_ECM7[Would you like to Include this measure in the decarbonization pathway?],TRUE))))</f>
        <v>0</v>
      </c>
      <c r="H52" s="100" cm="1">
        <f t="array" ref="H52">MAX(0,IF(Table_Perf6[[#This Row],[Year]]=BaseYr,IFERROR(Table_UtilityInput9[Annual District Steam  
(Mlb for ConEd, kLb for others)]*1194,0),
(H51-1194*SUMIFS(Table_ECM7[Annual District Steam Savings
(Mlb for ConEd, klb for others)],Table_ECM7[When will the measure installation be complete and operational?],Table_Perf6[[#This Row],[Year]],Table_ECM7[Would you like to Include this measure in the decarbonization pathway?],TRUE))))</f>
        <v>0</v>
      </c>
      <c r="I52" s="100" cm="1">
        <f t="array" ref="I52">MAX(0,IF(Table_Perf6[[#This Row],[Year]]=BaseYr,IFERROR(Table_UtilityInput9[Annual Other Fuel 1
(kBtu)],0),
(I51-SUMIFS(Table_ECM7[Annual Other Fuel 1 Savings
(kBtu)],Table_ECM7[When will the measure installation be complete and operational?],Table_Perf6[[#This Row],[Year]],Table_ECM7[Would you like to Include this measure in the decarbonization pathway?],TRUE))))</f>
        <v>0</v>
      </c>
      <c r="J52" s="100" cm="1">
        <f t="array" ref="J52">MAX(0,IF(Table_Perf6[[#This Row],[Year]]=BaseYr,IFERROR(Table_UtilityInput9[Annual Other Fuel 2
(kBtu)],0),
(J51-SUMIFS(Table_ECM7[Annual Other Fuel 2 Savings
(kBtu)],Table_ECM7[When will the measure installation be complete and operational?],Table_Perf6[[#This Row],[Year]],Table_ECM7[Would you like to Include this measure in the decarbonization pathway?],TRUE))))</f>
        <v>0</v>
      </c>
      <c r="K52" s="101">
        <f>-SUMIFS(Table_ECM7[Cost to Install Measures ($)],Table_ECM7[When will the measure installation be complete and operational?],Table_Perf6[[#This Row],[Year]],Table_ECM7[Would you like to Include this measure in the decarbonization pathway?],TRUE)</f>
        <v>0</v>
      </c>
      <c r="L52" s="102" cm="1">
        <f t="array" ref="L52">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35712</v>
      </c>
      <c r="M52" s="103"/>
      <c r="N52" s="100" cm="1">
        <f t="array" ref="N52">Table_Perf6[[#This Row],[Electricity (kBtu)]]*INDEX(Table_UtilityDecarb[Carbon Intensity (tCO2e/kBtu)],MATCH(N$46&amp;Table_Perf6[[#This Row],[Year]],Table_UtilityDecarb[Fuel Type]&amp;Table_UtilityDecarb[Year],0))</f>
        <v>116.51323490599997</v>
      </c>
      <c r="O52" s="100">
        <f>Table_Perf6[[#This Row],[Natural Gas (kBtu)]]*INDEX(Table_UtilityDecarb[Carbon Intensity (tCO2e/kBtu)],MATCH(O$46,Table_UtilityDecarb[Fuel Type],0))</f>
        <v>203.06077399999998</v>
      </c>
      <c r="P52" s="100">
        <f>Table_Perf6[[#This Row],[Fuel Oil'#2 (kBtu)]]*INDEX(Table_UtilityDecarb[Carbon Intensity (tCO2e/kBtu)],MATCH(P$46,Table_UtilityDecarb[Fuel Type],0))</f>
        <v>0</v>
      </c>
      <c r="Q52" s="100" cm="1">
        <f t="array" ref="Q52">Table_Perf6[[#This Row],[District Steam (kBtu)]]*INDEX(Table_UtilityDecarb[Carbon Intensity (tCO2e/kBtu)],MATCH(Q$46&amp;Table_Perf6[[#This Row],[Year]],Table_UtilityDecarb[Fuel Type]&amp;Table_UtilityDecarb[Year],0))</f>
        <v>0</v>
      </c>
      <c r="R52" s="100" cm="1">
        <f t="array" ref="R52">IF(OR(Table_UtilityInput9[Annual Other Fuel 1
(kBtu)]="",NOT(ISNUMBER(Table_UtilityInput9[Annual Other Fuel 1
(kBtu)]))),0,Table_Perf6[[#This Row],[Other Fuel 1 (kBtu)]]*INDEX(Table_UtilityDecarb[Carbon Intensity (tCO2e/kBtu)],MATCH(R$46,Table_UtilityDecarb[Fuel Type],0)))</f>
        <v>0</v>
      </c>
      <c r="S52" s="100" cm="1">
        <f t="array" ref="S52">IF(OR(Table_UtilityInput9[Annual Other Fuel 2
(kBtu)]="",NOT(ISNUMBER(Table_UtilityInput9[Annual Other Fuel 2
(kBtu)]))),0,Table_Perf6[[#This Row],[Other Fuel 2 (kBtu)]]*INDEX(Table_UtilityDecarb[Carbon Intensity (tCO2e/kBtu)],MATCH(S$46,Table_UtilityDecarb[Fuel Type],0)))</f>
        <v>0</v>
      </c>
      <c r="T52" s="100">
        <f>IF(Table_Perf6[[#This Row],[Year]]&gt;2050,NA(),_xlfn.AGGREGATE(9,6,Table_Perf6[[#This Row],[LL97 Electricity (tCO2e)]:[LL97 Other Fuel 2 (tCO2e)]]))</f>
        <v>319.57400890599996</v>
      </c>
      <c r="U52" s="100" t="e">
        <f>IF(Table_Perf6[[#This Row],[Year]]&lt;2035,NA(),INDEX(Table_LimitsCalc_Sample1[Total Limits (tCO2e)],MATCH(Table_Perf6[[#This Row],[Year]],Table_LimitsCalc_Sample1[Year],0)))</f>
        <v>#N/A</v>
      </c>
      <c r="V52" s="100" cm="1">
        <f t="array" ref="V52">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398.21067475599995</v>
      </c>
      <c r="W52" s="100" t="e">
        <f>IF(Table_Perf6[[#This Row],[LL97 Emissions Limit (tCO2e)]]="",0,MAX(0,Table_Perf6[[#This Row],[LL97 Business-As-Usual Emissions]]-Table_Perf6[[#This Row],[LL97 Emissions Limit (tCO2e)]]))</f>
        <v>#N/A</v>
      </c>
      <c r="X52" s="100" t="e">
        <f>IF(Table_Perf6[[#This Row],[LL97 Emissions Limit (tCO2e)]]="",0,MAX(0,Table_Perf6[[#This Row],[LL97 Emissions After Measures]]-Table_Perf6[[#This Row],[LL97 Emissions Limit (tCO2e)]]))</f>
        <v>#N/A</v>
      </c>
      <c r="Y52" s="100">
        <f>Table_Perf6[[#This Row],[LL97 Business-As-Usual Emissions]]-Table_Perf6[[#This Row],[LL97 Emissions After Measures]]</f>
        <v>78.636665849999986</v>
      </c>
      <c r="Z52" s="102" t="e">
        <f>IF(Table_Perf6[[#This Row],[Year]]&lt;2024,"Not in enforcement period",IF(Table_Perf6[[#This Row],[LL97 Excess Emissions After Measures]]=0,"Compliant","Not-Compliant"))</f>
        <v>#N/A</v>
      </c>
      <c r="AA52" s="104">
        <f>IFERROR(-268*Table_Perf6[[#This Row],[LL97 Excess Emissions After Measures]],0)</f>
        <v>0</v>
      </c>
      <c r="AB52" s="102">
        <f>IFERROR(268*MIN(Table_Perf6[[#This Row],[LL97 BAU Excess Emissions]],Table_Perf6[[#This Row],[LL97 Emissions Reduced by Measures]]),0)</f>
        <v>0</v>
      </c>
      <c r="AC52" s="105">
        <f>IF(OR(Table_Perf6[[#This Row],[Year]]&lt;2024,Table_Perf6[[#This Row],[Year]]&gt;2050,ISERROR(Table_Perf6[[#This Row],[LL97 Adjusted Penalty After Measures]])),"",Table_Perf6[[#This Row],[LL97 Adjusted Penalty After Measures]])</f>
        <v>0</v>
      </c>
      <c r="AD52" s="102">
        <f>IF(Table_Perf6[[#This Row],[Year]]&gt;2050,NA(),_xlfn.AGGREGATE(9,6,Table_Perf6[[#This Row],[Measure Cost ($)]],Table_Perf6[[#This Row],[Utility Savings ($)]],Table_Perf6[[#This Row],[LL97 Penalty Avoided by Measures ($)]]))</f>
        <v>35712</v>
      </c>
      <c r="AE52" s="102">
        <f>SUM($AD$48:AD52)</f>
        <v>-119477</v>
      </c>
      <c r="AF52" s="102">
        <f>IF(Table_Perf6[[#This Row],[Year]]&gt;2050,NA(),_xlfn.AGGREGATE(9,6,Table_Perf6[[#This Row],[Measure Cost ($)]],Table_Perf6[[#This Row],[LL97 Adjusted Penalty After Measures]]))</f>
        <v>0</v>
      </c>
      <c r="AG52" s="106">
        <f>Table_Perf6[[#This Row],[Year]]</f>
        <v>2028</v>
      </c>
      <c r="AH52" s="99">
        <f>COUNTIFS(Table_ECM7[When will the measure installation be complete and operational?],"&lt;="&amp;Table_Perf6[[#This Row],[Yr]],Table_ECM7[Would you like to Include this measure in the decarbonization pathway?],TRUE)</f>
        <v>6</v>
      </c>
      <c r="AI52" s="99" t="str">
        <f>IF(Table_Perf6[[#This Row],[Measure Qty]]=AH51,"",_xlfn.CONCAT(Table_Perf6[[#This Row],[Measure Qty]], " Measures Done"))</f>
        <v/>
      </c>
      <c r="AJ52" s="107" t="e">
        <f>IF(Table_Perf6[[#This Row],[Measure Label]]="",NA(),Table_Perf6[[#This Row],[LL97 Emissions After Measures]])</f>
        <v>#N/A</v>
      </c>
    </row>
    <row r="53" spans="3:36" hidden="1" outlineLevel="1">
      <c r="C53" s="98">
        <v>5</v>
      </c>
      <c r="D53" s="108">
        <f>IF(BaseYr+Table_Perf6[[#This Row],['#]]&gt;EndYr,NA(),BaseYr+Table_Perf6[[#This Row],['#]])</f>
        <v>2029</v>
      </c>
      <c r="E53" s="100" cm="1">
        <f t="array" ref="E53">MAX(0,IF(Table_Perf6[[#This Row],[Year]]=BaseYr,IFERROR(Table_UtilityInput9[Annual Electricity 
(kWh)]*3.412,0),
(E52-3.412*SUMIFS(Table_ECM7[Annual Electricity Savings
(kWh)],Table_ECM7[When will the measure installation be complete and operational?],Table_Perf6[[#This Row],[Year]],Table_ECM7[Would you like to Include this measure in the decarbonization pathway?],TRUE))))</f>
        <v>1375762.7560000001</v>
      </c>
      <c r="F53" s="100" cm="1">
        <f t="array" ref="F53">MAX(0,IF(Table_Perf6[[#This Row],[Year]]=BaseYr,IFERROR(Table_UtilityInput9[Annual Natural Gas  
(therm)]*100,0),
(F52-100*SUMIFS(Table_ECM7[Annual Natural Gas Savings
(therm)],Table_ECM7[When will the measure installation be complete and operational?],Table_Perf6[[#This Row],[Year]],Table_ECM7[Would you like to Include this measure in the decarbonization pathway?],TRUE))))</f>
        <v>3823400</v>
      </c>
      <c r="G53" s="100" cm="1">
        <f t="array" ref="G53">MAX(0,IF(Table_Perf6[[#This Row],[Year]]=BaseYr,IFERROR(Table_UtilityInput9[Annual Fuel Oil'#2
(Gallon)]*138,0),
(G52-138*SUMIFS(Table_ECM7[Annual Fuel Oil'#2 Savings
(Gallon)],Table_ECM7[When will the measure installation be complete and operational?],Table_Perf6[[#This Row],[Year]],Table_ECM7[Would you like to Include this measure in the decarbonization pathway?],TRUE))))</f>
        <v>0</v>
      </c>
      <c r="H53" s="100" cm="1">
        <f t="array" ref="H53">MAX(0,IF(Table_Perf6[[#This Row],[Year]]=BaseYr,IFERROR(Table_UtilityInput9[Annual District Steam  
(Mlb for ConEd, kLb for others)]*1194,0),
(H52-1194*SUMIFS(Table_ECM7[Annual District Steam Savings
(Mlb for ConEd, klb for others)],Table_ECM7[When will the measure installation be complete and operational?],Table_Perf6[[#This Row],[Year]],Table_ECM7[Would you like to Include this measure in the decarbonization pathway?],TRUE))))</f>
        <v>0</v>
      </c>
      <c r="I53" s="100" cm="1">
        <f t="array" ref="I53">MAX(0,IF(Table_Perf6[[#This Row],[Year]]=BaseYr,IFERROR(Table_UtilityInput9[Annual Other Fuel 1
(kBtu)],0),
(I52-SUMIFS(Table_ECM7[Annual Other Fuel 1 Savings
(kBtu)],Table_ECM7[When will the measure installation be complete and operational?],Table_Perf6[[#This Row],[Year]],Table_ECM7[Would you like to Include this measure in the decarbonization pathway?],TRUE))))</f>
        <v>0</v>
      </c>
      <c r="J53" s="100" cm="1">
        <f t="array" ref="J53">MAX(0,IF(Table_Perf6[[#This Row],[Year]]=BaseYr,IFERROR(Table_UtilityInput9[Annual Other Fuel 2
(kBtu)],0),
(J52-SUMIFS(Table_ECM7[Annual Other Fuel 2 Savings
(kBtu)],Table_ECM7[When will the measure installation be complete and operational?],Table_Perf6[[#This Row],[Year]],Table_ECM7[Would you like to Include this measure in the decarbonization pathway?],TRUE))))</f>
        <v>0</v>
      </c>
      <c r="K53" s="101">
        <f>-SUMIFS(Table_ECM7[Cost to Install Measures ($)],Table_ECM7[When will the measure installation be complete and operational?],Table_Perf6[[#This Row],[Year]],Table_ECM7[Would you like to Include this measure in the decarbonization pathway?],TRUE)</f>
        <v>0</v>
      </c>
      <c r="L53" s="102" cm="1">
        <f t="array" ref="L53">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35712</v>
      </c>
      <c r="M53" s="103"/>
      <c r="N53" s="100" cm="1">
        <f t="array" ref="N53">Table_Perf6[[#This Row],[Electricity (kBtu)]]*INDEX(Table_UtilityDecarb[Carbon Intensity (tCO2e/kBtu)],MATCH(N$46&amp;Table_Perf6[[#This Row],[Year]],Table_UtilityDecarb[Fuel Type]&amp;Table_UtilityDecarb[Year],0))</f>
        <v>116.51323490599997</v>
      </c>
      <c r="O53" s="100">
        <f>Table_Perf6[[#This Row],[Natural Gas (kBtu)]]*INDEX(Table_UtilityDecarb[Carbon Intensity (tCO2e/kBtu)],MATCH(O$46,Table_UtilityDecarb[Fuel Type],0))</f>
        <v>203.06077399999998</v>
      </c>
      <c r="P53" s="100">
        <f>Table_Perf6[[#This Row],[Fuel Oil'#2 (kBtu)]]*INDEX(Table_UtilityDecarb[Carbon Intensity (tCO2e/kBtu)],MATCH(P$46,Table_UtilityDecarb[Fuel Type],0))</f>
        <v>0</v>
      </c>
      <c r="Q53" s="100" cm="1">
        <f t="array" ref="Q53">Table_Perf6[[#This Row],[District Steam (kBtu)]]*INDEX(Table_UtilityDecarb[Carbon Intensity (tCO2e/kBtu)],MATCH(Q$46&amp;Table_Perf6[[#This Row],[Year]],Table_UtilityDecarb[Fuel Type]&amp;Table_UtilityDecarb[Year],0))</f>
        <v>0</v>
      </c>
      <c r="R53" s="100" cm="1">
        <f t="array" ref="R53">IF(OR(Table_UtilityInput9[Annual Other Fuel 1
(kBtu)]="",NOT(ISNUMBER(Table_UtilityInput9[Annual Other Fuel 1
(kBtu)]))),0,Table_Perf6[[#This Row],[Other Fuel 1 (kBtu)]]*INDEX(Table_UtilityDecarb[Carbon Intensity (tCO2e/kBtu)],MATCH(R$46,Table_UtilityDecarb[Fuel Type],0)))</f>
        <v>0</v>
      </c>
      <c r="S53" s="100" cm="1">
        <f t="array" ref="S53">IF(OR(Table_UtilityInput9[Annual Other Fuel 2
(kBtu)]="",NOT(ISNUMBER(Table_UtilityInput9[Annual Other Fuel 2
(kBtu)]))),0,Table_Perf6[[#This Row],[Other Fuel 2 (kBtu)]]*INDEX(Table_UtilityDecarb[Carbon Intensity (tCO2e/kBtu)],MATCH(S$46,Table_UtilityDecarb[Fuel Type],0)))</f>
        <v>0</v>
      </c>
      <c r="T53" s="100">
        <f>IF(Table_Perf6[[#This Row],[Year]]&gt;2050,NA(),_xlfn.AGGREGATE(9,6,Table_Perf6[[#This Row],[LL97 Electricity (tCO2e)]:[LL97 Other Fuel 2 (tCO2e)]]))</f>
        <v>319.57400890599996</v>
      </c>
      <c r="U53" s="100" t="e">
        <f>IF(Table_Perf6[[#This Row],[Year]]&lt;2035,NA(),INDEX(Table_LimitsCalc_Sample1[Total Limits (tCO2e)],MATCH(Table_Perf6[[#This Row],[Year]],Table_LimitsCalc_Sample1[Year],0)))</f>
        <v>#N/A</v>
      </c>
      <c r="V53" s="100" cm="1">
        <f t="array" ref="V53">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398.21067475599995</v>
      </c>
      <c r="W53" s="100" t="e">
        <f>IF(Table_Perf6[[#This Row],[LL97 Emissions Limit (tCO2e)]]="",0,MAX(0,Table_Perf6[[#This Row],[LL97 Business-As-Usual Emissions]]-Table_Perf6[[#This Row],[LL97 Emissions Limit (tCO2e)]]))</f>
        <v>#N/A</v>
      </c>
      <c r="X53" s="100" t="e">
        <f>IF(Table_Perf6[[#This Row],[LL97 Emissions Limit (tCO2e)]]="",0,MAX(0,Table_Perf6[[#This Row],[LL97 Emissions After Measures]]-Table_Perf6[[#This Row],[LL97 Emissions Limit (tCO2e)]]))</f>
        <v>#N/A</v>
      </c>
      <c r="Y53" s="100">
        <f>Table_Perf6[[#This Row],[LL97 Business-As-Usual Emissions]]-Table_Perf6[[#This Row],[LL97 Emissions After Measures]]</f>
        <v>78.636665849999986</v>
      </c>
      <c r="Z53" s="102" t="e">
        <f>IF(Table_Perf6[[#This Row],[Year]]&lt;2024,"Not in enforcement period",IF(Table_Perf6[[#This Row],[LL97 Excess Emissions After Measures]]=0,"Compliant","Not-Compliant"))</f>
        <v>#N/A</v>
      </c>
      <c r="AA53" s="104">
        <f>IFERROR(-268*Table_Perf6[[#This Row],[LL97 Excess Emissions After Measures]],0)</f>
        <v>0</v>
      </c>
      <c r="AB53" s="102">
        <f>IFERROR(268*MIN(Table_Perf6[[#This Row],[LL97 BAU Excess Emissions]],Table_Perf6[[#This Row],[LL97 Emissions Reduced by Measures]]),0)</f>
        <v>0</v>
      </c>
      <c r="AC53" s="105">
        <f>IF(OR(Table_Perf6[[#This Row],[Year]]&lt;2024,Table_Perf6[[#This Row],[Year]]&gt;2050,ISERROR(Table_Perf6[[#This Row],[LL97 Adjusted Penalty After Measures]])),"",Table_Perf6[[#This Row],[LL97 Adjusted Penalty After Measures]])</f>
        <v>0</v>
      </c>
      <c r="AD53" s="102">
        <f>IF(Table_Perf6[[#This Row],[Year]]&gt;2050,NA(),_xlfn.AGGREGATE(9,6,Table_Perf6[[#This Row],[Measure Cost ($)]],Table_Perf6[[#This Row],[Utility Savings ($)]],Table_Perf6[[#This Row],[LL97 Penalty Avoided by Measures ($)]]))</f>
        <v>35712</v>
      </c>
      <c r="AE53" s="102">
        <f>SUM($AD$48:AD53)</f>
        <v>-83765</v>
      </c>
      <c r="AF53" s="102">
        <f>IF(Table_Perf6[[#This Row],[Year]]&gt;2050,NA(),_xlfn.AGGREGATE(9,6,Table_Perf6[[#This Row],[Measure Cost ($)]],Table_Perf6[[#This Row],[LL97 Adjusted Penalty After Measures]]))</f>
        <v>0</v>
      </c>
      <c r="AG53" s="106">
        <f>Table_Perf6[[#This Row],[Year]]</f>
        <v>2029</v>
      </c>
      <c r="AH53" s="99">
        <f>COUNTIFS(Table_ECM7[When will the measure installation be complete and operational?],"&lt;="&amp;Table_Perf6[[#This Row],[Yr]],Table_ECM7[Would you like to Include this measure in the decarbonization pathway?],TRUE)</f>
        <v>6</v>
      </c>
      <c r="AI53" s="99" t="str">
        <f>IF(Table_Perf6[[#This Row],[Measure Qty]]=AH52,"",_xlfn.CONCAT(Table_Perf6[[#This Row],[Measure Qty]], " Measures Done"))</f>
        <v/>
      </c>
      <c r="AJ53" s="107" t="e">
        <f>IF(Table_Perf6[[#This Row],[Measure Label]]="",NA(),Table_Perf6[[#This Row],[LL97 Emissions After Measures]])</f>
        <v>#N/A</v>
      </c>
    </row>
    <row r="54" spans="3:36" hidden="1" outlineLevel="1">
      <c r="C54" s="98">
        <v>6</v>
      </c>
      <c r="D54" s="108">
        <f>IF(BaseYr+Table_Perf6[[#This Row],['#]]&gt;EndYr,NA(),BaseYr+Table_Perf6[[#This Row],['#]])</f>
        <v>2030</v>
      </c>
      <c r="E54" s="109" cm="1">
        <f t="array" ref="E54">MAX(0,IF(Table_Perf6[[#This Row],[Year]]=BaseYr,IFERROR(Table_UtilityInput9[Annual Electricity 
(kWh)]*3.412,0),
(E53-3.412*SUMIFS(Table_ECM7[Annual Electricity Savings
(kWh)],Table_ECM7[When will the measure installation be complete and operational?],Table_Perf6[[#This Row],[Year]],Table_ECM7[Would you like to Include this measure in the decarbonization pathway?],TRUE))))</f>
        <v>1375677.456</v>
      </c>
      <c r="F54" s="109" cm="1">
        <f t="array" ref="F54">MAX(0,IF(Table_Perf6[[#This Row],[Year]]=BaseYr,IFERROR(Table_UtilityInput9[Annual Natural Gas  
(therm)]*100,0),
(F53-100*SUMIFS(Table_ECM7[Annual Natural Gas Savings
(therm)],Table_ECM7[When will the measure installation be complete and operational?],Table_Perf6[[#This Row],[Year]],Table_ECM7[Would you like to Include this measure in the decarbonization pathway?],TRUE))))</f>
        <v>3426600</v>
      </c>
      <c r="G54" s="109" cm="1">
        <f t="array" ref="G54">MAX(0,IF(Table_Perf6[[#This Row],[Year]]=BaseYr,IFERROR(Table_UtilityInput9[Annual Fuel Oil'#2
(Gallon)]*138,0),
(G53-138*SUMIFS(Table_ECM7[Annual Fuel Oil'#2 Savings
(Gallon)],Table_ECM7[When will the measure installation be complete and operational?],Table_Perf6[[#This Row],[Year]],Table_ECM7[Would you like to Include this measure in the decarbonization pathway?],TRUE))))</f>
        <v>0</v>
      </c>
      <c r="H54" s="109" cm="1">
        <f t="array" ref="H54">MAX(0,IF(Table_Perf6[[#This Row],[Year]]=BaseYr,IFERROR(Table_UtilityInput9[Annual District Steam  
(Mlb for ConEd, kLb for others)]*1194,0),
(H53-1194*SUMIFS(Table_ECM7[Annual District Steam Savings
(Mlb for ConEd, klb for others)],Table_ECM7[When will the measure installation be complete and operational?],Table_Perf6[[#This Row],[Year]],Table_ECM7[Would you like to Include this measure in the decarbonization pathway?],TRUE))))</f>
        <v>0</v>
      </c>
      <c r="I54" s="109" cm="1">
        <f t="array" ref="I54">MAX(0,IF(Table_Perf6[[#This Row],[Year]]=BaseYr,IFERROR(Table_UtilityInput9[Annual Other Fuel 1
(kBtu)],0),
(I53-SUMIFS(Table_ECM7[Annual Other Fuel 1 Savings
(kBtu)],Table_ECM7[When will the measure installation be complete and operational?],Table_Perf6[[#This Row],[Year]],Table_ECM7[Would you like to Include this measure in the decarbonization pathway?],TRUE))))</f>
        <v>0</v>
      </c>
      <c r="J54" s="110" cm="1">
        <f t="array" ref="J54">MAX(0,IF(Table_Perf6[[#This Row],[Year]]=BaseYr,IFERROR(Table_UtilityInput9[Annual Other Fuel 2
(kBtu)],0),
(J53-SUMIFS(Table_ECM7[Annual Other Fuel 2 Savings
(kBtu)],Table_ECM7[When will the measure installation be complete and operational?],Table_Perf6[[#This Row],[Year]],Table_ECM7[Would you like to Include this measure in the decarbonization pathway?],TRUE))))</f>
        <v>0</v>
      </c>
      <c r="K54" s="101">
        <f>-SUMIFS(Table_ECM7[Cost to Install Measures ($)],Table_ECM7[When will the measure installation be complete and operational?],Table_Perf6[[#This Row],[Year]],Table_ECM7[Would you like to Include this measure in the decarbonization pathway?],TRUE)</f>
        <v>-64195</v>
      </c>
      <c r="L54" s="102" cm="1">
        <f t="array" ref="L54">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39280</v>
      </c>
      <c r="M54" s="103"/>
      <c r="N54" s="109" cm="1">
        <f t="array" ref="N54">Table_Perf6[[#This Row],[Electricity (kBtu)]]*INDEX(Table_UtilityDecarb[Carbon Intensity (tCO2e/kBtu)],MATCH(N$46&amp;Table_Perf6[[#This Row],[Year]],Table_UtilityDecarb[Fuel Type]&amp;Table_UtilityDecarb[Year],0))</f>
        <v>58.462260000000008</v>
      </c>
      <c r="O54" s="100">
        <f>Table_Perf6[[#This Row],[Natural Gas (kBtu)]]*INDEX(Table_UtilityDecarb[Carbon Intensity (tCO2e/kBtu)],MATCH(O$46,Table_UtilityDecarb[Fuel Type],0))</f>
        <v>181.986726</v>
      </c>
      <c r="P54" s="109">
        <f>Table_Perf6[[#This Row],[Fuel Oil'#2 (kBtu)]]*INDEX(Table_UtilityDecarb[Carbon Intensity (tCO2e/kBtu)],MATCH(P$46,Table_UtilityDecarb[Fuel Type],0))</f>
        <v>0</v>
      </c>
      <c r="Q54" s="109" cm="1">
        <f t="array" ref="Q54">Table_Perf6[[#This Row],[District Steam (kBtu)]]*INDEX(Table_UtilityDecarb[Carbon Intensity (tCO2e/kBtu)],MATCH(Q$46&amp;Table_Perf6[[#This Row],[Year]],Table_UtilityDecarb[Fuel Type]&amp;Table_UtilityDecarb[Year],0))</f>
        <v>0</v>
      </c>
      <c r="R54" s="109" cm="1">
        <f t="array" ref="R54">IF(OR(Table_UtilityInput9[Annual Other Fuel 1
(kBtu)]="",NOT(ISNUMBER(Table_UtilityInput9[Annual Other Fuel 1
(kBtu)]))),0,Table_Perf6[[#This Row],[Other Fuel 1 (kBtu)]]*INDEX(Table_UtilityDecarb[Carbon Intensity (tCO2e/kBtu)],MATCH(R$46,Table_UtilityDecarb[Fuel Type],0)))</f>
        <v>0</v>
      </c>
      <c r="S54" s="109" cm="1">
        <f t="array" ref="S54">IF(OR(Table_UtilityInput9[Annual Other Fuel 2
(kBtu)]="",NOT(ISNUMBER(Table_UtilityInput9[Annual Other Fuel 2
(kBtu)]))),0,Table_Perf6[[#This Row],[Other Fuel 2 (kBtu)]]*INDEX(Table_UtilityDecarb[Carbon Intensity (tCO2e/kBtu)],MATCH(S$46,Table_UtilityDecarb[Fuel Type],0)))</f>
        <v>0</v>
      </c>
      <c r="T54" s="100">
        <f>IF(Table_Perf6[[#This Row],[Year]]&gt;2050,NA(),_xlfn.AGGREGATE(9,6,Table_Perf6[[#This Row],[LL97 Electricity (tCO2e)]:[LL97 Other Fuel 2 (tCO2e)]]))</f>
        <v>240.44898600000002</v>
      </c>
      <c r="U54" s="100" t="e">
        <f>IF(Table_Perf6[[#This Row],[Year]]&lt;2035,NA(),INDEX(Table_LimitsCalc_Sample1[Total Limits (tCO2e)],MATCH(Table_Perf6[[#This Row],[Year]],Table_LimitsCalc_Sample1[Year],0)))</f>
        <v>#N/A</v>
      </c>
      <c r="V54" s="100" cm="1">
        <f t="array" ref="V54">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314.62086699999998</v>
      </c>
      <c r="W54" s="100" t="e">
        <f>IF(Table_Perf6[[#This Row],[LL97 Emissions Limit (tCO2e)]]="",0,MAX(0,Table_Perf6[[#This Row],[LL97 Business-As-Usual Emissions]]-Table_Perf6[[#This Row],[LL97 Emissions Limit (tCO2e)]]))</f>
        <v>#N/A</v>
      </c>
      <c r="X54" s="100" t="e">
        <f>IF(Table_Perf6[[#This Row],[LL97 Emissions Limit (tCO2e)]]="",0,MAX(0,Table_Perf6[[#This Row],[LL97 Emissions After Measures]]-Table_Perf6[[#This Row],[LL97 Emissions Limit (tCO2e)]]))</f>
        <v>#N/A</v>
      </c>
      <c r="Y54" s="100">
        <f>Table_Perf6[[#This Row],[LL97 Business-As-Usual Emissions]]-Table_Perf6[[#This Row],[LL97 Emissions After Measures]]</f>
        <v>74.171880999999956</v>
      </c>
      <c r="Z54" s="102" t="e">
        <f>IF(Table_Perf6[[#This Row],[Year]]&lt;2024,"Not in enforcement period",IF(Table_Perf6[[#This Row],[LL97 Excess Emissions After Measures]]=0,"Compliant","Not-Compliant"))</f>
        <v>#N/A</v>
      </c>
      <c r="AA54" s="104">
        <f>IFERROR(-268*Table_Perf6[[#This Row],[LL97 Excess Emissions After Measures]],0)</f>
        <v>0</v>
      </c>
      <c r="AB54" s="102">
        <f>IFERROR(268*MIN(Table_Perf6[[#This Row],[LL97 BAU Excess Emissions]],Table_Perf6[[#This Row],[LL97 Emissions Reduced by Measures]]),0)</f>
        <v>0</v>
      </c>
      <c r="AC54" s="105">
        <f>IF(OR(Table_Perf6[[#This Row],[Year]]&lt;2024,Table_Perf6[[#This Row],[Year]]&gt;2050,ISERROR(Table_Perf6[[#This Row],[LL97 Adjusted Penalty After Measures]])),"",Table_Perf6[[#This Row],[LL97 Adjusted Penalty After Measures]])</f>
        <v>0</v>
      </c>
      <c r="AD54" s="102">
        <f>IF(Table_Perf6[[#This Row],[Year]]&gt;2050,NA(),_xlfn.AGGREGATE(9,6,Table_Perf6[[#This Row],[Measure Cost ($)]],Table_Perf6[[#This Row],[Utility Savings ($)]],Table_Perf6[[#This Row],[LL97 Penalty Avoided by Measures ($)]]))</f>
        <v>-24915</v>
      </c>
      <c r="AE54" s="102">
        <f>SUM($AD$48:AD54)</f>
        <v>-108680</v>
      </c>
      <c r="AF54" s="102">
        <f>IF(Table_Perf6[[#This Row],[Year]]&gt;2050,NA(),_xlfn.AGGREGATE(9,6,Table_Perf6[[#This Row],[Measure Cost ($)]],Table_Perf6[[#This Row],[LL97 Adjusted Penalty After Measures]]))</f>
        <v>-64195</v>
      </c>
      <c r="AG54" s="106">
        <f>Table_Perf6[[#This Row],[Year]]</f>
        <v>2030</v>
      </c>
      <c r="AH54" s="99">
        <f>COUNTIFS(Table_ECM7[When will the measure installation be complete and operational?],"&lt;="&amp;Table_Perf6[[#This Row],[Yr]],Table_ECM7[Would you like to Include this measure in the decarbonization pathway?],TRUE)</f>
        <v>9</v>
      </c>
      <c r="AI54" s="99" t="str">
        <f>IF(Table_Perf6[[#This Row],[Measure Qty]]=AH53,"",_xlfn.CONCAT(Table_Perf6[[#This Row],[Measure Qty]], " Measures Done"))</f>
        <v>9 Measures Done</v>
      </c>
      <c r="AJ54" s="107">
        <f>IF(Table_Perf6[[#This Row],[Measure Label]]="",NA(),Table_Perf6[[#This Row],[LL97 Emissions After Measures]])</f>
        <v>240.44898600000002</v>
      </c>
    </row>
    <row r="55" spans="3:36" hidden="1" outlineLevel="1">
      <c r="C55" s="98">
        <v>7</v>
      </c>
      <c r="D55" s="108">
        <f>IF(BaseYr+Table_Perf6[[#This Row],['#]]&gt;EndYr,NA(),BaseYr+Table_Perf6[[#This Row],['#]])</f>
        <v>2031</v>
      </c>
      <c r="E55" s="109" cm="1">
        <f t="array" ref="E55">MAX(0,IF(Table_Perf6[[#This Row],[Year]]=BaseYr,IFERROR(Table_UtilityInput9[Annual Electricity 
(kWh)]*3.412,0),
(E54-3.412*SUMIFS(Table_ECM7[Annual Electricity Savings
(kWh)],Table_ECM7[When will the measure installation be complete and operational?],Table_Perf6[[#This Row],[Year]],Table_ECM7[Would you like to Include this measure in the decarbonization pathway?],TRUE))))</f>
        <v>1375677.456</v>
      </c>
      <c r="F55" s="109" cm="1">
        <f t="array" ref="F55">MAX(0,IF(Table_Perf6[[#This Row],[Year]]=BaseYr,IFERROR(Table_UtilityInput9[Annual Natural Gas  
(therm)]*100,0),
(F54-100*SUMIFS(Table_ECM7[Annual Natural Gas Savings
(therm)],Table_ECM7[When will the measure installation be complete and operational?],Table_Perf6[[#This Row],[Year]],Table_ECM7[Would you like to Include this measure in the decarbonization pathway?],TRUE))))</f>
        <v>3426600</v>
      </c>
      <c r="G55" s="109" cm="1">
        <f t="array" ref="G55">MAX(0,IF(Table_Perf6[[#This Row],[Year]]=BaseYr,IFERROR(Table_UtilityInput9[Annual Fuel Oil'#2
(Gallon)]*138,0),
(G54-138*SUMIFS(Table_ECM7[Annual Fuel Oil'#2 Savings
(Gallon)],Table_ECM7[When will the measure installation be complete and operational?],Table_Perf6[[#This Row],[Year]],Table_ECM7[Would you like to Include this measure in the decarbonization pathway?],TRUE))))</f>
        <v>0</v>
      </c>
      <c r="H55" s="109" cm="1">
        <f t="array" ref="H55">MAX(0,IF(Table_Perf6[[#This Row],[Year]]=BaseYr,IFERROR(Table_UtilityInput9[Annual District Steam  
(Mlb for ConEd, kLb for others)]*1194,0),
(H54-1194*SUMIFS(Table_ECM7[Annual District Steam Savings
(Mlb for ConEd, klb for others)],Table_ECM7[When will the measure installation be complete and operational?],Table_Perf6[[#This Row],[Year]],Table_ECM7[Would you like to Include this measure in the decarbonization pathway?],TRUE))))</f>
        <v>0</v>
      </c>
      <c r="I55" s="109" cm="1">
        <f t="array" ref="I55">MAX(0,IF(Table_Perf6[[#This Row],[Year]]=BaseYr,IFERROR(Table_UtilityInput9[Annual Other Fuel 1
(kBtu)],0),
(I54-SUMIFS(Table_ECM7[Annual Other Fuel 1 Savings
(kBtu)],Table_ECM7[When will the measure installation be complete and operational?],Table_Perf6[[#This Row],[Year]],Table_ECM7[Would you like to Include this measure in the decarbonization pathway?],TRUE))))</f>
        <v>0</v>
      </c>
      <c r="J55" s="110" cm="1">
        <f t="array" ref="J55">MAX(0,IF(Table_Perf6[[#This Row],[Year]]=BaseYr,IFERROR(Table_UtilityInput9[Annual Other Fuel 2
(kBtu)],0),
(J54-SUMIFS(Table_ECM7[Annual Other Fuel 2 Savings
(kBtu)],Table_ECM7[When will the measure installation be complete and operational?],Table_Perf6[[#This Row],[Year]],Table_ECM7[Would you like to Include this measure in the decarbonization pathway?],TRUE))))</f>
        <v>0</v>
      </c>
      <c r="K55" s="101">
        <f>-SUMIFS(Table_ECM7[Cost to Install Measures ($)],Table_ECM7[When will the measure installation be complete and operational?],Table_Perf6[[#This Row],[Year]],Table_ECM7[Would you like to Include this measure in the decarbonization pathway?],TRUE)</f>
        <v>0</v>
      </c>
      <c r="L55" s="102" cm="1">
        <f t="array" ref="L55">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39280</v>
      </c>
      <c r="M55" s="103"/>
      <c r="N55" s="100" cm="1">
        <f t="array" ref="N55">Table_Perf6[[#This Row],[Electricity (kBtu)]]*INDEX(Table_UtilityDecarb[Carbon Intensity (tCO2e/kBtu)],MATCH(N$46&amp;Table_Perf6[[#This Row],[Year]],Table_UtilityDecarb[Fuel Type]&amp;Table_UtilityDecarb[Year],0))</f>
        <v>58.462260000000008</v>
      </c>
      <c r="O55" s="100">
        <f>Table_Perf6[[#This Row],[Natural Gas (kBtu)]]*INDEX(Table_UtilityDecarb[Carbon Intensity (tCO2e/kBtu)],MATCH(O$46,Table_UtilityDecarb[Fuel Type],0))</f>
        <v>181.986726</v>
      </c>
      <c r="P55" s="100">
        <f>Table_Perf6[[#This Row],[Fuel Oil'#2 (kBtu)]]*INDEX(Table_UtilityDecarb[Carbon Intensity (tCO2e/kBtu)],MATCH(P$46,Table_UtilityDecarb[Fuel Type],0))</f>
        <v>0</v>
      </c>
      <c r="Q55" s="100" cm="1">
        <f t="array" ref="Q55">Table_Perf6[[#This Row],[District Steam (kBtu)]]*INDEX(Table_UtilityDecarb[Carbon Intensity (tCO2e/kBtu)],MATCH(Q$46&amp;Table_Perf6[[#This Row],[Year]],Table_UtilityDecarb[Fuel Type]&amp;Table_UtilityDecarb[Year],0))</f>
        <v>0</v>
      </c>
      <c r="R55" s="100" cm="1">
        <f t="array" ref="R55">IF(OR(Table_UtilityInput9[Annual Other Fuel 1
(kBtu)]="",NOT(ISNUMBER(Table_UtilityInput9[Annual Other Fuel 1
(kBtu)]))),0,Table_Perf6[[#This Row],[Other Fuel 1 (kBtu)]]*INDEX(Table_UtilityDecarb[Carbon Intensity (tCO2e/kBtu)],MATCH(R$46,Table_UtilityDecarb[Fuel Type],0)))</f>
        <v>0</v>
      </c>
      <c r="S55" s="100" cm="1">
        <f t="array" ref="S55">IF(OR(Table_UtilityInput9[Annual Other Fuel 2
(kBtu)]="",NOT(ISNUMBER(Table_UtilityInput9[Annual Other Fuel 2
(kBtu)]))),0,Table_Perf6[[#This Row],[Other Fuel 2 (kBtu)]]*INDEX(Table_UtilityDecarb[Carbon Intensity (tCO2e/kBtu)],MATCH(S$46,Table_UtilityDecarb[Fuel Type],0)))</f>
        <v>0</v>
      </c>
      <c r="T55" s="100">
        <f>IF(Table_Perf6[[#This Row],[Year]]&gt;2050,NA(),_xlfn.AGGREGATE(9,6,Table_Perf6[[#This Row],[LL97 Electricity (tCO2e)]:[LL97 Other Fuel 2 (tCO2e)]]))</f>
        <v>240.44898600000002</v>
      </c>
      <c r="U55" s="100" t="e">
        <f>IF(Table_Perf6[[#This Row],[Year]]&lt;2035,NA(),INDEX(Table_LimitsCalc_Sample1[Total Limits (tCO2e)],MATCH(Table_Perf6[[#This Row],[Year]],Table_LimitsCalc_Sample1[Year],0)))</f>
        <v>#N/A</v>
      </c>
      <c r="V55" s="100" cm="1">
        <f t="array" ref="V55">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314.62086699999998</v>
      </c>
      <c r="W55" s="100" t="e">
        <f>IF(Table_Perf6[[#This Row],[LL97 Emissions Limit (tCO2e)]]="",0,MAX(0,Table_Perf6[[#This Row],[LL97 Business-As-Usual Emissions]]-Table_Perf6[[#This Row],[LL97 Emissions Limit (tCO2e)]]))</f>
        <v>#N/A</v>
      </c>
      <c r="X55" s="100" t="e">
        <f>IF(Table_Perf6[[#This Row],[LL97 Emissions Limit (tCO2e)]]="",0,MAX(0,Table_Perf6[[#This Row],[LL97 Emissions After Measures]]-Table_Perf6[[#This Row],[LL97 Emissions Limit (tCO2e)]]))</f>
        <v>#N/A</v>
      </c>
      <c r="Y55" s="100">
        <f>Table_Perf6[[#This Row],[LL97 Business-As-Usual Emissions]]-Table_Perf6[[#This Row],[LL97 Emissions After Measures]]</f>
        <v>74.171880999999956</v>
      </c>
      <c r="Z55" s="102" t="e">
        <f>IF(Table_Perf6[[#This Row],[Year]]&lt;2024,"Not in enforcement period",IF(Table_Perf6[[#This Row],[LL97 Excess Emissions After Measures]]=0,"Compliant","Not-Compliant"))</f>
        <v>#N/A</v>
      </c>
      <c r="AA55" s="104">
        <f>IFERROR(-268*Table_Perf6[[#This Row],[LL97 Excess Emissions After Measures]],0)</f>
        <v>0</v>
      </c>
      <c r="AB55" s="102">
        <f>IFERROR(268*MIN(Table_Perf6[[#This Row],[LL97 BAU Excess Emissions]],Table_Perf6[[#This Row],[LL97 Emissions Reduced by Measures]]),0)</f>
        <v>0</v>
      </c>
      <c r="AC55" s="105">
        <f>IF(OR(Table_Perf6[[#This Row],[Year]]&lt;2024,Table_Perf6[[#This Row],[Year]]&gt;2050,ISERROR(Table_Perf6[[#This Row],[LL97 Adjusted Penalty After Measures]])),"",Table_Perf6[[#This Row],[LL97 Adjusted Penalty After Measures]])</f>
        <v>0</v>
      </c>
      <c r="AD55" s="102">
        <f>IF(Table_Perf6[[#This Row],[Year]]&gt;2050,NA(),_xlfn.AGGREGATE(9,6,Table_Perf6[[#This Row],[Measure Cost ($)]],Table_Perf6[[#This Row],[Utility Savings ($)]],Table_Perf6[[#This Row],[LL97 Penalty Avoided by Measures ($)]]))</f>
        <v>39280</v>
      </c>
      <c r="AE55" s="102">
        <f>SUM($AD$48:AD55)</f>
        <v>-69400</v>
      </c>
      <c r="AF55" s="102">
        <f>IF(Table_Perf6[[#This Row],[Year]]&gt;2050,NA(),_xlfn.AGGREGATE(9,6,Table_Perf6[[#This Row],[Measure Cost ($)]],Table_Perf6[[#This Row],[LL97 Adjusted Penalty After Measures]]))</f>
        <v>0</v>
      </c>
      <c r="AG55" s="111">
        <f>Table_Perf6[[#This Row],[Year]]</f>
        <v>2031</v>
      </c>
      <c r="AH55" s="99">
        <f>COUNTIFS(Table_ECM7[When will the measure installation be complete and operational?],"&lt;="&amp;Table_Perf6[[#This Row],[Yr]],Table_ECM7[Would you like to Include this measure in the decarbonization pathway?],TRUE)</f>
        <v>9</v>
      </c>
      <c r="AI55" s="99" t="str">
        <f>IF(Table_Perf6[[#This Row],[Measure Qty]]=AH54,"",_xlfn.CONCAT(Table_Perf6[[#This Row],[Measure Qty]], " Measures Done"))</f>
        <v/>
      </c>
      <c r="AJ55" s="107" t="e">
        <f>IF(Table_Perf6[[#This Row],[Measure Label]]="",NA(),Table_Perf6[[#This Row],[LL97 Emissions After Measures]])</f>
        <v>#N/A</v>
      </c>
    </row>
    <row r="56" spans="3:36" hidden="1" outlineLevel="1">
      <c r="C56" s="98">
        <v>8</v>
      </c>
      <c r="D56" s="108">
        <f>IF(BaseYr+Table_Perf6[[#This Row],['#]]&gt;EndYr,NA(),BaseYr+Table_Perf6[[#This Row],['#]])</f>
        <v>2032</v>
      </c>
      <c r="E56" s="109" cm="1">
        <f t="array" ref="E56">MAX(0,IF(Table_Perf6[[#This Row],[Year]]=BaseYr,IFERROR(Table_UtilityInput9[Annual Electricity 
(kWh)]*3.412,0),
(E55-3.412*SUMIFS(Table_ECM7[Annual Electricity Savings
(kWh)],Table_ECM7[When will the measure installation be complete and operational?],Table_Perf6[[#This Row],[Year]],Table_ECM7[Would you like to Include this measure in the decarbonization pathway?],TRUE))))</f>
        <v>1375677.456</v>
      </c>
      <c r="F56" s="109" cm="1">
        <f t="array" ref="F56">MAX(0,IF(Table_Perf6[[#This Row],[Year]]=BaseYr,IFERROR(Table_UtilityInput9[Annual Natural Gas  
(therm)]*100,0),
(F55-100*SUMIFS(Table_ECM7[Annual Natural Gas Savings
(therm)],Table_ECM7[When will the measure installation be complete and operational?],Table_Perf6[[#This Row],[Year]],Table_ECM7[Would you like to Include this measure in the decarbonization pathway?],TRUE))))</f>
        <v>3426600</v>
      </c>
      <c r="G56" s="109" cm="1">
        <f t="array" ref="G56">MAX(0,IF(Table_Perf6[[#This Row],[Year]]=BaseYr,IFERROR(Table_UtilityInput9[Annual Fuel Oil'#2
(Gallon)]*138,0),
(G55-138*SUMIFS(Table_ECM7[Annual Fuel Oil'#2 Savings
(Gallon)],Table_ECM7[When will the measure installation be complete and operational?],Table_Perf6[[#This Row],[Year]],Table_ECM7[Would you like to Include this measure in the decarbonization pathway?],TRUE))))</f>
        <v>0</v>
      </c>
      <c r="H56" s="109" cm="1">
        <f t="array" ref="H56">MAX(0,IF(Table_Perf6[[#This Row],[Year]]=BaseYr,IFERROR(Table_UtilityInput9[Annual District Steam  
(Mlb for ConEd, kLb for others)]*1194,0),
(H55-1194*SUMIFS(Table_ECM7[Annual District Steam Savings
(Mlb for ConEd, klb for others)],Table_ECM7[When will the measure installation be complete and operational?],Table_Perf6[[#This Row],[Year]],Table_ECM7[Would you like to Include this measure in the decarbonization pathway?],TRUE))))</f>
        <v>0</v>
      </c>
      <c r="I56" s="109" cm="1">
        <f t="array" ref="I56">MAX(0,IF(Table_Perf6[[#This Row],[Year]]=BaseYr,IFERROR(Table_UtilityInput9[Annual Other Fuel 1
(kBtu)],0),
(I55-SUMIFS(Table_ECM7[Annual Other Fuel 1 Savings
(kBtu)],Table_ECM7[When will the measure installation be complete and operational?],Table_Perf6[[#This Row],[Year]],Table_ECM7[Would you like to Include this measure in the decarbonization pathway?],TRUE))))</f>
        <v>0</v>
      </c>
      <c r="J56" s="110" cm="1">
        <f t="array" ref="J56">MAX(0,IF(Table_Perf6[[#This Row],[Year]]=BaseYr,IFERROR(Table_UtilityInput9[Annual Other Fuel 2
(kBtu)],0),
(J55-SUMIFS(Table_ECM7[Annual Other Fuel 2 Savings
(kBtu)],Table_ECM7[When will the measure installation be complete and operational?],Table_Perf6[[#This Row],[Year]],Table_ECM7[Would you like to Include this measure in the decarbonization pathway?],TRUE))))</f>
        <v>0</v>
      </c>
      <c r="K56" s="101">
        <f>-SUMIFS(Table_ECM7[Cost to Install Measures ($)],Table_ECM7[When will the measure installation be complete and operational?],Table_Perf6[[#This Row],[Year]],Table_ECM7[Would you like to Include this measure in the decarbonization pathway?],TRUE)</f>
        <v>0</v>
      </c>
      <c r="L56" s="102" cm="1">
        <f t="array" ref="L56">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39280</v>
      </c>
      <c r="M56" s="103"/>
      <c r="N56" s="100" cm="1">
        <f t="array" ref="N56">Table_Perf6[[#This Row],[Electricity (kBtu)]]*INDEX(Table_UtilityDecarb[Carbon Intensity (tCO2e/kBtu)],MATCH(N$46&amp;Table_Perf6[[#This Row],[Year]],Table_UtilityDecarb[Fuel Type]&amp;Table_UtilityDecarb[Year],0))</f>
        <v>58.462260000000008</v>
      </c>
      <c r="O56" s="100">
        <f>Table_Perf6[[#This Row],[Natural Gas (kBtu)]]*INDEX(Table_UtilityDecarb[Carbon Intensity (tCO2e/kBtu)],MATCH(O$46,Table_UtilityDecarb[Fuel Type],0))</f>
        <v>181.986726</v>
      </c>
      <c r="P56" s="100">
        <f>Table_Perf6[[#This Row],[Fuel Oil'#2 (kBtu)]]*INDEX(Table_UtilityDecarb[Carbon Intensity (tCO2e/kBtu)],MATCH(P$46,Table_UtilityDecarb[Fuel Type],0))</f>
        <v>0</v>
      </c>
      <c r="Q56" s="100" cm="1">
        <f t="array" ref="Q56">Table_Perf6[[#This Row],[District Steam (kBtu)]]*INDEX(Table_UtilityDecarb[Carbon Intensity (tCO2e/kBtu)],MATCH(Q$46&amp;Table_Perf6[[#This Row],[Year]],Table_UtilityDecarb[Fuel Type]&amp;Table_UtilityDecarb[Year],0))</f>
        <v>0</v>
      </c>
      <c r="R56" s="100" cm="1">
        <f t="array" ref="R56">IF(OR(Table_UtilityInput9[Annual Other Fuel 1
(kBtu)]="",NOT(ISNUMBER(Table_UtilityInput9[Annual Other Fuel 1
(kBtu)]))),0,Table_Perf6[[#This Row],[Other Fuel 1 (kBtu)]]*INDEX(Table_UtilityDecarb[Carbon Intensity (tCO2e/kBtu)],MATCH(R$46,Table_UtilityDecarb[Fuel Type],0)))</f>
        <v>0</v>
      </c>
      <c r="S56" s="100" cm="1">
        <f t="array" ref="S56">IF(OR(Table_UtilityInput9[Annual Other Fuel 2
(kBtu)]="",NOT(ISNUMBER(Table_UtilityInput9[Annual Other Fuel 2
(kBtu)]))),0,Table_Perf6[[#This Row],[Other Fuel 2 (kBtu)]]*INDEX(Table_UtilityDecarb[Carbon Intensity (tCO2e/kBtu)],MATCH(S$46,Table_UtilityDecarb[Fuel Type],0)))</f>
        <v>0</v>
      </c>
      <c r="T56" s="100">
        <f>IF(Table_Perf6[[#This Row],[Year]]&gt;2050,NA(),_xlfn.AGGREGATE(9,6,Table_Perf6[[#This Row],[LL97 Electricity (tCO2e)]:[LL97 Other Fuel 2 (tCO2e)]]))</f>
        <v>240.44898600000002</v>
      </c>
      <c r="U56" s="100" t="e">
        <f>IF(Table_Perf6[[#This Row],[Year]]&lt;2035,NA(),INDEX(Table_LimitsCalc_Sample1[Total Limits (tCO2e)],MATCH(Table_Perf6[[#This Row],[Year]],Table_LimitsCalc_Sample1[Year],0)))</f>
        <v>#N/A</v>
      </c>
      <c r="V56" s="100" cm="1">
        <f t="array" ref="V56">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314.62086699999998</v>
      </c>
      <c r="W56" s="100" t="e">
        <f>IF(Table_Perf6[[#This Row],[LL97 Emissions Limit (tCO2e)]]="",0,MAX(0,Table_Perf6[[#This Row],[LL97 Business-As-Usual Emissions]]-Table_Perf6[[#This Row],[LL97 Emissions Limit (tCO2e)]]))</f>
        <v>#N/A</v>
      </c>
      <c r="X56" s="100" t="e">
        <f>IF(Table_Perf6[[#This Row],[LL97 Emissions Limit (tCO2e)]]="",0,MAX(0,Table_Perf6[[#This Row],[LL97 Emissions After Measures]]-Table_Perf6[[#This Row],[LL97 Emissions Limit (tCO2e)]]))</f>
        <v>#N/A</v>
      </c>
      <c r="Y56" s="100">
        <f>Table_Perf6[[#This Row],[LL97 Business-As-Usual Emissions]]-Table_Perf6[[#This Row],[LL97 Emissions After Measures]]</f>
        <v>74.171880999999956</v>
      </c>
      <c r="Z56" s="102" t="e">
        <f>IF(Table_Perf6[[#This Row],[Year]]&lt;2024,"Not in enforcement period",IF(Table_Perf6[[#This Row],[LL97 Excess Emissions After Measures]]=0,"Compliant","Not-Compliant"))</f>
        <v>#N/A</v>
      </c>
      <c r="AA56" s="104">
        <f>IFERROR(-268*Table_Perf6[[#This Row],[LL97 Excess Emissions After Measures]],0)</f>
        <v>0</v>
      </c>
      <c r="AB56" s="102">
        <f>IFERROR(268*MIN(Table_Perf6[[#This Row],[LL97 BAU Excess Emissions]],Table_Perf6[[#This Row],[LL97 Emissions Reduced by Measures]]),0)</f>
        <v>0</v>
      </c>
      <c r="AC56" s="105">
        <f>IF(OR(Table_Perf6[[#This Row],[Year]]&lt;2024,Table_Perf6[[#This Row],[Year]]&gt;2050,ISERROR(Table_Perf6[[#This Row],[LL97 Adjusted Penalty After Measures]])),"",Table_Perf6[[#This Row],[LL97 Adjusted Penalty After Measures]])</f>
        <v>0</v>
      </c>
      <c r="AD56" s="102">
        <f>IF(Table_Perf6[[#This Row],[Year]]&gt;2050,NA(),_xlfn.AGGREGATE(9,6,Table_Perf6[[#This Row],[Measure Cost ($)]],Table_Perf6[[#This Row],[Utility Savings ($)]],Table_Perf6[[#This Row],[LL97 Penalty Avoided by Measures ($)]]))</f>
        <v>39280</v>
      </c>
      <c r="AE56" s="102">
        <f>SUM($AD$48:AD56)</f>
        <v>-30120</v>
      </c>
      <c r="AF56" s="102">
        <f>IF(Table_Perf6[[#This Row],[Year]]&gt;2050,NA(),_xlfn.AGGREGATE(9,6,Table_Perf6[[#This Row],[Measure Cost ($)]],Table_Perf6[[#This Row],[LL97 Adjusted Penalty After Measures]]))</f>
        <v>0</v>
      </c>
      <c r="AG56" s="106">
        <f>Table_Perf6[[#This Row],[Year]]</f>
        <v>2032</v>
      </c>
      <c r="AH56" s="99">
        <f>COUNTIFS(Table_ECM7[When will the measure installation be complete and operational?],"&lt;="&amp;Table_Perf6[[#This Row],[Yr]],Table_ECM7[Would you like to Include this measure in the decarbonization pathway?],TRUE)</f>
        <v>9</v>
      </c>
      <c r="AI56" s="99" t="str">
        <f>IF(Table_Perf6[[#This Row],[Measure Qty]]=AH55,"",_xlfn.CONCAT(Table_Perf6[[#This Row],[Measure Qty]], " Measures Done"))</f>
        <v/>
      </c>
      <c r="AJ56" s="107" t="e">
        <f>IF(Table_Perf6[[#This Row],[Measure Label]]="",NA(),Table_Perf6[[#This Row],[LL97 Emissions After Measures]])</f>
        <v>#N/A</v>
      </c>
    </row>
    <row r="57" spans="3:36" hidden="1" outlineLevel="1">
      <c r="C57" s="98">
        <v>9</v>
      </c>
      <c r="D57" s="108">
        <f>IF(BaseYr+Table_Perf6[[#This Row],['#]]&gt;EndYr,NA(),BaseYr+Table_Perf6[[#This Row],['#]])</f>
        <v>2033</v>
      </c>
      <c r="E57" s="109" cm="1">
        <f t="array" ref="E57">MAX(0,IF(Table_Perf6[[#This Row],[Year]]=BaseYr,IFERROR(Table_UtilityInput9[Annual Electricity 
(kWh)]*3.412,0),
(E56-3.412*SUMIFS(Table_ECM7[Annual Electricity Savings
(kWh)],Table_ECM7[When will the measure installation be complete and operational?],Table_Perf6[[#This Row],[Year]],Table_ECM7[Would you like to Include this measure in the decarbonization pathway?],TRUE))))</f>
        <v>1375677.456</v>
      </c>
      <c r="F57" s="109" cm="1">
        <f t="array" ref="F57">MAX(0,IF(Table_Perf6[[#This Row],[Year]]=BaseYr,IFERROR(Table_UtilityInput9[Annual Natural Gas  
(therm)]*100,0),
(F56-100*SUMIFS(Table_ECM7[Annual Natural Gas Savings
(therm)],Table_ECM7[When will the measure installation be complete and operational?],Table_Perf6[[#This Row],[Year]],Table_ECM7[Would you like to Include this measure in the decarbonization pathway?],TRUE))))</f>
        <v>3426600</v>
      </c>
      <c r="G57" s="109" cm="1">
        <f t="array" ref="G57">MAX(0,IF(Table_Perf6[[#This Row],[Year]]=BaseYr,IFERROR(Table_UtilityInput9[Annual Fuel Oil'#2
(Gallon)]*138,0),
(G56-138*SUMIFS(Table_ECM7[Annual Fuel Oil'#2 Savings
(Gallon)],Table_ECM7[When will the measure installation be complete and operational?],Table_Perf6[[#This Row],[Year]],Table_ECM7[Would you like to Include this measure in the decarbonization pathway?],TRUE))))</f>
        <v>0</v>
      </c>
      <c r="H57" s="109" cm="1">
        <f t="array" ref="H57">MAX(0,IF(Table_Perf6[[#This Row],[Year]]=BaseYr,IFERROR(Table_UtilityInput9[Annual District Steam  
(Mlb for ConEd, kLb for others)]*1194,0),
(H56-1194*SUMIFS(Table_ECM7[Annual District Steam Savings
(Mlb for ConEd, klb for others)],Table_ECM7[When will the measure installation be complete and operational?],Table_Perf6[[#This Row],[Year]],Table_ECM7[Would you like to Include this measure in the decarbonization pathway?],TRUE))))</f>
        <v>0</v>
      </c>
      <c r="I57" s="109" cm="1">
        <f t="array" ref="I57">MAX(0,IF(Table_Perf6[[#This Row],[Year]]=BaseYr,IFERROR(Table_UtilityInput9[Annual Other Fuel 1
(kBtu)],0),
(I56-SUMIFS(Table_ECM7[Annual Other Fuel 1 Savings
(kBtu)],Table_ECM7[When will the measure installation be complete and operational?],Table_Perf6[[#This Row],[Year]],Table_ECM7[Would you like to Include this measure in the decarbonization pathway?],TRUE))))</f>
        <v>0</v>
      </c>
      <c r="J57" s="110" cm="1">
        <f t="array" ref="J57">MAX(0,IF(Table_Perf6[[#This Row],[Year]]=BaseYr,IFERROR(Table_UtilityInput9[Annual Other Fuel 2
(kBtu)],0),
(J56-SUMIFS(Table_ECM7[Annual Other Fuel 2 Savings
(kBtu)],Table_ECM7[When will the measure installation be complete and operational?],Table_Perf6[[#This Row],[Year]],Table_ECM7[Would you like to Include this measure in the decarbonization pathway?],TRUE))))</f>
        <v>0</v>
      </c>
      <c r="K57" s="101">
        <f>-SUMIFS(Table_ECM7[Cost to Install Measures ($)],Table_ECM7[When will the measure installation be complete and operational?],Table_Perf6[[#This Row],[Year]],Table_ECM7[Would you like to Include this measure in the decarbonization pathway?],TRUE)</f>
        <v>0</v>
      </c>
      <c r="L57" s="102" cm="1">
        <f t="array" ref="L57">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39280</v>
      </c>
      <c r="M57" s="103"/>
      <c r="N57" s="100" cm="1">
        <f t="array" ref="N57">Table_Perf6[[#This Row],[Electricity (kBtu)]]*INDEX(Table_UtilityDecarb[Carbon Intensity (tCO2e/kBtu)],MATCH(N$46&amp;Table_Perf6[[#This Row],[Year]],Table_UtilityDecarb[Fuel Type]&amp;Table_UtilityDecarb[Year],0))</f>
        <v>58.462260000000008</v>
      </c>
      <c r="O57" s="100">
        <f>Table_Perf6[[#This Row],[Natural Gas (kBtu)]]*INDEX(Table_UtilityDecarb[Carbon Intensity (tCO2e/kBtu)],MATCH(O$46,Table_UtilityDecarb[Fuel Type],0))</f>
        <v>181.986726</v>
      </c>
      <c r="P57" s="100">
        <f>Table_Perf6[[#This Row],[Fuel Oil'#2 (kBtu)]]*INDEX(Table_UtilityDecarb[Carbon Intensity (tCO2e/kBtu)],MATCH(P$46,Table_UtilityDecarb[Fuel Type],0))</f>
        <v>0</v>
      </c>
      <c r="Q57" s="100" cm="1">
        <f t="array" ref="Q57">Table_Perf6[[#This Row],[District Steam (kBtu)]]*INDEX(Table_UtilityDecarb[Carbon Intensity (tCO2e/kBtu)],MATCH(Q$46&amp;Table_Perf6[[#This Row],[Year]],Table_UtilityDecarb[Fuel Type]&amp;Table_UtilityDecarb[Year],0))</f>
        <v>0</v>
      </c>
      <c r="R57" s="100" cm="1">
        <f t="array" ref="R57">IF(OR(Table_UtilityInput9[Annual Other Fuel 1
(kBtu)]="",NOT(ISNUMBER(Table_UtilityInput9[Annual Other Fuel 1
(kBtu)]))),0,Table_Perf6[[#This Row],[Other Fuel 1 (kBtu)]]*INDEX(Table_UtilityDecarb[Carbon Intensity (tCO2e/kBtu)],MATCH(R$46,Table_UtilityDecarb[Fuel Type],0)))</f>
        <v>0</v>
      </c>
      <c r="S57" s="100" cm="1">
        <f t="array" ref="S57">IF(OR(Table_UtilityInput9[Annual Other Fuel 2
(kBtu)]="",NOT(ISNUMBER(Table_UtilityInput9[Annual Other Fuel 2
(kBtu)]))),0,Table_Perf6[[#This Row],[Other Fuel 2 (kBtu)]]*INDEX(Table_UtilityDecarb[Carbon Intensity (tCO2e/kBtu)],MATCH(S$46,Table_UtilityDecarb[Fuel Type],0)))</f>
        <v>0</v>
      </c>
      <c r="T57" s="100">
        <f>IF(Table_Perf6[[#This Row],[Year]]&gt;2050,NA(),_xlfn.AGGREGATE(9,6,Table_Perf6[[#This Row],[LL97 Electricity (tCO2e)]:[LL97 Other Fuel 2 (tCO2e)]]))</f>
        <v>240.44898600000002</v>
      </c>
      <c r="U57" s="100" t="e">
        <f>IF(Table_Perf6[[#This Row],[Year]]&lt;2035,NA(),INDEX(Table_LimitsCalc_Sample1[Total Limits (tCO2e)],MATCH(Table_Perf6[[#This Row],[Year]],Table_LimitsCalc_Sample1[Year],0)))</f>
        <v>#N/A</v>
      </c>
      <c r="V57" s="100" cm="1">
        <f t="array" ref="V57">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314.62086699999998</v>
      </c>
      <c r="W57" s="100" t="e">
        <f>IF(Table_Perf6[[#This Row],[LL97 Emissions Limit (tCO2e)]]="",0,MAX(0,Table_Perf6[[#This Row],[LL97 Business-As-Usual Emissions]]-Table_Perf6[[#This Row],[LL97 Emissions Limit (tCO2e)]]))</f>
        <v>#N/A</v>
      </c>
      <c r="X57" s="100" t="e">
        <f>IF(Table_Perf6[[#This Row],[LL97 Emissions Limit (tCO2e)]]="",0,MAX(0,Table_Perf6[[#This Row],[LL97 Emissions After Measures]]-Table_Perf6[[#This Row],[LL97 Emissions Limit (tCO2e)]]))</f>
        <v>#N/A</v>
      </c>
      <c r="Y57" s="100">
        <f>Table_Perf6[[#This Row],[LL97 Business-As-Usual Emissions]]-Table_Perf6[[#This Row],[LL97 Emissions After Measures]]</f>
        <v>74.171880999999956</v>
      </c>
      <c r="Z57" s="102" t="e">
        <f>IF(Table_Perf6[[#This Row],[Year]]&lt;2024,"Not in enforcement period",IF(Table_Perf6[[#This Row],[LL97 Excess Emissions After Measures]]=0,"Compliant","Not-Compliant"))</f>
        <v>#N/A</v>
      </c>
      <c r="AA57" s="104">
        <f>IFERROR(-268*Table_Perf6[[#This Row],[LL97 Excess Emissions After Measures]],0)</f>
        <v>0</v>
      </c>
      <c r="AB57" s="102">
        <f>IFERROR(268*MIN(Table_Perf6[[#This Row],[LL97 BAU Excess Emissions]],Table_Perf6[[#This Row],[LL97 Emissions Reduced by Measures]]),0)</f>
        <v>0</v>
      </c>
      <c r="AC57" s="105">
        <f>IF(OR(Table_Perf6[[#This Row],[Year]]&lt;2024,Table_Perf6[[#This Row],[Year]]&gt;2050,ISERROR(Table_Perf6[[#This Row],[LL97 Adjusted Penalty After Measures]])),"",Table_Perf6[[#This Row],[LL97 Adjusted Penalty After Measures]])</f>
        <v>0</v>
      </c>
      <c r="AD57" s="102">
        <f>IF(Table_Perf6[[#This Row],[Year]]&gt;2050,NA(),_xlfn.AGGREGATE(9,6,Table_Perf6[[#This Row],[Measure Cost ($)]],Table_Perf6[[#This Row],[Utility Savings ($)]],Table_Perf6[[#This Row],[LL97 Penalty Avoided by Measures ($)]]))</f>
        <v>39280</v>
      </c>
      <c r="AE57" s="102">
        <f>SUM($AD$48:AD57)</f>
        <v>9160</v>
      </c>
      <c r="AF57" s="102">
        <f>IF(Table_Perf6[[#This Row],[Year]]&gt;2050,NA(),_xlfn.AGGREGATE(9,6,Table_Perf6[[#This Row],[Measure Cost ($)]],Table_Perf6[[#This Row],[LL97 Adjusted Penalty After Measures]]))</f>
        <v>0</v>
      </c>
      <c r="AG57" s="106">
        <f>Table_Perf6[[#This Row],[Year]]</f>
        <v>2033</v>
      </c>
      <c r="AH57" s="99">
        <f>COUNTIFS(Table_ECM7[When will the measure installation be complete and operational?],"&lt;="&amp;Table_Perf6[[#This Row],[Yr]],Table_ECM7[Would you like to Include this measure in the decarbonization pathway?],TRUE)</f>
        <v>9</v>
      </c>
      <c r="AI57" s="99" t="str">
        <f>IF(Table_Perf6[[#This Row],[Measure Qty]]=AH56,"",_xlfn.CONCAT(Table_Perf6[[#This Row],[Measure Qty]], " Measures Done"))</f>
        <v/>
      </c>
      <c r="AJ57" s="107" t="e">
        <f>IF(Table_Perf6[[#This Row],[Measure Label]]="",NA(),Table_Perf6[[#This Row],[LL97 Emissions After Measures]])</f>
        <v>#N/A</v>
      </c>
    </row>
    <row r="58" spans="3:36" hidden="1" outlineLevel="1">
      <c r="C58" s="98">
        <v>10</v>
      </c>
      <c r="D58" s="108">
        <f>IF(BaseYr+Table_Perf6[[#This Row],['#]]&gt;EndYr,NA(),BaseYr+Table_Perf6[[#This Row],['#]])</f>
        <v>2034</v>
      </c>
      <c r="E58" s="109" cm="1">
        <f t="array" ref="E58">MAX(0,IF(Table_Perf6[[#This Row],[Year]]=BaseYr,IFERROR(Table_UtilityInput9[Annual Electricity 
(kWh)]*3.412,0),
(E57-3.412*SUMIFS(Table_ECM7[Annual Electricity Savings
(kWh)],Table_ECM7[When will the measure installation be complete and operational?],Table_Perf6[[#This Row],[Year]],Table_ECM7[Would you like to Include this measure in the decarbonization pathway?],TRUE))))</f>
        <v>1375677.456</v>
      </c>
      <c r="F58" s="109" cm="1">
        <f t="array" ref="F58">MAX(0,IF(Table_Perf6[[#This Row],[Year]]=BaseYr,IFERROR(Table_UtilityInput9[Annual Natural Gas  
(therm)]*100,0),
(F57-100*SUMIFS(Table_ECM7[Annual Natural Gas Savings
(therm)],Table_ECM7[When will the measure installation be complete and operational?],Table_Perf6[[#This Row],[Year]],Table_ECM7[Would you like to Include this measure in the decarbonization pathway?],TRUE))))</f>
        <v>3426600</v>
      </c>
      <c r="G58" s="109" cm="1">
        <f t="array" ref="G58">MAX(0,IF(Table_Perf6[[#This Row],[Year]]=BaseYr,IFERROR(Table_UtilityInput9[Annual Fuel Oil'#2
(Gallon)]*138,0),
(G57-138*SUMIFS(Table_ECM7[Annual Fuel Oil'#2 Savings
(Gallon)],Table_ECM7[When will the measure installation be complete and operational?],Table_Perf6[[#This Row],[Year]],Table_ECM7[Would you like to Include this measure in the decarbonization pathway?],TRUE))))</f>
        <v>0</v>
      </c>
      <c r="H58" s="109" cm="1">
        <f t="array" ref="H58">MAX(0,IF(Table_Perf6[[#This Row],[Year]]=BaseYr,IFERROR(Table_UtilityInput9[Annual District Steam  
(Mlb for ConEd, kLb for others)]*1194,0),
(H57-1194*SUMIFS(Table_ECM7[Annual District Steam Savings
(Mlb for ConEd, klb for others)],Table_ECM7[When will the measure installation be complete and operational?],Table_Perf6[[#This Row],[Year]],Table_ECM7[Would you like to Include this measure in the decarbonization pathway?],TRUE))))</f>
        <v>0</v>
      </c>
      <c r="I58" s="109" cm="1">
        <f t="array" ref="I58">MAX(0,IF(Table_Perf6[[#This Row],[Year]]=BaseYr,IFERROR(Table_UtilityInput9[Annual Other Fuel 1
(kBtu)],0),
(I57-SUMIFS(Table_ECM7[Annual Other Fuel 1 Savings
(kBtu)],Table_ECM7[When will the measure installation be complete and operational?],Table_Perf6[[#This Row],[Year]],Table_ECM7[Would you like to Include this measure in the decarbonization pathway?],TRUE))))</f>
        <v>0</v>
      </c>
      <c r="J58" s="110" cm="1">
        <f t="array" ref="J58">MAX(0,IF(Table_Perf6[[#This Row],[Year]]=BaseYr,IFERROR(Table_UtilityInput9[Annual Other Fuel 2
(kBtu)],0),
(J57-SUMIFS(Table_ECM7[Annual Other Fuel 2 Savings
(kBtu)],Table_ECM7[When will the measure installation be complete and operational?],Table_Perf6[[#This Row],[Year]],Table_ECM7[Would you like to Include this measure in the decarbonization pathway?],TRUE))))</f>
        <v>0</v>
      </c>
      <c r="K58" s="101">
        <f>-SUMIFS(Table_ECM7[Cost to Install Measures ($)],Table_ECM7[When will the measure installation be complete and operational?],Table_Perf6[[#This Row],[Year]],Table_ECM7[Would you like to Include this measure in the decarbonization pathway?],TRUE)</f>
        <v>0</v>
      </c>
      <c r="L58" s="102" cm="1">
        <f t="array" ref="L58">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39280</v>
      </c>
      <c r="M58" s="103"/>
      <c r="N58" s="100" cm="1">
        <f t="array" ref="N58">Table_Perf6[[#This Row],[Electricity (kBtu)]]*INDEX(Table_UtilityDecarb[Carbon Intensity (tCO2e/kBtu)],MATCH(N$46&amp;Table_Perf6[[#This Row],[Year]],Table_UtilityDecarb[Fuel Type]&amp;Table_UtilityDecarb[Year],0))</f>
        <v>58.462260000000008</v>
      </c>
      <c r="O58" s="100">
        <f>Table_Perf6[[#This Row],[Natural Gas (kBtu)]]*INDEX(Table_UtilityDecarb[Carbon Intensity (tCO2e/kBtu)],MATCH(O$46,Table_UtilityDecarb[Fuel Type],0))</f>
        <v>181.986726</v>
      </c>
      <c r="P58" s="100">
        <f>Table_Perf6[[#This Row],[Fuel Oil'#2 (kBtu)]]*INDEX(Table_UtilityDecarb[Carbon Intensity (tCO2e/kBtu)],MATCH(P$46,Table_UtilityDecarb[Fuel Type],0))</f>
        <v>0</v>
      </c>
      <c r="Q58" s="100" cm="1">
        <f t="array" ref="Q58">Table_Perf6[[#This Row],[District Steam (kBtu)]]*INDEX(Table_UtilityDecarb[Carbon Intensity (tCO2e/kBtu)],MATCH(Q$46&amp;Table_Perf6[[#This Row],[Year]],Table_UtilityDecarb[Fuel Type]&amp;Table_UtilityDecarb[Year],0))</f>
        <v>0</v>
      </c>
      <c r="R58" s="100" cm="1">
        <f t="array" ref="R58">IF(OR(Table_UtilityInput9[Annual Other Fuel 1
(kBtu)]="",NOT(ISNUMBER(Table_UtilityInput9[Annual Other Fuel 1
(kBtu)]))),0,Table_Perf6[[#This Row],[Other Fuel 1 (kBtu)]]*INDEX(Table_UtilityDecarb[Carbon Intensity (tCO2e/kBtu)],MATCH(R$46,Table_UtilityDecarb[Fuel Type],0)))</f>
        <v>0</v>
      </c>
      <c r="S58" s="100" cm="1">
        <f t="array" ref="S58">IF(OR(Table_UtilityInput9[Annual Other Fuel 2
(kBtu)]="",NOT(ISNUMBER(Table_UtilityInput9[Annual Other Fuel 2
(kBtu)]))),0,Table_Perf6[[#This Row],[Other Fuel 2 (kBtu)]]*INDEX(Table_UtilityDecarb[Carbon Intensity (tCO2e/kBtu)],MATCH(S$46,Table_UtilityDecarb[Fuel Type],0)))</f>
        <v>0</v>
      </c>
      <c r="T58" s="100">
        <f>IF(Table_Perf6[[#This Row],[Year]]&gt;2050,NA(),_xlfn.AGGREGATE(9,6,Table_Perf6[[#This Row],[LL97 Electricity (tCO2e)]:[LL97 Other Fuel 2 (tCO2e)]]))</f>
        <v>240.44898600000002</v>
      </c>
      <c r="U58" s="100" t="e">
        <f>IF(Table_Perf6[[#This Row],[Year]]&lt;2035,NA(),INDEX(Table_LimitsCalc_Sample1[Total Limits (tCO2e)],MATCH(Table_Perf6[[#This Row],[Year]],Table_LimitsCalc_Sample1[Year],0)))</f>
        <v>#N/A</v>
      </c>
      <c r="V58" s="100" cm="1">
        <f t="array" ref="V58">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314.62086699999998</v>
      </c>
      <c r="W58" s="100" t="e">
        <f>IF(Table_Perf6[[#This Row],[LL97 Emissions Limit (tCO2e)]]="",0,MAX(0,Table_Perf6[[#This Row],[LL97 Business-As-Usual Emissions]]-Table_Perf6[[#This Row],[LL97 Emissions Limit (tCO2e)]]))</f>
        <v>#N/A</v>
      </c>
      <c r="X58" s="100" t="e">
        <f>IF(Table_Perf6[[#This Row],[LL97 Emissions Limit (tCO2e)]]="",0,MAX(0,Table_Perf6[[#This Row],[LL97 Emissions After Measures]]-Table_Perf6[[#This Row],[LL97 Emissions Limit (tCO2e)]]))</f>
        <v>#N/A</v>
      </c>
      <c r="Y58" s="100">
        <f>Table_Perf6[[#This Row],[LL97 Business-As-Usual Emissions]]-Table_Perf6[[#This Row],[LL97 Emissions After Measures]]</f>
        <v>74.171880999999956</v>
      </c>
      <c r="Z58" s="102" t="e">
        <f>IF(Table_Perf6[[#This Row],[Year]]&lt;2024,"Not in enforcement period",IF(Table_Perf6[[#This Row],[LL97 Excess Emissions After Measures]]=0,"Compliant","Not-Compliant"))</f>
        <v>#N/A</v>
      </c>
      <c r="AA58" s="104">
        <f>IFERROR(-268*Table_Perf6[[#This Row],[LL97 Excess Emissions After Measures]],0)</f>
        <v>0</v>
      </c>
      <c r="AB58" s="102">
        <f>IFERROR(268*MIN(Table_Perf6[[#This Row],[LL97 BAU Excess Emissions]],Table_Perf6[[#This Row],[LL97 Emissions Reduced by Measures]]),0)</f>
        <v>0</v>
      </c>
      <c r="AC58" s="105">
        <f>IF(OR(Table_Perf6[[#This Row],[Year]]&lt;2024,Table_Perf6[[#This Row],[Year]]&gt;2050,ISERROR(Table_Perf6[[#This Row],[LL97 Adjusted Penalty After Measures]])),"",Table_Perf6[[#This Row],[LL97 Adjusted Penalty After Measures]])</f>
        <v>0</v>
      </c>
      <c r="AD58" s="102">
        <f>IF(Table_Perf6[[#This Row],[Year]]&gt;2050,NA(),_xlfn.AGGREGATE(9,6,Table_Perf6[[#This Row],[Measure Cost ($)]],Table_Perf6[[#This Row],[Utility Savings ($)]],Table_Perf6[[#This Row],[LL97 Penalty Avoided by Measures ($)]]))</f>
        <v>39280</v>
      </c>
      <c r="AE58" s="102">
        <f>SUM($AD$48:AD58)</f>
        <v>48440</v>
      </c>
      <c r="AF58" s="102">
        <f>IF(Table_Perf6[[#This Row],[Year]]&gt;2050,NA(),_xlfn.AGGREGATE(9,6,Table_Perf6[[#This Row],[Measure Cost ($)]],Table_Perf6[[#This Row],[LL97 Adjusted Penalty After Measures]]))</f>
        <v>0</v>
      </c>
      <c r="AG58" s="106">
        <f>Table_Perf6[[#This Row],[Year]]</f>
        <v>2034</v>
      </c>
      <c r="AH58" s="99">
        <f>COUNTIFS(Table_ECM7[When will the measure installation be complete and operational?],"&lt;="&amp;Table_Perf6[[#This Row],[Yr]],Table_ECM7[Would you like to Include this measure in the decarbonization pathway?],TRUE)</f>
        <v>9</v>
      </c>
      <c r="AI58" s="99" t="str">
        <f>IF(Table_Perf6[[#This Row],[Measure Qty]]=AH57,"",_xlfn.CONCAT(Table_Perf6[[#This Row],[Measure Qty]], " Measures Done"))</f>
        <v/>
      </c>
      <c r="AJ58" s="107" t="e">
        <f>IF(Table_Perf6[[#This Row],[Measure Label]]="",NA(),Table_Perf6[[#This Row],[LL97 Emissions After Measures]])</f>
        <v>#N/A</v>
      </c>
    </row>
    <row r="59" spans="3:36" hidden="1" outlineLevel="1">
      <c r="C59" s="98">
        <v>11</v>
      </c>
      <c r="D59" s="108">
        <f>IF(BaseYr+Table_Perf6[[#This Row],['#]]&gt;EndYr,NA(),BaseYr+Table_Perf6[[#This Row],['#]])</f>
        <v>2035</v>
      </c>
      <c r="E59" s="109" cm="1">
        <f t="array" ref="E59">MAX(0,IF(Table_Perf6[[#This Row],[Year]]=BaseYr,IFERROR(Table_UtilityInput9[Annual Electricity 
(kWh)]*3.412,0),
(E58-3.412*SUMIFS(Table_ECM7[Annual Electricity Savings
(kWh)],Table_ECM7[When will the measure installation be complete and operational?],Table_Perf6[[#This Row],[Year]],Table_ECM7[Would you like to Include this measure in the decarbonization pathway?],TRUE))))</f>
        <v>1354615.18</v>
      </c>
      <c r="F59" s="109" cm="1">
        <f t="array" ref="F59">MAX(0,IF(Table_Perf6[[#This Row],[Year]]=BaseYr,IFERROR(Table_UtilityInput9[Annual Natural Gas  
(therm)]*100,0),
(F58-100*SUMIFS(Table_ECM7[Annual Natural Gas Savings
(therm)],Table_ECM7[When will the measure installation be complete and operational?],Table_Perf6[[#This Row],[Year]],Table_ECM7[Would you like to Include this measure in the decarbonization pathway?],TRUE))))</f>
        <v>3141900</v>
      </c>
      <c r="G59" s="109" cm="1">
        <f t="array" ref="G59">MAX(0,IF(Table_Perf6[[#This Row],[Year]]=BaseYr,IFERROR(Table_UtilityInput9[Annual Fuel Oil'#2
(Gallon)]*138,0),
(G58-138*SUMIFS(Table_ECM7[Annual Fuel Oil'#2 Savings
(Gallon)],Table_ECM7[When will the measure installation be complete and operational?],Table_Perf6[[#This Row],[Year]],Table_ECM7[Would you like to Include this measure in the decarbonization pathway?],TRUE))))</f>
        <v>0</v>
      </c>
      <c r="H59" s="109" cm="1">
        <f t="array" ref="H59">MAX(0,IF(Table_Perf6[[#This Row],[Year]]=BaseYr,IFERROR(Table_UtilityInput9[Annual District Steam  
(Mlb for ConEd, kLb for others)]*1194,0),
(H58-1194*SUMIFS(Table_ECM7[Annual District Steam Savings
(Mlb for ConEd, klb for others)],Table_ECM7[When will the measure installation be complete and operational?],Table_Perf6[[#This Row],[Year]],Table_ECM7[Would you like to Include this measure in the decarbonization pathway?],TRUE))))</f>
        <v>0</v>
      </c>
      <c r="I59" s="109" cm="1">
        <f t="array" ref="I59">MAX(0,IF(Table_Perf6[[#This Row],[Year]]=BaseYr,IFERROR(Table_UtilityInput9[Annual Other Fuel 1
(kBtu)],0),
(I58-SUMIFS(Table_ECM7[Annual Other Fuel 1 Savings
(kBtu)],Table_ECM7[When will the measure installation be complete and operational?],Table_Perf6[[#This Row],[Year]],Table_ECM7[Would you like to Include this measure in the decarbonization pathway?],TRUE))))</f>
        <v>0</v>
      </c>
      <c r="J59" s="110" cm="1">
        <f t="array" ref="J59">MAX(0,IF(Table_Perf6[[#This Row],[Year]]=BaseYr,IFERROR(Table_UtilityInput9[Annual Other Fuel 2
(kBtu)],0),
(J58-SUMIFS(Table_ECM7[Annual Other Fuel 2 Savings
(kBtu)],Table_ECM7[When will the measure installation be complete and operational?],Table_Perf6[[#This Row],[Year]],Table_ECM7[Would you like to Include this measure in the decarbonization pathway?],TRUE))))</f>
        <v>0</v>
      </c>
      <c r="K59" s="101">
        <f>-SUMIFS(Table_ECM7[Cost to Install Measures ($)],Table_ECM7[When will the measure installation be complete and operational?],Table_Perf6[[#This Row],[Year]],Table_ECM7[Would you like to Include this measure in the decarbonization pathway?],TRUE)</f>
        <v>-178866</v>
      </c>
      <c r="L59" s="102" cm="1">
        <f t="array" ref="L59">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43594</v>
      </c>
      <c r="M59" s="103"/>
      <c r="N59" s="100" cm="1">
        <f t="array" ref="N59">Table_Perf6[[#This Row],[Electricity (kBtu)]]*INDEX(Table_UtilityDecarb[Carbon Intensity (tCO2e/kBtu)],MATCH(N$46&amp;Table_Perf6[[#This Row],[Year]],Table_UtilityDecarb[Fuel Type]&amp;Table_UtilityDecarb[Year],0))</f>
        <v>43.175381249999994</v>
      </c>
      <c r="O59" s="100">
        <f>Table_Perf6[[#This Row],[Natural Gas (kBtu)]]*INDEX(Table_UtilityDecarb[Carbon Intensity (tCO2e/kBtu)],MATCH(O$46,Table_UtilityDecarb[Fuel Type],0))</f>
        <v>166.866309</v>
      </c>
      <c r="P59" s="100">
        <f>Table_Perf6[[#This Row],[Fuel Oil'#2 (kBtu)]]*INDEX(Table_UtilityDecarb[Carbon Intensity (tCO2e/kBtu)],MATCH(P$46,Table_UtilityDecarb[Fuel Type],0))</f>
        <v>0</v>
      </c>
      <c r="Q59" s="100" cm="1">
        <f t="array" ref="Q59">Table_Perf6[[#This Row],[District Steam (kBtu)]]*INDEX(Table_UtilityDecarb[Carbon Intensity (tCO2e/kBtu)],MATCH(Q$46&amp;Table_Perf6[[#This Row],[Year]],Table_UtilityDecarb[Fuel Type]&amp;Table_UtilityDecarb[Year],0))</f>
        <v>0</v>
      </c>
      <c r="R59" s="100" cm="1">
        <f t="array" ref="R59">IF(OR(Table_UtilityInput9[Annual Other Fuel 1
(kBtu)]="",NOT(ISNUMBER(Table_UtilityInput9[Annual Other Fuel 1
(kBtu)]))),0,Table_Perf6[[#This Row],[Other Fuel 1 (kBtu)]]*INDEX(Table_UtilityDecarb[Carbon Intensity (tCO2e/kBtu)],MATCH(R$46,Table_UtilityDecarb[Fuel Type],0)))</f>
        <v>0</v>
      </c>
      <c r="S59" s="100" cm="1">
        <f t="array" ref="S59">IF(OR(Table_UtilityInput9[Annual Other Fuel 2
(kBtu)]="",NOT(ISNUMBER(Table_UtilityInput9[Annual Other Fuel 2
(kBtu)]))),0,Table_Perf6[[#This Row],[Other Fuel 2 (kBtu)]]*INDEX(Table_UtilityDecarb[Carbon Intensity (tCO2e/kBtu)],MATCH(S$46,Table_UtilityDecarb[Fuel Type],0)))</f>
        <v>0</v>
      </c>
      <c r="T59" s="100">
        <f>IF(Table_Perf6[[#This Row],[Year]]&gt;2050,NA(),_xlfn.AGGREGATE(9,6,Table_Perf6[[#This Row],[LL97 Electricity (tCO2e)]:[LL97 Other Fuel 2 (tCO2e)]]))</f>
        <v>210.04169024999999</v>
      </c>
      <c r="U59" s="100">
        <f>IF(Table_Perf6[[#This Row],[Year]]&lt;2035,NA(),INDEX(Table_LimitsCalc_Sample1[Total Limits (tCO2e)],MATCH(Table_Perf6[[#This Row],[Year]],Table_LimitsCalc_Sample1[Year],0)))</f>
        <v>156.55219140000003</v>
      </c>
      <c r="V59" s="100" cm="1">
        <f t="array" ref="V59">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293.57273950000001</v>
      </c>
      <c r="W59" s="100">
        <f>IF(Table_Perf6[[#This Row],[LL97 Emissions Limit (tCO2e)]]="",0,MAX(0,Table_Perf6[[#This Row],[LL97 Business-As-Usual Emissions]]-Table_Perf6[[#This Row],[LL97 Emissions Limit (tCO2e)]]))</f>
        <v>137.02054809999998</v>
      </c>
      <c r="X59" s="100">
        <f>IF(Table_Perf6[[#This Row],[LL97 Emissions Limit (tCO2e)]]="",0,MAX(0,Table_Perf6[[#This Row],[LL97 Emissions After Measures]]-Table_Perf6[[#This Row],[LL97 Emissions Limit (tCO2e)]]))</f>
        <v>53.489498849999961</v>
      </c>
      <c r="Y59" s="100">
        <f>Table_Perf6[[#This Row],[LL97 Business-As-Usual Emissions]]-Table_Perf6[[#This Row],[LL97 Emissions After Measures]]</f>
        <v>83.531049250000024</v>
      </c>
      <c r="Z59" s="102" t="str">
        <f>IF(Table_Perf6[[#This Row],[Year]]&lt;2024,"Not in enforcement period",IF(Table_Perf6[[#This Row],[LL97 Excess Emissions After Measures]]=0,"Compliant","Not-Compliant"))</f>
        <v>Not-Compliant</v>
      </c>
      <c r="AA59" s="104">
        <f>IFERROR(-268*Table_Perf6[[#This Row],[LL97 Excess Emissions After Measures]],0)</f>
        <v>-14335.18569179999</v>
      </c>
      <c r="AB59" s="102">
        <f>IFERROR(268*MIN(Table_Perf6[[#This Row],[LL97 BAU Excess Emissions]],Table_Perf6[[#This Row],[LL97 Emissions Reduced by Measures]]),0)</f>
        <v>22386.321199000005</v>
      </c>
      <c r="AC59" s="105">
        <f>IF(OR(Table_Perf6[[#This Row],[Year]]&lt;2024,Table_Perf6[[#This Row],[Year]]&gt;2050,ISERROR(Table_Perf6[[#This Row],[LL97 Adjusted Penalty After Measures]])),"",Table_Perf6[[#This Row],[LL97 Adjusted Penalty After Measures]])</f>
        <v>-14335.18569179999</v>
      </c>
      <c r="AD59" s="102">
        <f>IF(Table_Perf6[[#This Row],[Year]]&gt;2050,NA(),_xlfn.AGGREGATE(9,6,Table_Perf6[[#This Row],[Measure Cost ($)]],Table_Perf6[[#This Row],[Utility Savings ($)]],Table_Perf6[[#This Row],[LL97 Penalty Avoided by Measures ($)]]))</f>
        <v>-112885.678801</v>
      </c>
      <c r="AE59" s="102">
        <f>SUM($AD$48:AD59)</f>
        <v>-64445.678801000002</v>
      </c>
      <c r="AF59" s="102">
        <f>IF(Table_Perf6[[#This Row],[Year]]&gt;2050,NA(),_xlfn.AGGREGATE(9,6,Table_Perf6[[#This Row],[Measure Cost ($)]],Table_Perf6[[#This Row],[LL97 Adjusted Penalty After Measures]]))</f>
        <v>-193201.1856918</v>
      </c>
      <c r="AG59" s="106">
        <f>Table_Perf6[[#This Row],[Year]]</f>
        <v>2035</v>
      </c>
      <c r="AH59" s="99">
        <f>COUNTIFS(Table_ECM7[When will the measure installation be complete and operational?],"&lt;="&amp;Table_Perf6[[#This Row],[Yr]],Table_ECM7[Would you like to Include this measure in the decarbonization pathway?],TRUE)</f>
        <v>13</v>
      </c>
      <c r="AI59" s="99" t="str">
        <f>IF(Table_Perf6[[#This Row],[Measure Qty]]=AH58,"",_xlfn.CONCAT(Table_Perf6[[#This Row],[Measure Qty]], " Measures Done"))</f>
        <v>13 Measures Done</v>
      </c>
      <c r="AJ59" s="107">
        <f>IF(Table_Perf6[[#This Row],[Measure Label]]="",NA(),Table_Perf6[[#This Row],[LL97 Emissions After Measures]])</f>
        <v>210.04169024999999</v>
      </c>
    </row>
    <row r="60" spans="3:36" hidden="1" outlineLevel="1">
      <c r="C60" s="98">
        <v>12</v>
      </c>
      <c r="D60" s="108">
        <f>IF(BaseYr+Table_Perf6[[#This Row],['#]]&gt;EndYr,NA(),BaseYr+Table_Perf6[[#This Row],['#]])</f>
        <v>2036</v>
      </c>
      <c r="E60" s="109" cm="1">
        <f t="array" ref="E60">MAX(0,IF(Table_Perf6[[#This Row],[Year]]=BaseYr,IFERROR(Table_UtilityInput9[Annual Electricity 
(kWh)]*3.412,0),
(E59-3.412*SUMIFS(Table_ECM7[Annual Electricity Savings
(kWh)],Table_ECM7[When will the measure installation be complete and operational?],Table_Perf6[[#This Row],[Year]],Table_ECM7[Would you like to Include this measure in the decarbonization pathway?],TRUE))))</f>
        <v>1354615.18</v>
      </c>
      <c r="F60" s="109" cm="1">
        <f t="array" ref="F60">MAX(0,IF(Table_Perf6[[#This Row],[Year]]=BaseYr,IFERROR(Table_UtilityInput9[Annual Natural Gas  
(therm)]*100,0),
(F59-100*SUMIFS(Table_ECM7[Annual Natural Gas Savings
(therm)],Table_ECM7[When will the measure installation be complete and operational?],Table_Perf6[[#This Row],[Year]],Table_ECM7[Would you like to Include this measure in the decarbonization pathway?],TRUE))))</f>
        <v>3141900</v>
      </c>
      <c r="G60" s="109" cm="1">
        <f t="array" ref="G60">MAX(0,IF(Table_Perf6[[#This Row],[Year]]=BaseYr,IFERROR(Table_UtilityInput9[Annual Fuel Oil'#2
(Gallon)]*138,0),
(G59-138*SUMIFS(Table_ECM7[Annual Fuel Oil'#2 Savings
(Gallon)],Table_ECM7[When will the measure installation be complete and operational?],Table_Perf6[[#This Row],[Year]],Table_ECM7[Would you like to Include this measure in the decarbonization pathway?],TRUE))))</f>
        <v>0</v>
      </c>
      <c r="H60" s="109" cm="1">
        <f t="array" ref="H60">MAX(0,IF(Table_Perf6[[#This Row],[Year]]=BaseYr,IFERROR(Table_UtilityInput9[Annual District Steam  
(Mlb for ConEd, kLb for others)]*1194,0),
(H59-1194*SUMIFS(Table_ECM7[Annual District Steam Savings
(Mlb for ConEd, klb for others)],Table_ECM7[When will the measure installation be complete and operational?],Table_Perf6[[#This Row],[Year]],Table_ECM7[Would you like to Include this measure in the decarbonization pathway?],TRUE))))</f>
        <v>0</v>
      </c>
      <c r="I60" s="109" cm="1">
        <f t="array" ref="I60">MAX(0,IF(Table_Perf6[[#This Row],[Year]]=BaseYr,IFERROR(Table_UtilityInput9[Annual Other Fuel 1
(kBtu)],0),
(I59-SUMIFS(Table_ECM7[Annual Other Fuel 1 Savings
(kBtu)],Table_ECM7[When will the measure installation be complete and operational?],Table_Perf6[[#This Row],[Year]],Table_ECM7[Would you like to Include this measure in the decarbonization pathway?],TRUE))))</f>
        <v>0</v>
      </c>
      <c r="J60" s="110" cm="1">
        <f t="array" ref="J60">MAX(0,IF(Table_Perf6[[#This Row],[Year]]=BaseYr,IFERROR(Table_UtilityInput9[Annual Other Fuel 2
(kBtu)],0),
(J59-SUMIFS(Table_ECM7[Annual Other Fuel 2 Savings
(kBtu)],Table_ECM7[When will the measure installation be complete and operational?],Table_Perf6[[#This Row],[Year]],Table_ECM7[Would you like to Include this measure in the decarbonization pathway?],TRUE))))</f>
        <v>0</v>
      </c>
      <c r="K60" s="101">
        <f>-SUMIFS(Table_ECM7[Cost to Install Measures ($)],Table_ECM7[When will the measure installation be complete and operational?],Table_Perf6[[#This Row],[Year]],Table_ECM7[Would you like to Include this measure in the decarbonization pathway?],TRUE)</f>
        <v>0</v>
      </c>
      <c r="L60" s="102" cm="1">
        <f t="array" ref="L60">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43594</v>
      </c>
      <c r="M60" s="103"/>
      <c r="N60" s="100" cm="1">
        <f t="array" ref="N60">Table_Perf6[[#This Row],[Electricity (kBtu)]]*INDEX(Table_UtilityDecarb[Carbon Intensity (tCO2e/kBtu)],MATCH(N$46&amp;Table_Perf6[[#This Row],[Year]],Table_UtilityDecarb[Fuel Type]&amp;Table_UtilityDecarb[Year],0))</f>
        <v>43.175381249999994</v>
      </c>
      <c r="O60" s="100">
        <f>Table_Perf6[[#This Row],[Natural Gas (kBtu)]]*INDEX(Table_UtilityDecarb[Carbon Intensity (tCO2e/kBtu)],MATCH(O$46,Table_UtilityDecarb[Fuel Type],0))</f>
        <v>166.866309</v>
      </c>
      <c r="P60" s="100">
        <f>Table_Perf6[[#This Row],[Fuel Oil'#2 (kBtu)]]*INDEX(Table_UtilityDecarb[Carbon Intensity (tCO2e/kBtu)],MATCH(P$46,Table_UtilityDecarb[Fuel Type],0))</f>
        <v>0</v>
      </c>
      <c r="Q60" s="100" cm="1">
        <f t="array" ref="Q60">Table_Perf6[[#This Row],[District Steam (kBtu)]]*INDEX(Table_UtilityDecarb[Carbon Intensity (tCO2e/kBtu)],MATCH(Q$46&amp;Table_Perf6[[#This Row],[Year]],Table_UtilityDecarb[Fuel Type]&amp;Table_UtilityDecarb[Year],0))</f>
        <v>0</v>
      </c>
      <c r="R60" s="100" cm="1">
        <f t="array" ref="R60">IF(OR(Table_UtilityInput9[Annual Other Fuel 1
(kBtu)]="",NOT(ISNUMBER(Table_UtilityInput9[Annual Other Fuel 1
(kBtu)]))),0,Table_Perf6[[#This Row],[Other Fuel 1 (kBtu)]]*INDEX(Table_UtilityDecarb[Carbon Intensity (tCO2e/kBtu)],MATCH(R$46,Table_UtilityDecarb[Fuel Type],0)))</f>
        <v>0</v>
      </c>
      <c r="S60" s="100" cm="1">
        <f t="array" ref="S60">IF(OR(Table_UtilityInput9[Annual Other Fuel 2
(kBtu)]="",NOT(ISNUMBER(Table_UtilityInput9[Annual Other Fuel 2
(kBtu)]))),0,Table_Perf6[[#This Row],[Other Fuel 2 (kBtu)]]*INDEX(Table_UtilityDecarb[Carbon Intensity (tCO2e/kBtu)],MATCH(S$46,Table_UtilityDecarb[Fuel Type],0)))</f>
        <v>0</v>
      </c>
      <c r="T60" s="100">
        <f>IF(Table_Perf6[[#This Row],[Year]]&gt;2050,NA(),_xlfn.AGGREGATE(9,6,Table_Perf6[[#This Row],[LL97 Electricity (tCO2e)]:[LL97 Other Fuel 2 (tCO2e)]]))</f>
        <v>210.04169024999999</v>
      </c>
      <c r="U60" s="100">
        <f>IF(Table_Perf6[[#This Row],[Year]]&lt;2035,NA(),INDEX(Table_LimitsCalc_Sample1[Total Limits (tCO2e)],MATCH(Table_Perf6[[#This Row],[Year]],Table_LimitsCalc_Sample1[Year],0)))</f>
        <v>156.55219140000003</v>
      </c>
      <c r="V60" s="100" cm="1">
        <f t="array" ref="V60">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293.57273950000001</v>
      </c>
      <c r="W60" s="100">
        <f>IF(Table_Perf6[[#This Row],[LL97 Emissions Limit (tCO2e)]]="",0,MAX(0,Table_Perf6[[#This Row],[LL97 Business-As-Usual Emissions]]-Table_Perf6[[#This Row],[LL97 Emissions Limit (tCO2e)]]))</f>
        <v>137.02054809999998</v>
      </c>
      <c r="X60" s="100">
        <f>IF(Table_Perf6[[#This Row],[LL97 Emissions Limit (tCO2e)]]="",0,MAX(0,Table_Perf6[[#This Row],[LL97 Emissions After Measures]]-Table_Perf6[[#This Row],[LL97 Emissions Limit (tCO2e)]]))</f>
        <v>53.489498849999961</v>
      </c>
      <c r="Y60" s="100">
        <f>Table_Perf6[[#This Row],[LL97 Business-As-Usual Emissions]]-Table_Perf6[[#This Row],[LL97 Emissions After Measures]]</f>
        <v>83.531049250000024</v>
      </c>
      <c r="Z60" s="102" t="str">
        <f>IF(Table_Perf6[[#This Row],[Year]]&lt;2024,"Not in enforcement period",IF(Table_Perf6[[#This Row],[LL97 Excess Emissions After Measures]]=0,"Compliant","Not-Compliant"))</f>
        <v>Not-Compliant</v>
      </c>
      <c r="AA60" s="104">
        <f>IFERROR(-268*Table_Perf6[[#This Row],[LL97 Excess Emissions After Measures]],0)</f>
        <v>-14335.18569179999</v>
      </c>
      <c r="AB60" s="102">
        <f>IFERROR(268*MIN(Table_Perf6[[#This Row],[LL97 BAU Excess Emissions]],Table_Perf6[[#This Row],[LL97 Emissions Reduced by Measures]]),0)</f>
        <v>22386.321199000005</v>
      </c>
      <c r="AC60" s="105">
        <f>IF(OR(Table_Perf6[[#This Row],[Year]]&lt;2024,Table_Perf6[[#This Row],[Year]]&gt;2050,ISERROR(Table_Perf6[[#This Row],[LL97 Adjusted Penalty After Measures]])),"",Table_Perf6[[#This Row],[LL97 Adjusted Penalty After Measures]])</f>
        <v>-14335.18569179999</v>
      </c>
      <c r="AD60" s="102">
        <f>IF(Table_Perf6[[#This Row],[Year]]&gt;2050,NA(),_xlfn.AGGREGATE(9,6,Table_Perf6[[#This Row],[Measure Cost ($)]],Table_Perf6[[#This Row],[Utility Savings ($)]],Table_Perf6[[#This Row],[LL97 Penalty Avoided by Measures ($)]]))</f>
        <v>65980.321198999998</v>
      </c>
      <c r="AE60" s="102">
        <f>SUM($AD$48:AD60)</f>
        <v>1534.6423979999963</v>
      </c>
      <c r="AF60" s="102">
        <f>IF(Table_Perf6[[#This Row],[Year]]&gt;2050,NA(),_xlfn.AGGREGATE(9,6,Table_Perf6[[#This Row],[Measure Cost ($)]],Table_Perf6[[#This Row],[LL97 Adjusted Penalty After Measures]]))</f>
        <v>-14335.18569179999</v>
      </c>
      <c r="AG60" s="106">
        <f>Table_Perf6[[#This Row],[Year]]</f>
        <v>2036</v>
      </c>
      <c r="AH60" s="99">
        <f>COUNTIFS(Table_ECM7[When will the measure installation be complete and operational?],"&lt;="&amp;Table_Perf6[[#This Row],[Yr]],Table_ECM7[Would you like to Include this measure in the decarbonization pathway?],TRUE)</f>
        <v>13</v>
      </c>
      <c r="AI60" s="99" t="str">
        <f>IF(Table_Perf6[[#This Row],[Measure Qty]]=AH59,"",_xlfn.CONCAT(Table_Perf6[[#This Row],[Measure Qty]], " Measures Done"))</f>
        <v/>
      </c>
      <c r="AJ60" s="107" t="e">
        <f>IF(Table_Perf6[[#This Row],[Measure Label]]="",NA(),Table_Perf6[[#This Row],[LL97 Emissions After Measures]])</f>
        <v>#N/A</v>
      </c>
    </row>
    <row r="61" spans="3:36" hidden="1" outlineLevel="1">
      <c r="C61" s="98">
        <v>13</v>
      </c>
      <c r="D61" s="108">
        <f>IF(BaseYr+Table_Perf6[[#This Row],['#]]&gt;EndYr,NA(),BaseYr+Table_Perf6[[#This Row],['#]])</f>
        <v>2037</v>
      </c>
      <c r="E61" s="109" cm="1">
        <f t="array" ref="E61">MAX(0,IF(Table_Perf6[[#This Row],[Year]]=BaseYr,IFERROR(Table_UtilityInput9[Annual Electricity 
(kWh)]*3.412,0),
(E60-3.412*SUMIFS(Table_ECM7[Annual Electricity Savings
(kWh)],Table_ECM7[When will the measure installation be complete and operational?],Table_Perf6[[#This Row],[Year]],Table_ECM7[Would you like to Include this measure in the decarbonization pathway?],TRUE))))</f>
        <v>1354615.18</v>
      </c>
      <c r="F61" s="109" cm="1">
        <f t="array" ref="F61">MAX(0,IF(Table_Perf6[[#This Row],[Year]]=BaseYr,IFERROR(Table_UtilityInput9[Annual Natural Gas  
(therm)]*100,0),
(F60-100*SUMIFS(Table_ECM7[Annual Natural Gas Savings
(therm)],Table_ECM7[When will the measure installation be complete and operational?],Table_Perf6[[#This Row],[Year]],Table_ECM7[Would you like to Include this measure in the decarbonization pathway?],TRUE))))</f>
        <v>3141900</v>
      </c>
      <c r="G61" s="109" cm="1">
        <f t="array" ref="G61">MAX(0,IF(Table_Perf6[[#This Row],[Year]]=BaseYr,IFERROR(Table_UtilityInput9[Annual Fuel Oil'#2
(Gallon)]*138,0),
(G60-138*SUMIFS(Table_ECM7[Annual Fuel Oil'#2 Savings
(Gallon)],Table_ECM7[When will the measure installation be complete and operational?],Table_Perf6[[#This Row],[Year]],Table_ECM7[Would you like to Include this measure in the decarbonization pathway?],TRUE))))</f>
        <v>0</v>
      </c>
      <c r="H61" s="109" cm="1">
        <f t="array" ref="H61">MAX(0,IF(Table_Perf6[[#This Row],[Year]]=BaseYr,IFERROR(Table_UtilityInput9[Annual District Steam  
(Mlb for ConEd, kLb for others)]*1194,0),
(H60-1194*SUMIFS(Table_ECM7[Annual District Steam Savings
(Mlb for ConEd, klb for others)],Table_ECM7[When will the measure installation be complete and operational?],Table_Perf6[[#This Row],[Year]],Table_ECM7[Would you like to Include this measure in the decarbonization pathway?],TRUE))))</f>
        <v>0</v>
      </c>
      <c r="I61" s="109" cm="1">
        <f t="array" ref="I61">MAX(0,IF(Table_Perf6[[#This Row],[Year]]=BaseYr,IFERROR(Table_UtilityInput9[Annual Other Fuel 1
(kBtu)],0),
(I60-SUMIFS(Table_ECM7[Annual Other Fuel 1 Savings
(kBtu)],Table_ECM7[When will the measure installation be complete and operational?],Table_Perf6[[#This Row],[Year]],Table_ECM7[Would you like to Include this measure in the decarbonization pathway?],TRUE))))</f>
        <v>0</v>
      </c>
      <c r="J61" s="110" cm="1">
        <f t="array" ref="J61">MAX(0,IF(Table_Perf6[[#This Row],[Year]]=BaseYr,IFERROR(Table_UtilityInput9[Annual Other Fuel 2
(kBtu)],0),
(J60-SUMIFS(Table_ECM7[Annual Other Fuel 2 Savings
(kBtu)],Table_ECM7[When will the measure installation be complete and operational?],Table_Perf6[[#This Row],[Year]],Table_ECM7[Would you like to Include this measure in the decarbonization pathway?],TRUE))))</f>
        <v>0</v>
      </c>
      <c r="K61" s="101">
        <f>-SUMIFS(Table_ECM7[Cost to Install Measures ($)],Table_ECM7[When will the measure installation be complete and operational?],Table_Perf6[[#This Row],[Year]],Table_ECM7[Would you like to Include this measure in the decarbonization pathway?],TRUE)</f>
        <v>0</v>
      </c>
      <c r="L61" s="102" cm="1">
        <f t="array" ref="L61">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43594</v>
      </c>
      <c r="M61" s="103"/>
      <c r="N61" s="100" cm="1">
        <f t="array" ref="N61">Table_Perf6[[#This Row],[Electricity (kBtu)]]*INDEX(Table_UtilityDecarb[Carbon Intensity (tCO2e/kBtu)],MATCH(N$46&amp;Table_Perf6[[#This Row],[Year]],Table_UtilityDecarb[Fuel Type]&amp;Table_UtilityDecarb[Year],0))</f>
        <v>43.175381249999994</v>
      </c>
      <c r="O61" s="100">
        <f>Table_Perf6[[#This Row],[Natural Gas (kBtu)]]*INDEX(Table_UtilityDecarb[Carbon Intensity (tCO2e/kBtu)],MATCH(O$46,Table_UtilityDecarb[Fuel Type],0))</f>
        <v>166.866309</v>
      </c>
      <c r="P61" s="100">
        <f>Table_Perf6[[#This Row],[Fuel Oil'#2 (kBtu)]]*INDEX(Table_UtilityDecarb[Carbon Intensity (tCO2e/kBtu)],MATCH(P$46,Table_UtilityDecarb[Fuel Type],0))</f>
        <v>0</v>
      </c>
      <c r="Q61" s="100" cm="1">
        <f t="array" ref="Q61">Table_Perf6[[#This Row],[District Steam (kBtu)]]*INDEX(Table_UtilityDecarb[Carbon Intensity (tCO2e/kBtu)],MATCH(Q$46&amp;Table_Perf6[[#This Row],[Year]],Table_UtilityDecarb[Fuel Type]&amp;Table_UtilityDecarb[Year],0))</f>
        <v>0</v>
      </c>
      <c r="R61" s="100" cm="1">
        <f t="array" ref="R61">IF(OR(Table_UtilityInput9[Annual Other Fuel 1
(kBtu)]="",NOT(ISNUMBER(Table_UtilityInput9[Annual Other Fuel 1
(kBtu)]))),0,Table_Perf6[[#This Row],[Other Fuel 1 (kBtu)]]*INDEX(Table_UtilityDecarb[Carbon Intensity (tCO2e/kBtu)],MATCH(R$46,Table_UtilityDecarb[Fuel Type],0)))</f>
        <v>0</v>
      </c>
      <c r="S61" s="100" cm="1">
        <f t="array" ref="S61">IF(OR(Table_UtilityInput9[Annual Other Fuel 2
(kBtu)]="",NOT(ISNUMBER(Table_UtilityInput9[Annual Other Fuel 2
(kBtu)]))),0,Table_Perf6[[#This Row],[Other Fuel 2 (kBtu)]]*INDEX(Table_UtilityDecarb[Carbon Intensity (tCO2e/kBtu)],MATCH(S$46,Table_UtilityDecarb[Fuel Type],0)))</f>
        <v>0</v>
      </c>
      <c r="T61" s="100">
        <f>IF(Table_Perf6[[#This Row],[Year]]&gt;2050,NA(),_xlfn.AGGREGATE(9,6,Table_Perf6[[#This Row],[LL97 Electricity (tCO2e)]:[LL97 Other Fuel 2 (tCO2e)]]))</f>
        <v>210.04169024999999</v>
      </c>
      <c r="U61" s="100">
        <f>IF(Table_Perf6[[#This Row],[Year]]&lt;2035,NA(),INDEX(Table_LimitsCalc_Sample1[Total Limits (tCO2e)],MATCH(Table_Perf6[[#This Row],[Year]],Table_LimitsCalc_Sample1[Year],0)))</f>
        <v>156.55219140000003</v>
      </c>
      <c r="V61" s="100" cm="1">
        <f t="array" ref="V61">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293.57273950000001</v>
      </c>
      <c r="W61" s="100">
        <f>IF(Table_Perf6[[#This Row],[LL97 Emissions Limit (tCO2e)]]="",0,MAX(0,Table_Perf6[[#This Row],[LL97 Business-As-Usual Emissions]]-Table_Perf6[[#This Row],[LL97 Emissions Limit (tCO2e)]]))</f>
        <v>137.02054809999998</v>
      </c>
      <c r="X61" s="100">
        <f>IF(Table_Perf6[[#This Row],[LL97 Emissions Limit (tCO2e)]]="",0,MAX(0,Table_Perf6[[#This Row],[LL97 Emissions After Measures]]-Table_Perf6[[#This Row],[LL97 Emissions Limit (tCO2e)]]))</f>
        <v>53.489498849999961</v>
      </c>
      <c r="Y61" s="100">
        <f>Table_Perf6[[#This Row],[LL97 Business-As-Usual Emissions]]-Table_Perf6[[#This Row],[LL97 Emissions After Measures]]</f>
        <v>83.531049250000024</v>
      </c>
      <c r="Z61" s="102" t="str">
        <f>IF(Table_Perf6[[#This Row],[Year]]&lt;2024,"Not in enforcement period",IF(Table_Perf6[[#This Row],[LL97 Excess Emissions After Measures]]=0,"Compliant","Not-Compliant"))</f>
        <v>Not-Compliant</v>
      </c>
      <c r="AA61" s="104">
        <f>IFERROR(-268*Table_Perf6[[#This Row],[LL97 Excess Emissions After Measures]],0)</f>
        <v>-14335.18569179999</v>
      </c>
      <c r="AB61" s="102">
        <f>IFERROR(268*MIN(Table_Perf6[[#This Row],[LL97 BAU Excess Emissions]],Table_Perf6[[#This Row],[LL97 Emissions Reduced by Measures]]),0)</f>
        <v>22386.321199000005</v>
      </c>
      <c r="AC61" s="105">
        <f>IF(OR(Table_Perf6[[#This Row],[Year]]&lt;2024,Table_Perf6[[#This Row],[Year]]&gt;2050,ISERROR(Table_Perf6[[#This Row],[LL97 Adjusted Penalty After Measures]])),"",Table_Perf6[[#This Row],[LL97 Adjusted Penalty After Measures]])</f>
        <v>-14335.18569179999</v>
      </c>
      <c r="AD61" s="102">
        <f>IF(Table_Perf6[[#This Row],[Year]]&gt;2050,NA(),_xlfn.AGGREGATE(9,6,Table_Perf6[[#This Row],[Measure Cost ($)]],Table_Perf6[[#This Row],[Utility Savings ($)]],Table_Perf6[[#This Row],[LL97 Penalty Avoided by Measures ($)]]))</f>
        <v>65980.321198999998</v>
      </c>
      <c r="AE61" s="102">
        <f>SUM($AD$48:AD61)</f>
        <v>67514.963596999994</v>
      </c>
      <c r="AF61" s="102">
        <f>IF(Table_Perf6[[#This Row],[Year]]&gt;2050,NA(),_xlfn.AGGREGATE(9,6,Table_Perf6[[#This Row],[Measure Cost ($)]],Table_Perf6[[#This Row],[LL97 Adjusted Penalty After Measures]]))</f>
        <v>-14335.18569179999</v>
      </c>
      <c r="AG61" s="106">
        <f>Table_Perf6[[#This Row],[Year]]</f>
        <v>2037</v>
      </c>
      <c r="AH61" s="99">
        <f>COUNTIFS(Table_ECM7[When will the measure installation be complete and operational?],"&lt;="&amp;Table_Perf6[[#This Row],[Yr]],Table_ECM7[Would you like to Include this measure in the decarbonization pathway?],TRUE)</f>
        <v>13</v>
      </c>
      <c r="AI61" s="99" t="str">
        <f>IF(Table_Perf6[[#This Row],[Measure Qty]]=AH60,"",_xlfn.CONCAT(Table_Perf6[[#This Row],[Measure Qty]], " Measures Done"))</f>
        <v/>
      </c>
      <c r="AJ61" s="107" t="e">
        <f>IF(Table_Perf6[[#This Row],[Measure Label]]="",NA(),Table_Perf6[[#This Row],[LL97 Emissions After Measures]])</f>
        <v>#N/A</v>
      </c>
    </row>
    <row r="62" spans="3:36" hidden="1" outlineLevel="1">
      <c r="C62" s="98">
        <v>14</v>
      </c>
      <c r="D62" s="108">
        <f>IF(BaseYr+Table_Perf6[[#This Row],['#]]&gt;EndYr,NA(),BaseYr+Table_Perf6[[#This Row],['#]])</f>
        <v>2038</v>
      </c>
      <c r="E62" s="109" cm="1">
        <f t="array" ref="E62">MAX(0,IF(Table_Perf6[[#This Row],[Year]]=BaseYr,IFERROR(Table_UtilityInput9[Annual Electricity 
(kWh)]*3.412,0),
(E61-3.412*SUMIFS(Table_ECM7[Annual Electricity Savings
(kWh)],Table_ECM7[When will the measure installation be complete and operational?],Table_Perf6[[#This Row],[Year]],Table_ECM7[Would you like to Include this measure in the decarbonization pathway?],TRUE))))</f>
        <v>1354615.18</v>
      </c>
      <c r="F62" s="109" cm="1">
        <f t="array" ref="F62">MAX(0,IF(Table_Perf6[[#This Row],[Year]]=BaseYr,IFERROR(Table_UtilityInput9[Annual Natural Gas  
(therm)]*100,0),
(F61-100*SUMIFS(Table_ECM7[Annual Natural Gas Savings
(therm)],Table_ECM7[When will the measure installation be complete and operational?],Table_Perf6[[#This Row],[Year]],Table_ECM7[Would you like to Include this measure in the decarbonization pathway?],TRUE))))</f>
        <v>3141900</v>
      </c>
      <c r="G62" s="109" cm="1">
        <f t="array" ref="G62">MAX(0,IF(Table_Perf6[[#This Row],[Year]]=BaseYr,IFERROR(Table_UtilityInput9[Annual Fuel Oil'#2
(Gallon)]*138,0),
(G61-138*SUMIFS(Table_ECM7[Annual Fuel Oil'#2 Savings
(Gallon)],Table_ECM7[When will the measure installation be complete and operational?],Table_Perf6[[#This Row],[Year]],Table_ECM7[Would you like to Include this measure in the decarbonization pathway?],TRUE))))</f>
        <v>0</v>
      </c>
      <c r="H62" s="109" cm="1">
        <f t="array" ref="H62">MAX(0,IF(Table_Perf6[[#This Row],[Year]]=BaseYr,IFERROR(Table_UtilityInput9[Annual District Steam  
(Mlb for ConEd, kLb for others)]*1194,0),
(H61-1194*SUMIFS(Table_ECM7[Annual District Steam Savings
(Mlb for ConEd, klb for others)],Table_ECM7[When will the measure installation be complete and operational?],Table_Perf6[[#This Row],[Year]],Table_ECM7[Would you like to Include this measure in the decarbonization pathway?],TRUE))))</f>
        <v>0</v>
      </c>
      <c r="I62" s="109" cm="1">
        <f t="array" ref="I62">MAX(0,IF(Table_Perf6[[#This Row],[Year]]=BaseYr,IFERROR(Table_UtilityInput9[Annual Other Fuel 1
(kBtu)],0),
(I61-SUMIFS(Table_ECM7[Annual Other Fuel 1 Savings
(kBtu)],Table_ECM7[When will the measure installation be complete and operational?],Table_Perf6[[#This Row],[Year]],Table_ECM7[Would you like to Include this measure in the decarbonization pathway?],TRUE))))</f>
        <v>0</v>
      </c>
      <c r="J62" s="110" cm="1">
        <f t="array" ref="J62">MAX(0,IF(Table_Perf6[[#This Row],[Year]]=BaseYr,IFERROR(Table_UtilityInput9[Annual Other Fuel 2
(kBtu)],0),
(J61-SUMIFS(Table_ECM7[Annual Other Fuel 2 Savings
(kBtu)],Table_ECM7[When will the measure installation be complete and operational?],Table_Perf6[[#This Row],[Year]],Table_ECM7[Would you like to Include this measure in the decarbonization pathway?],TRUE))))</f>
        <v>0</v>
      </c>
      <c r="K62" s="101">
        <f>-SUMIFS(Table_ECM7[Cost to Install Measures ($)],Table_ECM7[When will the measure installation be complete and operational?],Table_Perf6[[#This Row],[Year]],Table_ECM7[Would you like to Include this measure in the decarbonization pathway?],TRUE)</f>
        <v>0</v>
      </c>
      <c r="L62" s="102" cm="1">
        <f t="array" ref="L62">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43594</v>
      </c>
      <c r="M62" s="103"/>
      <c r="N62" s="100" cm="1">
        <f t="array" ref="N62">Table_Perf6[[#This Row],[Electricity (kBtu)]]*INDEX(Table_UtilityDecarb[Carbon Intensity (tCO2e/kBtu)],MATCH(N$46&amp;Table_Perf6[[#This Row],[Year]],Table_UtilityDecarb[Fuel Type]&amp;Table_UtilityDecarb[Year],0))</f>
        <v>43.175381249999994</v>
      </c>
      <c r="O62" s="100">
        <f>Table_Perf6[[#This Row],[Natural Gas (kBtu)]]*INDEX(Table_UtilityDecarb[Carbon Intensity (tCO2e/kBtu)],MATCH(O$46,Table_UtilityDecarb[Fuel Type],0))</f>
        <v>166.866309</v>
      </c>
      <c r="P62" s="100">
        <f>Table_Perf6[[#This Row],[Fuel Oil'#2 (kBtu)]]*INDEX(Table_UtilityDecarb[Carbon Intensity (tCO2e/kBtu)],MATCH(P$46,Table_UtilityDecarb[Fuel Type],0))</f>
        <v>0</v>
      </c>
      <c r="Q62" s="100" cm="1">
        <f t="array" ref="Q62">Table_Perf6[[#This Row],[District Steam (kBtu)]]*INDEX(Table_UtilityDecarb[Carbon Intensity (tCO2e/kBtu)],MATCH(Q$46&amp;Table_Perf6[[#This Row],[Year]],Table_UtilityDecarb[Fuel Type]&amp;Table_UtilityDecarb[Year],0))</f>
        <v>0</v>
      </c>
      <c r="R62" s="100" cm="1">
        <f t="array" ref="R62">IF(OR(Table_UtilityInput9[Annual Other Fuel 1
(kBtu)]="",NOT(ISNUMBER(Table_UtilityInput9[Annual Other Fuel 1
(kBtu)]))),0,Table_Perf6[[#This Row],[Other Fuel 1 (kBtu)]]*INDEX(Table_UtilityDecarb[Carbon Intensity (tCO2e/kBtu)],MATCH(R$46,Table_UtilityDecarb[Fuel Type],0)))</f>
        <v>0</v>
      </c>
      <c r="S62" s="100" cm="1">
        <f t="array" ref="S62">IF(OR(Table_UtilityInput9[Annual Other Fuel 2
(kBtu)]="",NOT(ISNUMBER(Table_UtilityInput9[Annual Other Fuel 2
(kBtu)]))),0,Table_Perf6[[#This Row],[Other Fuel 2 (kBtu)]]*INDEX(Table_UtilityDecarb[Carbon Intensity (tCO2e/kBtu)],MATCH(S$46,Table_UtilityDecarb[Fuel Type],0)))</f>
        <v>0</v>
      </c>
      <c r="T62" s="100">
        <f>IF(Table_Perf6[[#This Row],[Year]]&gt;2050,NA(),_xlfn.AGGREGATE(9,6,Table_Perf6[[#This Row],[LL97 Electricity (tCO2e)]:[LL97 Other Fuel 2 (tCO2e)]]))</f>
        <v>210.04169024999999</v>
      </c>
      <c r="U62" s="100">
        <f>IF(Table_Perf6[[#This Row],[Year]]&lt;2035,NA(),INDEX(Table_LimitsCalc_Sample1[Total Limits (tCO2e)],MATCH(Table_Perf6[[#This Row],[Year]],Table_LimitsCalc_Sample1[Year],0)))</f>
        <v>156.55219140000003</v>
      </c>
      <c r="V62" s="100" cm="1">
        <f t="array" ref="V62">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293.57273950000001</v>
      </c>
      <c r="W62" s="100">
        <f>IF(Table_Perf6[[#This Row],[LL97 Emissions Limit (tCO2e)]]="",0,MAX(0,Table_Perf6[[#This Row],[LL97 Business-As-Usual Emissions]]-Table_Perf6[[#This Row],[LL97 Emissions Limit (tCO2e)]]))</f>
        <v>137.02054809999998</v>
      </c>
      <c r="X62" s="100">
        <f>IF(Table_Perf6[[#This Row],[LL97 Emissions Limit (tCO2e)]]="",0,MAX(0,Table_Perf6[[#This Row],[LL97 Emissions After Measures]]-Table_Perf6[[#This Row],[LL97 Emissions Limit (tCO2e)]]))</f>
        <v>53.489498849999961</v>
      </c>
      <c r="Y62" s="100">
        <f>Table_Perf6[[#This Row],[LL97 Business-As-Usual Emissions]]-Table_Perf6[[#This Row],[LL97 Emissions After Measures]]</f>
        <v>83.531049250000024</v>
      </c>
      <c r="Z62" s="102" t="str">
        <f>IF(Table_Perf6[[#This Row],[Year]]&lt;2024,"Not in enforcement period",IF(Table_Perf6[[#This Row],[LL97 Excess Emissions After Measures]]=0,"Compliant","Not-Compliant"))</f>
        <v>Not-Compliant</v>
      </c>
      <c r="AA62" s="104">
        <f>IFERROR(-268*Table_Perf6[[#This Row],[LL97 Excess Emissions After Measures]],0)</f>
        <v>-14335.18569179999</v>
      </c>
      <c r="AB62" s="102">
        <f>IFERROR(268*MIN(Table_Perf6[[#This Row],[LL97 BAU Excess Emissions]],Table_Perf6[[#This Row],[LL97 Emissions Reduced by Measures]]),0)</f>
        <v>22386.321199000005</v>
      </c>
      <c r="AC62" s="105">
        <f>IF(OR(Table_Perf6[[#This Row],[Year]]&lt;2024,Table_Perf6[[#This Row],[Year]]&gt;2050,ISERROR(Table_Perf6[[#This Row],[LL97 Adjusted Penalty After Measures]])),"",Table_Perf6[[#This Row],[LL97 Adjusted Penalty After Measures]])</f>
        <v>-14335.18569179999</v>
      </c>
      <c r="AD62" s="102">
        <f>IF(Table_Perf6[[#This Row],[Year]]&gt;2050,NA(),_xlfn.AGGREGATE(9,6,Table_Perf6[[#This Row],[Measure Cost ($)]],Table_Perf6[[#This Row],[Utility Savings ($)]],Table_Perf6[[#This Row],[LL97 Penalty Avoided by Measures ($)]]))</f>
        <v>65980.321198999998</v>
      </c>
      <c r="AE62" s="102">
        <f>SUM($AD$48:AD62)</f>
        <v>133495.28479599999</v>
      </c>
      <c r="AF62" s="102">
        <f>IF(Table_Perf6[[#This Row],[Year]]&gt;2050,NA(),_xlfn.AGGREGATE(9,6,Table_Perf6[[#This Row],[Measure Cost ($)]],Table_Perf6[[#This Row],[LL97 Adjusted Penalty After Measures]]))</f>
        <v>-14335.18569179999</v>
      </c>
      <c r="AG62" s="106">
        <f>Table_Perf6[[#This Row],[Year]]</f>
        <v>2038</v>
      </c>
      <c r="AH62" s="99">
        <f>COUNTIFS(Table_ECM7[When will the measure installation be complete and operational?],"&lt;="&amp;Table_Perf6[[#This Row],[Yr]],Table_ECM7[Would you like to Include this measure in the decarbonization pathway?],TRUE)</f>
        <v>13</v>
      </c>
      <c r="AI62" s="99" t="str">
        <f>IF(Table_Perf6[[#This Row],[Measure Qty]]=AH61,"",_xlfn.CONCAT(Table_Perf6[[#This Row],[Measure Qty]], " Measures Done"))</f>
        <v/>
      </c>
      <c r="AJ62" s="107" t="e">
        <f>IF(Table_Perf6[[#This Row],[Measure Label]]="",NA(),Table_Perf6[[#This Row],[LL97 Emissions After Measures]])</f>
        <v>#N/A</v>
      </c>
    </row>
    <row r="63" spans="3:36" hidden="1" outlineLevel="1">
      <c r="C63" s="98">
        <v>15</v>
      </c>
      <c r="D63" s="108">
        <f>IF(BaseYr+Table_Perf6[[#This Row],['#]]&gt;EndYr,NA(),BaseYr+Table_Perf6[[#This Row],['#]])</f>
        <v>2039</v>
      </c>
      <c r="E63" s="109" cm="1">
        <f t="array" ref="E63">MAX(0,IF(Table_Perf6[[#This Row],[Year]]=BaseYr,IFERROR(Table_UtilityInput9[Annual Electricity 
(kWh)]*3.412,0),
(E62-3.412*SUMIFS(Table_ECM7[Annual Electricity Savings
(kWh)],Table_ECM7[When will the measure installation be complete and operational?],Table_Perf6[[#This Row],[Year]],Table_ECM7[Would you like to Include this measure in the decarbonization pathway?],TRUE))))</f>
        <v>1354615.18</v>
      </c>
      <c r="F63" s="109" cm="1">
        <f t="array" ref="F63">MAX(0,IF(Table_Perf6[[#This Row],[Year]]=BaseYr,IFERROR(Table_UtilityInput9[Annual Natural Gas  
(therm)]*100,0),
(F62-100*SUMIFS(Table_ECM7[Annual Natural Gas Savings
(therm)],Table_ECM7[When will the measure installation be complete and operational?],Table_Perf6[[#This Row],[Year]],Table_ECM7[Would you like to Include this measure in the decarbonization pathway?],TRUE))))</f>
        <v>3141900</v>
      </c>
      <c r="G63" s="109" cm="1">
        <f t="array" ref="G63">MAX(0,IF(Table_Perf6[[#This Row],[Year]]=BaseYr,IFERROR(Table_UtilityInput9[Annual Fuel Oil'#2
(Gallon)]*138,0),
(G62-138*SUMIFS(Table_ECM7[Annual Fuel Oil'#2 Savings
(Gallon)],Table_ECM7[When will the measure installation be complete and operational?],Table_Perf6[[#This Row],[Year]],Table_ECM7[Would you like to Include this measure in the decarbonization pathway?],TRUE))))</f>
        <v>0</v>
      </c>
      <c r="H63" s="109" cm="1">
        <f t="array" ref="H63">MAX(0,IF(Table_Perf6[[#This Row],[Year]]=BaseYr,IFERROR(Table_UtilityInput9[Annual District Steam  
(Mlb for ConEd, kLb for others)]*1194,0),
(H62-1194*SUMIFS(Table_ECM7[Annual District Steam Savings
(Mlb for ConEd, klb for others)],Table_ECM7[When will the measure installation be complete and operational?],Table_Perf6[[#This Row],[Year]],Table_ECM7[Would you like to Include this measure in the decarbonization pathway?],TRUE))))</f>
        <v>0</v>
      </c>
      <c r="I63" s="109" cm="1">
        <f t="array" ref="I63">MAX(0,IF(Table_Perf6[[#This Row],[Year]]=BaseYr,IFERROR(Table_UtilityInput9[Annual Other Fuel 1
(kBtu)],0),
(I62-SUMIFS(Table_ECM7[Annual Other Fuel 1 Savings
(kBtu)],Table_ECM7[When will the measure installation be complete and operational?],Table_Perf6[[#This Row],[Year]],Table_ECM7[Would you like to Include this measure in the decarbonization pathway?],TRUE))))</f>
        <v>0</v>
      </c>
      <c r="J63" s="110" cm="1">
        <f t="array" ref="J63">MAX(0,IF(Table_Perf6[[#This Row],[Year]]=BaseYr,IFERROR(Table_UtilityInput9[Annual Other Fuel 2
(kBtu)],0),
(J62-SUMIFS(Table_ECM7[Annual Other Fuel 2 Savings
(kBtu)],Table_ECM7[When will the measure installation be complete and operational?],Table_Perf6[[#This Row],[Year]],Table_ECM7[Would you like to Include this measure in the decarbonization pathway?],TRUE))))</f>
        <v>0</v>
      </c>
      <c r="K63" s="101">
        <f>-SUMIFS(Table_ECM7[Cost to Install Measures ($)],Table_ECM7[When will the measure installation be complete and operational?],Table_Perf6[[#This Row],[Year]],Table_ECM7[Would you like to Include this measure in the decarbonization pathway?],TRUE)</f>
        <v>0</v>
      </c>
      <c r="L63" s="102" cm="1">
        <f t="array" ref="L63">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43594</v>
      </c>
      <c r="M63" s="103"/>
      <c r="N63" s="100" cm="1">
        <f t="array" ref="N63">Table_Perf6[[#This Row],[Electricity (kBtu)]]*INDEX(Table_UtilityDecarb[Carbon Intensity (tCO2e/kBtu)],MATCH(N$46&amp;Table_Perf6[[#This Row],[Year]],Table_UtilityDecarb[Fuel Type]&amp;Table_UtilityDecarb[Year],0))</f>
        <v>43.175381249999994</v>
      </c>
      <c r="O63" s="100">
        <f>Table_Perf6[[#This Row],[Natural Gas (kBtu)]]*INDEX(Table_UtilityDecarb[Carbon Intensity (tCO2e/kBtu)],MATCH(O$46,Table_UtilityDecarb[Fuel Type],0))</f>
        <v>166.866309</v>
      </c>
      <c r="P63" s="100">
        <f>Table_Perf6[[#This Row],[Fuel Oil'#2 (kBtu)]]*INDEX(Table_UtilityDecarb[Carbon Intensity (tCO2e/kBtu)],MATCH(P$46,Table_UtilityDecarb[Fuel Type],0))</f>
        <v>0</v>
      </c>
      <c r="Q63" s="100" cm="1">
        <f t="array" ref="Q63">Table_Perf6[[#This Row],[District Steam (kBtu)]]*INDEX(Table_UtilityDecarb[Carbon Intensity (tCO2e/kBtu)],MATCH(Q$46&amp;Table_Perf6[[#This Row],[Year]],Table_UtilityDecarb[Fuel Type]&amp;Table_UtilityDecarb[Year],0))</f>
        <v>0</v>
      </c>
      <c r="R63" s="100" cm="1">
        <f t="array" ref="R63">IF(OR(Table_UtilityInput9[Annual Other Fuel 1
(kBtu)]="",NOT(ISNUMBER(Table_UtilityInput9[Annual Other Fuel 1
(kBtu)]))),0,Table_Perf6[[#This Row],[Other Fuel 1 (kBtu)]]*INDEX(Table_UtilityDecarb[Carbon Intensity (tCO2e/kBtu)],MATCH(R$46,Table_UtilityDecarb[Fuel Type],0)))</f>
        <v>0</v>
      </c>
      <c r="S63" s="100" cm="1">
        <f t="array" ref="S63">IF(OR(Table_UtilityInput9[Annual Other Fuel 2
(kBtu)]="",NOT(ISNUMBER(Table_UtilityInput9[Annual Other Fuel 2
(kBtu)]))),0,Table_Perf6[[#This Row],[Other Fuel 2 (kBtu)]]*INDEX(Table_UtilityDecarb[Carbon Intensity (tCO2e/kBtu)],MATCH(S$46,Table_UtilityDecarb[Fuel Type],0)))</f>
        <v>0</v>
      </c>
      <c r="T63" s="100">
        <f>IF(Table_Perf6[[#This Row],[Year]]&gt;2050,NA(),_xlfn.AGGREGATE(9,6,Table_Perf6[[#This Row],[LL97 Electricity (tCO2e)]:[LL97 Other Fuel 2 (tCO2e)]]))</f>
        <v>210.04169024999999</v>
      </c>
      <c r="U63" s="100">
        <f>IF(Table_Perf6[[#This Row],[Year]]&lt;2035,NA(),INDEX(Table_LimitsCalc_Sample1[Total Limits (tCO2e)],MATCH(Table_Perf6[[#This Row],[Year]],Table_LimitsCalc_Sample1[Year],0)))</f>
        <v>156.55219140000003</v>
      </c>
      <c r="V63" s="100" cm="1">
        <f t="array" ref="V63">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293.57273950000001</v>
      </c>
      <c r="W63" s="100">
        <f>IF(Table_Perf6[[#This Row],[LL97 Emissions Limit (tCO2e)]]="",0,MAX(0,Table_Perf6[[#This Row],[LL97 Business-As-Usual Emissions]]-Table_Perf6[[#This Row],[LL97 Emissions Limit (tCO2e)]]))</f>
        <v>137.02054809999998</v>
      </c>
      <c r="X63" s="100">
        <f>IF(Table_Perf6[[#This Row],[LL97 Emissions Limit (tCO2e)]]="",0,MAX(0,Table_Perf6[[#This Row],[LL97 Emissions After Measures]]-Table_Perf6[[#This Row],[LL97 Emissions Limit (tCO2e)]]))</f>
        <v>53.489498849999961</v>
      </c>
      <c r="Y63" s="100">
        <f>Table_Perf6[[#This Row],[LL97 Business-As-Usual Emissions]]-Table_Perf6[[#This Row],[LL97 Emissions After Measures]]</f>
        <v>83.531049250000024</v>
      </c>
      <c r="Z63" s="102" t="str">
        <f>IF(Table_Perf6[[#This Row],[Year]]&lt;2024,"Not in enforcement period",IF(Table_Perf6[[#This Row],[LL97 Excess Emissions After Measures]]=0,"Compliant","Not-Compliant"))</f>
        <v>Not-Compliant</v>
      </c>
      <c r="AA63" s="104">
        <f>IFERROR(-268*Table_Perf6[[#This Row],[LL97 Excess Emissions After Measures]],0)</f>
        <v>-14335.18569179999</v>
      </c>
      <c r="AB63" s="102">
        <f>IFERROR(268*MIN(Table_Perf6[[#This Row],[LL97 BAU Excess Emissions]],Table_Perf6[[#This Row],[LL97 Emissions Reduced by Measures]]),0)</f>
        <v>22386.321199000005</v>
      </c>
      <c r="AC63" s="105">
        <f>IF(OR(Table_Perf6[[#This Row],[Year]]&lt;2024,Table_Perf6[[#This Row],[Year]]&gt;2050,ISERROR(Table_Perf6[[#This Row],[LL97 Adjusted Penalty After Measures]])),"",Table_Perf6[[#This Row],[LL97 Adjusted Penalty After Measures]])</f>
        <v>-14335.18569179999</v>
      </c>
      <c r="AD63" s="102">
        <f>IF(Table_Perf6[[#This Row],[Year]]&gt;2050,NA(),_xlfn.AGGREGATE(9,6,Table_Perf6[[#This Row],[Measure Cost ($)]],Table_Perf6[[#This Row],[Utility Savings ($)]],Table_Perf6[[#This Row],[LL97 Penalty Avoided by Measures ($)]]))</f>
        <v>65980.321198999998</v>
      </c>
      <c r="AE63" s="102">
        <f>SUM($AD$48:AD63)</f>
        <v>199475.60599499999</v>
      </c>
      <c r="AF63" s="102">
        <f>IF(Table_Perf6[[#This Row],[Year]]&gt;2050,NA(),_xlfn.AGGREGATE(9,6,Table_Perf6[[#This Row],[Measure Cost ($)]],Table_Perf6[[#This Row],[LL97 Adjusted Penalty After Measures]]))</f>
        <v>-14335.18569179999</v>
      </c>
      <c r="AG63" s="106">
        <f>Table_Perf6[[#This Row],[Year]]</f>
        <v>2039</v>
      </c>
      <c r="AH63" s="99">
        <f>COUNTIFS(Table_ECM7[When will the measure installation be complete and operational?],"&lt;="&amp;Table_Perf6[[#This Row],[Yr]],Table_ECM7[Would you like to Include this measure in the decarbonization pathway?],TRUE)</f>
        <v>13</v>
      </c>
      <c r="AI63" s="99" t="str">
        <f>IF(Table_Perf6[[#This Row],[Measure Qty]]=AH62,"",_xlfn.CONCAT(Table_Perf6[[#This Row],[Measure Qty]], " Measures Done"))</f>
        <v/>
      </c>
      <c r="AJ63" s="107" t="e">
        <f>IF(Table_Perf6[[#This Row],[Measure Label]]="",NA(),Table_Perf6[[#This Row],[LL97 Emissions After Measures]])</f>
        <v>#N/A</v>
      </c>
    </row>
    <row r="64" spans="3:36" hidden="1" outlineLevel="1">
      <c r="C64" s="98">
        <v>16</v>
      </c>
      <c r="D64" s="108">
        <f>IF(BaseYr+Table_Perf6[[#This Row],['#]]&gt;EndYr,NA(),BaseYr+Table_Perf6[[#This Row],['#]])</f>
        <v>2040</v>
      </c>
      <c r="E64" s="109" cm="1">
        <f t="array" ref="E64">MAX(0,IF(Table_Perf6[[#This Row],[Year]]=BaseYr,IFERROR(Table_UtilityInput9[Annual Electricity 
(kWh)]*3.412,0),
(E63-3.412*SUMIFS(Table_ECM7[Annual Electricity Savings
(kWh)],Table_ECM7[When will the measure installation be complete and operational?],Table_Perf6[[#This Row],[Year]],Table_ECM7[Would you like to Include this measure in the decarbonization pathway?],TRUE))))</f>
        <v>1944734.2279999999</v>
      </c>
      <c r="F64" s="109" cm="1">
        <f t="array" ref="F64">MAX(0,IF(Table_Perf6[[#This Row],[Year]]=BaseYr,IFERROR(Table_UtilityInput9[Annual Natural Gas  
(therm)]*100,0),
(F63-100*SUMIFS(Table_ECM7[Annual Natural Gas Savings
(therm)],Table_ECM7[When will the measure installation be complete and operational?],Table_Perf6[[#This Row],[Year]],Table_ECM7[Would you like to Include this measure in the decarbonization pathway?],TRUE))))</f>
        <v>713700</v>
      </c>
      <c r="G64" s="109" cm="1">
        <f t="array" ref="G64">MAX(0,IF(Table_Perf6[[#This Row],[Year]]=BaseYr,IFERROR(Table_UtilityInput9[Annual Fuel Oil'#2
(Gallon)]*138,0),
(G63-138*SUMIFS(Table_ECM7[Annual Fuel Oil'#2 Savings
(Gallon)],Table_ECM7[When will the measure installation be complete and operational?],Table_Perf6[[#This Row],[Year]],Table_ECM7[Would you like to Include this measure in the decarbonization pathway?],TRUE))))</f>
        <v>0</v>
      </c>
      <c r="H64" s="109" cm="1">
        <f t="array" ref="H64">MAX(0,IF(Table_Perf6[[#This Row],[Year]]=BaseYr,IFERROR(Table_UtilityInput9[Annual District Steam  
(Mlb for ConEd, kLb for others)]*1194,0),
(H63-1194*SUMIFS(Table_ECM7[Annual District Steam Savings
(Mlb for ConEd, klb for others)],Table_ECM7[When will the measure installation be complete and operational?],Table_Perf6[[#This Row],[Year]],Table_ECM7[Would you like to Include this measure in the decarbonization pathway?],TRUE))))</f>
        <v>0</v>
      </c>
      <c r="I64" s="109" cm="1">
        <f t="array" ref="I64">MAX(0,IF(Table_Perf6[[#This Row],[Year]]=BaseYr,IFERROR(Table_UtilityInput9[Annual Other Fuel 1
(kBtu)],0),
(I63-SUMIFS(Table_ECM7[Annual Other Fuel 1 Savings
(kBtu)],Table_ECM7[When will the measure installation be complete and operational?],Table_Perf6[[#This Row],[Year]],Table_ECM7[Would you like to Include this measure in the decarbonization pathway?],TRUE))))</f>
        <v>0</v>
      </c>
      <c r="J64" s="110" cm="1">
        <f t="array" ref="J64">MAX(0,IF(Table_Perf6[[#This Row],[Year]]=BaseYr,IFERROR(Table_UtilityInput9[Annual Other Fuel 2
(kBtu)],0),
(J63-SUMIFS(Table_ECM7[Annual Other Fuel 2 Savings
(kBtu)],Table_ECM7[When will the measure installation be complete and operational?],Table_Perf6[[#This Row],[Year]],Table_ECM7[Would you like to Include this measure in the decarbonization pathway?],TRUE))))</f>
        <v>0</v>
      </c>
      <c r="K64" s="101">
        <f>-SUMIFS(Table_ECM7[Cost to Install Measures ($)],Table_ECM7[When will the measure installation be complete and operational?],Table_Perf6[[#This Row],[Year]],Table_ECM7[Would you like to Include this measure in the decarbonization pathway?],TRUE)</f>
        <v>-814273</v>
      </c>
      <c r="L64" s="102" cm="1">
        <f t="array" ref="L64">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64" s="103"/>
      <c r="N64" s="100" cm="1">
        <f t="array" ref="N64">Table_Perf6[[#This Row],[Electricity (kBtu)]]*INDEX(Table_UtilityDecarb[Carbon Intensity (tCO2e/kBtu)],MATCH(N$46&amp;Table_Perf6[[#This Row],[Year]],Table_UtilityDecarb[Fuel Type]&amp;Table_UtilityDecarb[Year],0))</f>
        <v>41.3227525</v>
      </c>
      <c r="O64" s="100">
        <f>Table_Perf6[[#This Row],[Natural Gas (kBtu)]]*INDEX(Table_UtilityDecarb[Carbon Intensity (tCO2e/kBtu)],MATCH(O$46,Table_UtilityDecarb[Fuel Type],0))</f>
        <v>37.904606999999999</v>
      </c>
      <c r="P64" s="100">
        <f>Table_Perf6[[#This Row],[Fuel Oil'#2 (kBtu)]]*INDEX(Table_UtilityDecarb[Carbon Intensity (tCO2e/kBtu)],MATCH(P$46,Table_UtilityDecarb[Fuel Type],0))</f>
        <v>0</v>
      </c>
      <c r="Q64" s="100" cm="1">
        <f t="array" ref="Q64">Table_Perf6[[#This Row],[District Steam (kBtu)]]*INDEX(Table_UtilityDecarb[Carbon Intensity (tCO2e/kBtu)],MATCH(Q$46&amp;Table_Perf6[[#This Row],[Year]],Table_UtilityDecarb[Fuel Type]&amp;Table_UtilityDecarb[Year],0))</f>
        <v>0</v>
      </c>
      <c r="R64" s="100" cm="1">
        <f t="array" ref="R64">IF(OR(Table_UtilityInput9[Annual Other Fuel 1
(kBtu)]="",NOT(ISNUMBER(Table_UtilityInput9[Annual Other Fuel 1
(kBtu)]))),0,Table_Perf6[[#This Row],[Other Fuel 1 (kBtu)]]*INDEX(Table_UtilityDecarb[Carbon Intensity (tCO2e/kBtu)],MATCH(R$46,Table_UtilityDecarb[Fuel Type],0)))</f>
        <v>0</v>
      </c>
      <c r="S64" s="100" cm="1">
        <f t="array" ref="S64">IF(OR(Table_UtilityInput9[Annual Other Fuel 2
(kBtu)]="",NOT(ISNUMBER(Table_UtilityInput9[Annual Other Fuel 2
(kBtu)]))),0,Table_Perf6[[#This Row],[Other Fuel 2 (kBtu)]]*INDEX(Table_UtilityDecarb[Carbon Intensity (tCO2e/kBtu)],MATCH(S$46,Table_UtilityDecarb[Fuel Type],0)))</f>
        <v>0</v>
      </c>
      <c r="T64" s="100">
        <f>IF(Table_Perf6[[#This Row],[Year]]&gt;2050,NA(),_xlfn.AGGREGATE(9,6,Table_Perf6[[#This Row],[LL97 Electricity (tCO2e)]:[LL97 Other Fuel 2 (tCO2e)]]))</f>
        <v>79.227359500000006</v>
      </c>
      <c r="U64" s="100">
        <f>IF(Table_Perf6[[#This Row],[Year]]&lt;2035,NA(),INDEX(Table_LimitsCalc_Sample1[Total Limits (tCO2e)],MATCH(Table_Perf6[[#This Row],[Year]],Table_LimitsCalc_Sample1[Year],0)))</f>
        <v>117.39162589999999</v>
      </c>
      <c r="V64" s="100" cm="1">
        <f t="array" ref="V64">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272.52461199999999</v>
      </c>
      <c r="W64" s="100">
        <f>IF(Table_Perf6[[#This Row],[LL97 Emissions Limit (tCO2e)]]="",0,MAX(0,Table_Perf6[[#This Row],[LL97 Business-As-Usual Emissions]]-Table_Perf6[[#This Row],[LL97 Emissions Limit (tCO2e)]]))</f>
        <v>155.13298609999998</v>
      </c>
      <c r="X64" s="100">
        <f>IF(Table_Perf6[[#This Row],[LL97 Emissions Limit (tCO2e)]]="",0,MAX(0,Table_Perf6[[#This Row],[LL97 Emissions After Measures]]-Table_Perf6[[#This Row],[LL97 Emissions Limit (tCO2e)]]))</f>
        <v>0</v>
      </c>
      <c r="Y64" s="100">
        <f>Table_Perf6[[#This Row],[LL97 Business-As-Usual Emissions]]-Table_Perf6[[#This Row],[LL97 Emissions After Measures]]</f>
        <v>193.29725249999998</v>
      </c>
      <c r="Z64" s="102" t="str">
        <f>IF(Table_Perf6[[#This Row],[Year]]&lt;2024,"Not in enforcement period",IF(Table_Perf6[[#This Row],[LL97 Excess Emissions After Measures]]=0,"Compliant","Not-Compliant"))</f>
        <v>Compliant</v>
      </c>
      <c r="AA64" s="104">
        <f>IFERROR(-268*Table_Perf6[[#This Row],[LL97 Excess Emissions After Measures]],0)</f>
        <v>0</v>
      </c>
      <c r="AB64" s="102">
        <f>IFERROR(268*MIN(Table_Perf6[[#This Row],[LL97 BAU Excess Emissions]],Table_Perf6[[#This Row],[LL97 Emissions Reduced by Measures]]),0)</f>
        <v>41575.640274799996</v>
      </c>
      <c r="AC64" s="105">
        <f>IF(OR(Table_Perf6[[#This Row],[Year]]&lt;2024,Table_Perf6[[#This Row],[Year]]&gt;2050,ISERROR(Table_Perf6[[#This Row],[LL97 Adjusted Penalty After Measures]])),"",Table_Perf6[[#This Row],[LL97 Adjusted Penalty After Measures]])</f>
        <v>0</v>
      </c>
      <c r="AD64" s="102">
        <f>IF(Table_Perf6[[#This Row],[Year]]&gt;2050,NA(),_xlfn.AGGREGATE(9,6,Table_Perf6[[#This Row],[Measure Cost ($)]],Table_Perf6[[#This Row],[Utility Savings ($)]],Table_Perf6[[#This Row],[LL97 Penalty Avoided by Measures ($)]]))</f>
        <v>-741355.35972519999</v>
      </c>
      <c r="AE64" s="102">
        <f>SUM($AD$48:AD64)</f>
        <v>-541879.7537302</v>
      </c>
      <c r="AF64" s="102">
        <f>IF(Table_Perf6[[#This Row],[Year]]&gt;2050,NA(),_xlfn.AGGREGATE(9,6,Table_Perf6[[#This Row],[Measure Cost ($)]],Table_Perf6[[#This Row],[LL97 Adjusted Penalty After Measures]]))</f>
        <v>-814273</v>
      </c>
      <c r="AG64" s="106">
        <f>Table_Perf6[[#This Row],[Year]]</f>
        <v>2040</v>
      </c>
      <c r="AH64" s="99">
        <f>COUNTIFS(Table_ECM7[When will the measure installation be complete and operational?],"&lt;="&amp;Table_Perf6[[#This Row],[Yr]],Table_ECM7[Would you like to Include this measure in the decarbonization pathway?],TRUE)</f>
        <v>15</v>
      </c>
      <c r="AI64" s="99" t="str">
        <f>IF(Table_Perf6[[#This Row],[Measure Qty]]=AH63,"",_xlfn.CONCAT(Table_Perf6[[#This Row],[Measure Qty]], " Measures Done"))</f>
        <v>15 Measures Done</v>
      </c>
      <c r="AJ64" s="107">
        <f>IF(Table_Perf6[[#This Row],[Measure Label]]="",NA(),Table_Perf6[[#This Row],[LL97 Emissions After Measures]])</f>
        <v>79.227359500000006</v>
      </c>
    </row>
    <row r="65" spans="2:55" hidden="1" outlineLevel="1">
      <c r="C65" s="98">
        <v>17</v>
      </c>
      <c r="D65" s="108">
        <f>IF(BaseYr+Table_Perf6[[#This Row],['#]]&gt;EndYr,NA(),BaseYr+Table_Perf6[[#This Row],['#]])</f>
        <v>2041</v>
      </c>
      <c r="E65" s="109" cm="1">
        <f t="array" ref="E65">MAX(0,IF(Table_Perf6[[#This Row],[Year]]=BaseYr,IFERROR(Table_UtilityInput9[Annual Electricity 
(kWh)]*3.412,0),
(E64-3.412*SUMIFS(Table_ECM7[Annual Electricity Savings
(kWh)],Table_ECM7[When will the measure installation be complete and operational?],Table_Perf6[[#This Row],[Year]],Table_ECM7[Would you like to Include this measure in the decarbonization pathway?],TRUE))))</f>
        <v>1944734.2279999999</v>
      </c>
      <c r="F65" s="109" cm="1">
        <f t="array" ref="F65">MAX(0,IF(Table_Perf6[[#This Row],[Year]]=BaseYr,IFERROR(Table_UtilityInput9[Annual Natural Gas  
(therm)]*100,0),
(F64-100*SUMIFS(Table_ECM7[Annual Natural Gas Savings
(therm)],Table_ECM7[When will the measure installation be complete and operational?],Table_Perf6[[#This Row],[Year]],Table_ECM7[Would you like to Include this measure in the decarbonization pathway?],TRUE))))</f>
        <v>713700</v>
      </c>
      <c r="G65" s="109" cm="1">
        <f t="array" ref="G65">MAX(0,IF(Table_Perf6[[#This Row],[Year]]=BaseYr,IFERROR(Table_UtilityInput9[Annual Fuel Oil'#2
(Gallon)]*138,0),
(G64-138*SUMIFS(Table_ECM7[Annual Fuel Oil'#2 Savings
(Gallon)],Table_ECM7[When will the measure installation be complete and operational?],Table_Perf6[[#This Row],[Year]],Table_ECM7[Would you like to Include this measure in the decarbonization pathway?],TRUE))))</f>
        <v>0</v>
      </c>
      <c r="H65" s="109" cm="1">
        <f t="array" ref="H65">MAX(0,IF(Table_Perf6[[#This Row],[Year]]=BaseYr,IFERROR(Table_UtilityInput9[Annual District Steam  
(Mlb for ConEd, kLb for others)]*1194,0),
(H64-1194*SUMIFS(Table_ECM7[Annual District Steam Savings
(Mlb for ConEd, klb for others)],Table_ECM7[When will the measure installation be complete and operational?],Table_Perf6[[#This Row],[Year]],Table_ECM7[Would you like to Include this measure in the decarbonization pathway?],TRUE))))</f>
        <v>0</v>
      </c>
      <c r="I65" s="109" cm="1">
        <f t="array" ref="I65">MAX(0,IF(Table_Perf6[[#This Row],[Year]]=BaseYr,IFERROR(Table_UtilityInput9[Annual Other Fuel 1
(kBtu)],0),
(I64-SUMIFS(Table_ECM7[Annual Other Fuel 1 Savings
(kBtu)],Table_ECM7[When will the measure installation be complete and operational?],Table_Perf6[[#This Row],[Year]],Table_ECM7[Would you like to Include this measure in the decarbonization pathway?],TRUE))))</f>
        <v>0</v>
      </c>
      <c r="J65" s="110" cm="1">
        <f t="array" ref="J65">MAX(0,IF(Table_Perf6[[#This Row],[Year]]=BaseYr,IFERROR(Table_UtilityInput9[Annual Other Fuel 2
(kBtu)],0),
(J64-SUMIFS(Table_ECM7[Annual Other Fuel 2 Savings
(kBtu)],Table_ECM7[When will the measure installation be complete and operational?],Table_Perf6[[#This Row],[Year]],Table_ECM7[Would you like to Include this measure in the decarbonization pathway?],TRUE))))</f>
        <v>0</v>
      </c>
      <c r="K65" s="101">
        <f>-SUMIFS(Table_ECM7[Cost to Install Measures ($)],Table_ECM7[When will the measure installation be complete and operational?],Table_Perf6[[#This Row],[Year]],Table_ECM7[Would you like to Include this measure in the decarbonization pathway?],TRUE)</f>
        <v>0</v>
      </c>
      <c r="L65" s="102" cm="1">
        <f t="array" ref="L65">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65" s="103"/>
      <c r="N65" s="100" cm="1">
        <f t="array" ref="N65">Table_Perf6[[#This Row],[Electricity (kBtu)]]*INDEX(Table_UtilityDecarb[Carbon Intensity (tCO2e/kBtu)],MATCH(N$46&amp;Table_Perf6[[#This Row],[Year]],Table_UtilityDecarb[Fuel Type]&amp;Table_UtilityDecarb[Year],0))</f>
        <v>41.3227525</v>
      </c>
      <c r="O65" s="100">
        <f>Table_Perf6[[#This Row],[Natural Gas (kBtu)]]*INDEX(Table_UtilityDecarb[Carbon Intensity (tCO2e/kBtu)],MATCH(O$46,Table_UtilityDecarb[Fuel Type],0))</f>
        <v>37.904606999999999</v>
      </c>
      <c r="P65" s="100">
        <f>Table_Perf6[[#This Row],[Fuel Oil'#2 (kBtu)]]*INDEX(Table_UtilityDecarb[Carbon Intensity (tCO2e/kBtu)],MATCH(P$46,Table_UtilityDecarb[Fuel Type],0))</f>
        <v>0</v>
      </c>
      <c r="Q65" s="100" cm="1">
        <f t="array" ref="Q65">Table_Perf6[[#This Row],[District Steam (kBtu)]]*INDEX(Table_UtilityDecarb[Carbon Intensity (tCO2e/kBtu)],MATCH(Q$46&amp;Table_Perf6[[#This Row],[Year]],Table_UtilityDecarb[Fuel Type]&amp;Table_UtilityDecarb[Year],0))</f>
        <v>0</v>
      </c>
      <c r="R65" s="100" cm="1">
        <f t="array" ref="R65">IF(OR(Table_UtilityInput9[Annual Other Fuel 1
(kBtu)]="",NOT(ISNUMBER(Table_UtilityInput9[Annual Other Fuel 1
(kBtu)]))),0,Table_Perf6[[#This Row],[Other Fuel 1 (kBtu)]]*INDEX(Table_UtilityDecarb[Carbon Intensity (tCO2e/kBtu)],MATCH(R$46,Table_UtilityDecarb[Fuel Type],0)))</f>
        <v>0</v>
      </c>
      <c r="S65" s="100" cm="1">
        <f t="array" ref="S65">IF(OR(Table_UtilityInput9[Annual Other Fuel 2
(kBtu)]="",NOT(ISNUMBER(Table_UtilityInput9[Annual Other Fuel 2
(kBtu)]))),0,Table_Perf6[[#This Row],[Other Fuel 2 (kBtu)]]*INDEX(Table_UtilityDecarb[Carbon Intensity (tCO2e/kBtu)],MATCH(S$46,Table_UtilityDecarb[Fuel Type],0)))</f>
        <v>0</v>
      </c>
      <c r="T65" s="100">
        <f>IF(Table_Perf6[[#This Row],[Year]]&gt;2050,NA(),_xlfn.AGGREGATE(9,6,Table_Perf6[[#This Row],[LL97 Electricity (tCO2e)]:[LL97 Other Fuel 2 (tCO2e)]]))</f>
        <v>79.227359500000006</v>
      </c>
      <c r="U65" s="100">
        <f>IF(Table_Perf6[[#This Row],[Year]]&lt;2035,NA(),INDEX(Table_LimitsCalc_Sample1[Total Limits (tCO2e)],MATCH(Table_Perf6[[#This Row],[Year]],Table_LimitsCalc_Sample1[Year],0)))</f>
        <v>117.39162589999999</v>
      </c>
      <c r="V65" s="100" cm="1">
        <f t="array" ref="V65">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272.52461199999999</v>
      </c>
      <c r="W65" s="100">
        <f>IF(Table_Perf6[[#This Row],[LL97 Emissions Limit (tCO2e)]]="",0,MAX(0,Table_Perf6[[#This Row],[LL97 Business-As-Usual Emissions]]-Table_Perf6[[#This Row],[LL97 Emissions Limit (tCO2e)]]))</f>
        <v>155.13298609999998</v>
      </c>
      <c r="X65" s="100">
        <f>IF(Table_Perf6[[#This Row],[LL97 Emissions Limit (tCO2e)]]="",0,MAX(0,Table_Perf6[[#This Row],[LL97 Emissions After Measures]]-Table_Perf6[[#This Row],[LL97 Emissions Limit (tCO2e)]]))</f>
        <v>0</v>
      </c>
      <c r="Y65" s="100">
        <f>Table_Perf6[[#This Row],[LL97 Business-As-Usual Emissions]]-Table_Perf6[[#This Row],[LL97 Emissions After Measures]]</f>
        <v>193.29725249999998</v>
      </c>
      <c r="Z65" s="102" t="str">
        <f>IF(Table_Perf6[[#This Row],[Year]]&lt;2024,"Not in enforcement period",IF(Table_Perf6[[#This Row],[LL97 Excess Emissions After Measures]]=0,"Compliant","Not-Compliant"))</f>
        <v>Compliant</v>
      </c>
      <c r="AA65" s="104">
        <f>IFERROR(-268*Table_Perf6[[#This Row],[LL97 Excess Emissions After Measures]],0)</f>
        <v>0</v>
      </c>
      <c r="AB65" s="102">
        <f>IFERROR(268*MIN(Table_Perf6[[#This Row],[LL97 BAU Excess Emissions]],Table_Perf6[[#This Row],[LL97 Emissions Reduced by Measures]]),0)</f>
        <v>41575.640274799996</v>
      </c>
      <c r="AC65" s="105">
        <f>IF(OR(Table_Perf6[[#This Row],[Year]]&lt;2024,Table_Perf6[[#This Row],[Year]]&gt;2050,ISERROR(Table_Perf6[[#This Row],[LL97 Adjusted Penalty After Measures]])),"",Table_Perf6[[#This Row],[LL97 Adjusted Penalty After Measures]])</f>
        <v>0</v>
      </c>
      <c r="AD65" s="102">
        <f>IF(Table_Perf6[[#This Row],[Year]]&gt;2050,NA(),_xlfn.AGGREGATE(9,6,Table_Perf6[[#This Row],[Measure Cost ($)]],Table_Perf6[[#This Row],[Utility Savings ($)]],Table_Perf6[[#This Row],[LL97 Penalty Avoided by Measures ($)]]))</f>
        <v>72917.640274799996</v>
      </c>
      <c r="AE65" s="102">
        <f>SUM($AD$48:AD65)</f>
        <v>-468962.11345539999</v>
      </c>
      <c r="AF65" s="102">
        <f>IF(Table_Perf6[[#This Row],[Year]]&gt;2050,NA(),_xlfn.AGGREGATE(9,6,Table_Perf6[[#This Row],[Measure Cost ($)]],Table_Perf6[[#This Row],[LL97 Adjusted Penalty After Measures]]))</f>
        <v>0</v>
      </c>
      <c r="AG65" s="106">
        <f>Table_Perf6[[#This Row],[Year]]</f>
        <v>2041</v>
      </c>
      <c r="AH65" s="99">
        <f>COUNTIFS(Table_ECM7[When will the measure installation be complete and operational?],"&lt;="&amp;Table_Perf6[[#This Row],[Yr]],Table_ECM7[Would you like to Include this measure in the decarbonization pathway?],TRUE)</f>
        <v>15</v>
      </c>
      <c r="AI65" s="99" t="str">
        <f>IF(Table_Perf6[[#This Row],[Measure Qty]]=AH64,"",_xlfn.CONCAT(Table_Perf6[[#This Row],[Measure Qty]], " Measures Done"))</f>
        <v/>
      </c>
      <c r="AJ65" s="107" t="e">
        <f>IF(Table_Perf6[[#This Row],[Measure Label]]="",NA(),Table_Perf6[[#This Row],[LL97 Emissions After Measures]])</f>
        <v>#N/A</v>
      </c>
    </row>
    <row r="66" spans="2:55" hidden="1" outlineLevel="1">
      <c r="C66" s="98">
        <v>18</v>
      </c>
      <c r="D66" s="108">
        <f>IF(BaseYr+Table_Perf6[[#This Row],['#]]&gt;EndYr,NA(),BaseYr+Table_Perf6[[#This Row],['#]])</f>
        <v>2042</v>
      </c>
      <c r="E66" s="109" cm="1">
        <f t="array" ref="E66">MAX(0,IF(Table_Perf6[[#This Row],[Year]]=BaseYr,IFERROR(Table_UtilityInput9[Annual Electricity 
(kWh)]*3.412,0),
(E65-3.412*SUMIFS(Table_ECM7[Annual Electricity Savings
(kWh)],Table_ECM7[When will the measure installation be complete and operational?],Table_Perf6[[#This Row],[Year]],Table_ECM7[Would you like to Include this measure in the decarbonization pathway?],TRUE))))</f>
        <v>1944734.2279999999</v>
      </c>
      <c r="F66" s="109" cm="1">
        <f t="array" ref="F66">MAX(0,IF(Table_Perf6[[#This Row],[Year]]=BaseYr,IFERROR(Table_UtilityInput9[Annual Natural Gas  
(therm)]*100,0),
(F65-100*SUMIFS(Table_ECM7[Annual Natural Gas Savings
(therm)],Table_ECM7[When will the measure installation be complete and operational?],Table_Perf6[[#This Row],[Year]],Table_ECM7[Would you like to Include this measure in the decarbonization pathway?],TRUE))))</f>
        <v>713700</v>
      </c>
      <c r="G66" s="109" cm="1">
        <f t="array" ref="G66">MAX(0,IF(Table_Perf6[[#This Row],[Year]]=BaseYr,IFERROR(Table_UtilityInput9[Annual Fuel Oil'#2
(Gallon)]*138,0),
(G65-138*SUMIFS(Table_ECM7[Annual Fuel Oil'#2 Savings
(Gallon)],Table_ECM7[When will the measure installation be complete and operational?],Table_Perf6[[#This Row],[Year]],Table_ECM7[Would you like to Include this measure in the decarbonization pathway?],TRUE))))</f>
        <v>0</v>
      </c>
      <c r="H66" s="109" cm="1">
        <f t="array" ref="H66">MAX(0,IF(Table_Perf6[[#This Row],[Year]]=BaseYr,IFERROR(Table_UtilityInput9[Annual District Steam  
(Mlb for ConEd, kLb for others)]*1194,0),
(H65-1194*SUMIFS(Table_ECM7[Annual District Steam Savings
(Mlb for ConEd, klb for others)],Table_ECM7[When will the measure installation be complete and operational?],Table_Perf6[[#This Row],[Year]],Table_ECM7[Would you like to Include this measure in the decarbonization pathway?],TRUE))))</f>
        <v>0</v>
      </c>
      <c r="I66" s="109" cm="1">
        <f t="array" ref="I66">MAX(0,IF(Table_Perf6[[#This Row],[Year]]=BaseYr,IFERROR(Table_UtilityInput9[Annual Other Fuel 1
(kBtu)],0),
(I65-SUMIFS(Table_ECM7[Annual Other Fuel 1 Savings
(kBtu)],Table_ECM7[When will the measure installation be complete and operational?],Table_Perf6[[#This Row],[Year]],Table_ECM7[Would you like to Include this measure in the decarbonization pathway?],TRUE))))</f>
        <v>0</v>
      </c>
      <c r="J66" s="110" cm="1">
        <f t="array" ref="J66">MAX(0,IF(Table_Perf6[[#This Row],[Year]]=BaseYr,IFERROR(Table_UtilityInput9[Annual Other Fuel 2
(kBtu)],0),
(J65-SUMIFS(Table_ECM7[Annual Other Fuel 2 Savings
(kBtu)],Table_ECM7[When will the measure installation be complete and operational?],Table_Perf6[[#This Row],[Year]],Table_ECM7[Would you like to Include this measure in the decarbonization pathway?],TRUE))))</f>
        <v>0</v>
      </c>
      <c r="K66" s="101">
        <f>-SUMIFS(Table_ECM7[Cost to Install Measures ($)],Table_ECM7[When will the measure installation be complete and operational?],Table_Perf6[[#This Row],[Year]],Table_ECM7[Would you like to Include this measure in the decarbonization pathway?],TRUE)</f>
        <v>0</v>
      </c>
      <c r="L66" s="102" cm="1">
        <f t="array" ref="L66">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66" s="103"/>
      <c r="N66" s="100" cm="1">
        <f t="array" ref="N66">Table_Perf6[[#This Row],[Electricity (kBtu)]]*INDEX(Table_UtilityDecarb[Carbon Intensity (tCO2e/kBtu)],MATCH(N$46&amp;Table_Perf6[[#This Row],[Year]],Table_UtilityDecarb[Fuel Type]&amp;Table_UtilityDecarb[Year],0))</f>
        <v>41.3227525</v>
      </c>
      <c r="O66" s="100">
        <f>Table_Perf6[[#This Row],[Natural Gas (kBtu)]]*INDEX(Table_UtilityDecarb[Carbon Intensity (tCO2e/kBtu)],MATCH(O$46,Table_UtilityDecarb[Fuel Type],0))</f>
        <v>37.904606999999999</v>
      </c>
      <c r="P66" s="100">
        <f>Table_Perf6[[#This Row],[Fuel Oil'#2 (kBtu)]]*INDEX(Table_UtilityDecarb[Carbon Intensity (tCO2e/kBtu)],MATCH(P$46,Table_UtilityDecarb[Fuel Type],0))</f>
        <v>0</v>
      </c>
      <c r="Q66" s="100" cm="1">
        <f t="array" ref="Q66">Table_Perf6[[#This Row],[District Steam (kBtu)]]*INDEX(Table_UtilityDecarb[Carbon Intensity (tCO2e/kBtu)],MATCH(Q$46&amp;Table_Perf6[[#This Row],[Year]],Table_UtilityDecarb[Fuel Type]&amp;Table_UtilityDecarb[Year],0))</f>
        <v>0</v>
      </c>
      <c r="R66" s="100" cm="1">
        <f t="array" ref="R66">IF(OR(Table_UtilityInput9[Annual Other Fuel 1
(kBtu)]="",NOT(ISNUMBER(Table_UtilityInput9[Annual Other Fuel 1
(kBtu)]))),0,Table_Perf6[[#This Row],[Other Fuel 1 (kBtu)]]*INDEX(Table_UtilityDecarb[Carbon Intensity (tCO2e/kBtu)],MATCH(R$46,Table_UtilityDecarb[Fuel Type],0)))</f>
        <v>0</v>
      </c>
      <c r="S66" s="100" cm="1">
        <f t="array" ref="S66">IF(OR(Table_UtilityInput9[Annual Other Fuel 2
(kBtu)]="",NOT(ISNUMBER(Table_UtilityInput9[Annual Other Fuel 2
(kBtu)]))),0,Table_Perf6[[#This Row],[Other Fuel 2 (kBtu)]]*INDEX(Table_UtilityDecarb[Carbon Intensity (tCO2e/kBtu)],MATCH(S$46,Table_UtilityDecarb[Fuel Type],0)))</f>
        <v>0</v>
      </c>
      <c r="T66" s="100">
        <f>IF(Table_Perf6[[#This Row],[Year]]&gt;2050,NA(),_xlfn.AGGREGATE(9,6,Table_Perf6[[#This Row],[LL97 Electricity (tCO2e)]:[LL97 Other Fuel 2 (tCO2e)]]))</f>
        <v>79.227359500000006</v>
      </c>
      <c r="U66" s="100">
        <f>IF(Table_Perf6[[#This Row],[Year]]&lt;2035,NA(),INDEX(Table_LimitsCalc_Sample1[Total Limits (tCO2e)],MATCH(Table_Perf6[[#This Row],[Year]],Table_LimitsCalc_Sample1[Year],0)))</f>
        <v>117.39162589999999</v>
      </c>
      <c r="V66" s="100" cm="1">
        <f t="array" ref="V66">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272.52461199999999</v>
      </c>
      <c r="W66" s="100">
        <f>IF(Table_Perf6[[#This Row],[LL97 Emissions Limit (tCO2e)]]="",0,MAX(0,Table_Perf6[[#This Row],[LL97 Business-As-Usual Emissions]]-Table_Perf6[[#This Row],[LL97 Emissions Limit (tCO2e)]]))</f>
        <v>155.13298609999998</v>
      </c>
      <c r="X66" s="100">
        <f>IF(Table_Perf6[[#This Row],[LL97 Emissions Limit (tCO2e)]]="",0,MAX(0,Table_Perf6[[#This Row],[LL97 Emissions After Measures]]-Table_Perf6[[#This Row],[LL97 Emissions Limit (tCO2e)]]))</f>
        <v>0</v>
      </c>
      <c r="Y66" s="100">
        <f>Table_Perf6[[#This Row],[LL97 Business-As-Usual Emissions]]-Table_Perf6[[#This Row],[LL97 Emissions After Measures]]</f>
        <v>193.29725249999998</v>
      </c>
      <c r="Z66" s="102" t="str">
        <f>IF(Table_Perf6[[#This Row],[Year]]&lt;2024,"Not in enforcement period",IF(Table_Perf6[[#This Row],[LL97 Excess Emissions After Measures]]=0,"Compliant","Not-Compliant"))</f>
        <v>Compliant</v>
      </c>
      <c r="AA66" s="104">
        <f>IFERROR(-268*Table_Perf6[[#This Row],[LL97 Excess Emissions After Measures]],0)</f>
        <v>0</v>
      </c>
      <c r="AB66" s="102">
        <f>IFERROR(268*MIN(Table_Perf6[[#This Row],[LL97 BAU Excess Emissions]],Table_Perf6[[#This Row],[LL97 Emissions Reduced by Measures]]),0)</f>
        <v>41575.640274799996</v>
      </c>
      <c r="AC66" s="105">
        <f>IF(OR(Table_Perf6[[#This Row],[Year]]&lt;2024,Table_Perf6[[#This Row],[Year]]&gt;2050,ISERROR(Table_Perf6[[#This Row],[LL97 Adjusted Penalty After Measures]])),"",Table_Perf6[[#This Row],[LL97 Adjusted Penalty After Measures]])</f>
        <v>0</v>
      </c>
      <c r="AD66" s="102">
        <f>IF(Table_Perf6[[#This Row],[Year]]&gt;2050,NA(),_xlfn.AGGREGATE(9,6,Table_Perf6[[#This Row],[Measure Cost ($)]],Table_Perf6[[#This Row],[Utility Savings ($)]],Table_Perf6[[#This Row],[LL97 Penalty Avoided by Measures ($)]]))</f>
        <v>72917.640274799996</v>
      </c>
      <c r="AE66" s="102">
        <f>SUM($AD$48:AD66)</f>
        <v>-396044.47318059998</v>
      </c>
      <c r="AF66" s="102">
        <f>IF(Table_Perf6[[#This Row],[Year]]&gt;2050,NA(),_xlfn.AGGREGATE(9,6,Table_Perf6[[#This Row],[Measure Cost ($)]],Table_Perf6[[#This Row],[LL97 Adjusted Penalty After Measures]]))</f>
        <v>0</v>
      </c>
      <c r="AG66" s="106">
        <f>Table_Perf6[[#This Row],[Year]]</f>
        <v>2042</v>
      </c>
      <c r="AH66" s="99">
        <f>COUNTIFS(Table_ECM7[When will the measure installation be complete and operational?],"&lt;="&amp;Table_Perf6[[#This Row],[Yr]],Table_ECM7[Would you like to Include this measure in the decarbonization pathway?],TRUE)</f>
        <v>15</v>
      </c>
      <c r="AI66" s="99" t="str">
        <f>IF(Table_Perf6[[#This Row],[Measure Qty]]=AH65,"",_xlfn.CONCAT(Table_Perf6[[#This Row],[Measure Qty]], " Measures Done"))</f>
        <v/>
      </c>
      <c r="AJ66" s="107" t="e">
        <f>IF(Table_Perf6[[#This Row],[Measure Label]]="",NA(),Table_Perf6[[#This Row],[LL97 Emissions After Measures]])</f>
        <v>#N/A</v>
      </c>
    </row>
    <row r="67" spans="2:55" hidden="1" outlineLevel="1">
      <c r="C67" s="98">
        <v>19</v>
      </c>
      <c r="D67" s="108">
        <f>IF(BaseYr+Table_Perf6[[#This Row],['#]]&gt;EndYr,NA(),BaseYr+Table_Perf6[[#This Row],['#]])</f>
        <v>2043</v>
      </c>
      <c r="E67" s="109" cm="1">
        <f t="array" ref="E67">MAX(0,IF(Table_Perf6[[#This Row],[Year]]=BaseYr,IFERROR(Table_UtilityInput9[Annual Electricity 
(kWh)]*3.412,0),
(E66-3.412*SUMIFS(Table_ECM7[Annual Electricity Savings
(kWh)],Table_ECM7[When will the measure installation be complete and operational?],Table_Perf6[[#This Row],[Year]],Table_ECM7[Would you like to Include this measure in the decarbonization pathway?],TRUE))))</f>
        <v>1944734.2279999999</v>
      </c>
      <c r="F67" s="109" cm="1">
        <f t="array" ref="F67">MAX(0,IF(Table_Perf6[[#This Row],[Year]]=BaseYr,IFERROR(Table_UtilityInput9[Annual Natural Gas  
(therm)]*100,0),
(F66-100*SUMIFS(Table_ECM7[Annual Natural Gas Savings
(therm)],Table_ECM7[When will the measure installation be complete and operational?],Table_Perf6[[#This Row],[Year]],Table_ECM7[Would you like to Include this measure in the decarbonization pathway?],TRUE))))</f>
        <v>713700</v>
      </c>
      <c r="G67" s="109" cm="1">
        <f t="array" ref="G67">MAX(0,IF(Table_Perf6[[#This Row],[Year]]=BaseYr,IFERROR(Table_UtilityInput9[Annual Fuel Oil'#2
(Gallon)]*138,0),
(G66-138*SUMIFS(Table_ECM7[Annual Fuel Oil'#2 Savings
(Gallon)],Table_ECM7[When will the measure installation be complete and operational?],Table_Perf6[[#This Row],[Year]],Table_ECM7[Would you like to Include this measure in the decarbonization pathway?],TRUE))))</f>
        <v>0</v>
      </c>
      <c r="H67" s="109" cm="1">
        <f t="array" ref="H67">MAX(0,IF(Table_Perf6[[#This Row],[Year]]=BaseYr,IFERROR(Table_UtilityInput9[Annual District Steam  
(Mlb for ConEd, kLb for others)]*1194,0),
(H66-1194*SUMIFS(Table_ECM7[Annual District Steam Savings
(Mlb for ConEd, klb for others)],Table_ECM7[When will the measure installation be complete and operational?],Table_Perf6[[#This Row],[Year]],Table_ECM7[Would you like to Include this measure in the decarbonization pathway?],TRUE))))</f>
        <v>0</v>
      </c>
      <c r="I67" s="109" cm="1">
        <f t="array" ref="I67">MAX(0,IF(Table_Perf6[[#This Row],[Year]]=BaseYr,IFERROR(Table_UtilityInput9[Annual Other Fuel 1
(kBtu)],0),
(I66-SUMIFS(Table_ECM7[Annual Other Fuel 1 Savings
(kBtu)],Table_ECM7[When will the measure installation be complete and operational?],Table_Perf6[[#This Row],[Year]],Table_ECM7[Would you like to Include this measure in the decarbonization pathway?],TRUE))))</f>
        <v>0</v>
      </c>
      <c r="J67" s="110" cm="1">
        <f t="array" ref="J67">MAX(0,IF(Table_Perf6[[#This Row],[Year]]=BaseYr,IFERROR(Table_UtilityInput9[Annual Other Fuel 2
(kBtu)],0),
(J66-SUMIFS(Table_ECM7[Annual Other Fuel 2 Savings
(kBtu)],Table_ECM7[When will the measure installation be complete and operational?],Table_Perf6[[#This Row],[Year]],Table_ECM7[Would you like to Include this measure in the decarbonization pathway?],TRUE))))</f>
        <v>0</v>
      </c>
      <c r="K67" s="101">
        <f>-SUMIFS(Table_ECM7[Cost to Install Measures ($)],Table_ECM7[When will the measure installation be complete and operational?],Table_Perf6[[#This Row],[Year]],Table_ECM7[Would you like to Include this measure in the decarbonization pathway?],TRUE)</f>
        <v>0</v>
      </c>
      <c r="L67" s="102" cm="1">
        <f t="array" ref="L67">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67" s="103"/>
      <c r="N67" s="100" cm="1">
        <f t="array" ref="N67">Table_Perf6[[#This Row],[Electricity (kBtu)]]*INDEX(Table_UtilityDecarb[Carbon Intensity (tCO2e/kBtu)],MATCH(N$46&amp;Table_Perf6[[#This Row],[Year]],Table_UtilityDecarb[Fuel Type]&amp;Table_UtilityDecarb[Year],0))</f>
        <v>41.3227525</v>
      </c>
      <c r="O67" s="100">
        <f>Table_Perf6[[#This Row],[Natural Gas (kBtu)]]*INDEX(Table_UtilityDecarb[Carbon Intensity (tCO2e/kBtu)],MATCH(O$46,Table_UtilityDecarb[Fuel Type],0))</f>
        <v>37.904606999999999</v>
      </c>
      <c r="P67" s="100">
        <f>Table_Perf6[[#This Row],[Fuel Oil'#2 (kBtu)]]*INDEX(Table_UtilityDecarb[Carbon Intensity (tCO2e/kBtu)],MATCH(P$46,Table_UtilityDecarb[Fuel Type],0))</f>
        <v>0</v>
      </c>
      <c r="Q67" s="100" cm="1">
        <f t="array" ref="Q67">Table_Perf6[[#This Row],[District Steam (kBtu)]]*INDEX(Table_UtilityDecarb[Carbon Intensity (tCO2e/kBtu)],MATCH(Q$46&amp;Table_Perf6[[#This Row],[Year]],Table_UtilityDecarb[Fuel Type]&amp;Table_UtilityDecarb[Year],0))</f>
        <v>0</v>
      </c>
      <c r="R67" s="100" cm="1">
        <f t="array" ref="R67">IF(OR(Table_UtilityInput9[Annual Other Fuel 1
(kBtu)]="",NOT(ISNUMBER(Table_UtilityInput9[Annual Other Fuel 1
(kBtu)]))),0,Table_Perf6[[#This Row],[Other Fuel 1 (kBtu)]]*INDEX(Table_UtilityDecarb[Carbon Intensity (tCO2e/kBtu)],MATCH(R$46,Table_UtilityDecarb[Fuel Type],0)))</f>
        <v>0</v>
      </c>
      <c r="S67" s="100" cm="1">
        <f t="array" ref="S67">IF(OR(Table_UtilityInput9[Annual Other Fuel 2
(kBtu)]="",NOT(ISNUMBER(Table_UtilityInput9[Annual Other Fuel 2
(kBtu)]))),0,Table_Perf6[[#This Row],[Other Fuel 2 (kBtu)]]*INDEX(Table_UtilityDecarb[Carbon Intensity (tCO2e/kBtu)],MATCH(S$46,Table_UtilityDecarb[Fuel Type],0)))</f>
        <v>0</v>
      </c>
      <c r="T67" s="100">
        <f>IF(Table_Perf6[[#This Row],[Year]]&gt;2050,NA(),_xlfn.AGGREGATE(9,6,Table_Perf6[[#This Row],[LL97 Electricity (tCO2e)]:[LL97 Other Fuel 2 (tCO2e)]]))</f>
        <v>79.227359500000006</v>
      </c>
      <c r="U67" s="100">
        <f>IF(Table_Perf6[[#This Row],[Year]]&lt;2035,NA(),INDEX(Table_LimitsCalc_Sample1[Total Limits (tCO2e)],MATCH(Table_Perf6[[#This Row],[Year]],Table_LimitsCalc_Sample1[Year],0)))</f>
        <v>117.39162589999999</v>
      </c>
      <c r="V67" s="100" cm="1">
        <f t="array" ref="V67">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272.52461199999999</v>
      </c>
      <c r="W67" s="100">
        <f>IF(Table_Perf6[[#This Row],[LL97 Emissions Limit (tCO2e)]]="",0,MAX(0,Table_Perf6[[#This Row],[LL97 Business-As-Usual Emissions]]-Table_Perf6[[#This Row],[LL97 Emissions Limit (tCO2e)]]))</f>
        <v>155.13298609999998</v>
      </c>
      <c r="X67" s="100">
        <f>IF(Table_Perf6[[#This Row],[LL97 Emissions Limit (tCO2e)]]="",0,MAX(0,Table_Perf6[[#This Row],[LL97 Emissions After Measures]]-Table_Perf6[[#This Row],[LL97 Emissions Limit (tCO2e)]]))</f>
        <v>0</v>
      </c>
      <c r="Y67" s="100">
        <f>Table_Perf6[[#This Row],[LL97 Business-As-Usual Emissions]]-Table_Perf6[[#This Row],[LL97 Emissions After Measures]]</f>
        <v>193.29725249999998</v>
      </c>
      <c r="Z67" s="102" t="str">
        <f>IF(Table_Perf6[[#This Row],[Year]]&lt;2024,"Not in enforcement period",IF(Table_Perf6[[#This Row],[LL97 Excess Emissions After Measures]]=0,"Compliant","Not-Compliant"))</f>
        <v>Compliant</v>
      </c>
      <c r="AA67" s="104">
        <f>IFERROR(-268*Table_Perf6[[#This Row],[LL97 Excess Emissions After Measures]],0)</f>
        <v>0</v>
      </c>
      <c r="AB67" s="102">
        <f>IFERROR(268*MIN(Table_Perf6[[#This Row],[LL97 BAU Excess Emissions]],Table_Perf6[[#This Row],[LL97 Emissions Reduced by Measures]]),0)</f>
        <v>41575.640274799996</v>
      </c>
      <c r="AC67" s="105">
        <f>IF(OR(Table_Perf6[[#This Row],[Year]]&lt;2024,Table_Perf6[[#This Row],[Year]]&gt;2050,ISERROR(Table_Perf6[[#This Row],[LL97 Adjusted Penalty After Measures]])),"",Table_Perf6[[#This Row],[LL97 Adjusted Penalty After Measures]])</f>
        <v>0</v>
      </c>
      <c r="AD67" s="102">
        <f>IF(Table_Perf6[[#This Row],[Year]]&gt;2050,NA(),_xlfn.AGGREGATE(9,6,Table_Perf6[[#This Row],[Measure Cost ($)]],Table_Perf6[[#This Row],[Utility Savings ($)]],Table_Perf6[[#This Row],[LL97 Penalty Avoided by Measures ($)]]))</f>
        <v>72917.640274799996</v>
      </c>
      <c r="AE67" s="102">
        <f>SUM($AD$48:AD67)</f>
        <v>-323126.83290579997</v>
      </c>
      <c r="AF67" s="102">
        <f>IF(Table_Perf6[[#This Row],[Year]]&gt;2050,NA(),_xlfn.AGGREGATE(9,6,Table_Perf6[[#This Row],[Measure Cost ($)]],Table_Perf6[[#This Row],[LL97 Adjusted Penalty After Measures]]))</f>
        <v>0</v>
      </c>
      <c r="AG67" s="106">
        <f>Table_Perf6[[#This Row],[Year]]</f>
        <v>2043</v>
      </c>
      <c r="AH67" s="99">
        <f>COUNTIFS(Table_ECM7[When will the measure installation be complete and operational?],"&lt;="&amp;Table_Perf6[[#This Row],[Yr]],Table_ECM7[Would you like to Include this measure in the decarbonization pathway?],TRUE)</f>
        <v>15</v>
      </c>
      <c r="AI67" s="99" t="str">
        <f>IF(Table_Perf6[[#This Row],[Measure Qty]]=AH66,"",_xlfn.CONCAT(Table_Perf6[[#This Row],[Measure Qty]], " Measures Done"))</f>
        <v/>
      </c>
      <c r="AJ67" s="107" t="e">
        <f>IF(Table_Perf6[[#This Row],[Measure Label]]="",NA(),Table_Perf6[[#This Row],[LL97 Emissions After Measures]])</f>
        <v>#N/A</v>
      </c>
    </row>
    <row r="68" spans="2:55" hidden="1" outlineLevel="1">
      <c r="C68" s="98">
        <v>20</v>
      </c>
      <c r="D68" s="108">
        <f>IF(BaseYr+Table_Perf6[[#This Row],['#]]&gt;EndYr,NA(),BaseYr+Table_Perf6[[#This Row],['#]])</f>
        <v>2044</v>
      </c>
      <c r="E68" s="109" cm="1">
        <f t="array" ref="E68">MAX(0,IF(Table_Perf6[[#This Row],[Year]]=BaseYr,IFERROR(Table_UtilityInput9[Annual Electricity 
(kWh)]*3.412,0),
(E67-3.412*SUMIFS(Table_ECM7[Annual Electricity Savings
(kWh)],Table_ECM7[When will the measure installation be complete and operational?],Table_Perf6[[#This Row],[Year]],Table_ECM7[Would you like to Include this measure in the decarbonization pathway?],TRUE))))</f>
        <v>1944734.2279999999</v>
      </c>
      <c r="F68" s="109" cm="1">
        <f t="array" ref="F68">MAX(0,IF(Table_Perf6[[#This Row],[Year]]=BaseYr,IFERROR(Table_UtilityInput9[Annual Natural Gas  
(therm)]*100,0),
(F67-100*SUMIFS(Table_ECM7[Annual Natural Gas Savings
(therm)],Table_ECM7[When will the measure installation be complete and operational?],Table_Perf6[[#This Row],[Year]],Table_ECM7[Would you like to Include this measure in the decarbonization pathway?],TRUE))))</f>
        <v>713700</v>
      </c>
      <c r="G68" s="109" cm="1">
        <f t="array" ref="G68">MAX(0,IF(Table_Perf6[[#This Row],[Year]]=BaseYr,IFERROR(Table_UtilityInput9[Annual Fuel Oil'#2
(Gallon)]*138,0),
(G67-138*SUMIFS(Table_ECM7[Annual Fuel Oil'#2 Savings
(Gallon)],Table_ECM7[When will the measure installation be complete and operational?],Table_Perf6[[#This Row],[Year]],Table_ECM7[Would you like to Include this measure in the decarbonization pathway?],TRUE))))</f>
        <v>0</v>
      </c>
      <c r="H68" s="109" cm="1">
        <f t="array" ref="H68">MAX(0,IF(Table_Perf6[[#This Row],[Year]]=BaseYr,IFERROR(Table_UtilityInput9[Annual District Steam  
(Mlb for ConEd, kLb for others)]*1194,0),
(H67-1194*SUMIFS(Table_ECM7[Annual District Steam Savings
(Mlb for ConEd, klb for others)],Table_ECM7[When will the measure installation be complete and operational?],Table_Perf6[[#This Row],[Year]],Table_ECM7[Would you like to Include this measure in the decarbonization pathway?],TRUE))))</f>
        <v>0</v>
      </c>
      <c r="I68" s="109" cm="1">
        <f t="array" ref="I68">MAX(0,IF(Table_Perf6[[#This Row],[Year]]=BaseYr,IFERROR(Table_UtilityInput9[Annual Other Fuel 1
(kBtu)],0),
(I67-SUMIFS(Table_ECM7[Annual Other Fuel 1 Savings
(kBtu)],Table_ECM7[When will the measure installation be complete and operational?],Table_Perf6[[#This Row],[Year]],Table_ECM7[Would you like to Include this measure in the decarbonization pathway?],TRUE))))</f>
        <v>0</v>
      </c>
      <c r="J68" s="110" cm="1">
        <f t="array" ref="J68">MAX(0,IF(Table_Perf6[[#This Row],[Year]]=BaseYr,IFERROR(Table_UtilityInput9[Annual Other Fuel 2
(kBtu)],0),
(J67-SUMIFS(Table_ECM7[Annual Other Fuel 2 Savings
(kBtu)],Table_ECM7[When will the measure installation be complete and operational?],Table_Perf6[[#This Row],[Year]],Table_ECM7[Would you like to Include this measure in the decarbonization pathway?],TRUE))))</f>
        <v>0</v>
      </c>
      <c r="K68" s="101">
        <f>-SUMIFS(Table_ECM7[Cost to Install Measures ($)],Table_ECM7[When will the measure installation be complete and operational?],Table_Perf6[[#This Row],[Year]],Table_ECM7[Would you like to Include this measure in the decarbonization pathway?],TRUE)</f>
        <v>0</v>
      </c>
      <c r="L68" s="102" cm="1">
        <f t="array" ref="L68">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68" s="103"/>
      <c r="N68" s="100" cm="1">
        <f t="array" ref="N68">Table_Perf6[[#This Row],[Electricity (kBtu)]]*INDEX(Table_UtilityDecarb[Carbon Intensity (tCO2e/kBtu)],MATCH(N$46&amp;Table_Perf6[[#This Row],[Year]],Table_UtilityDecarb[Fuel Type]&amp;Table_UtilityDecarb[Year],0))</f>
        <v>41.3227525</v>
      </c>
      <c r="O68" s="100">
        <f>Table_Perf6[[#This Row],[Natural Gas (kBtu)]]*INDEX(Table_UtilityDecarb[Carbon Intensity (tCO2e/kBtu)],MATCH(O$46,Table_UtilityDecarb[Fuel Type],0))</f>
        <v>37.904606999999999</v>
      </c>
      <c r="P68" s="100">
        <f>Table_Perf6[[#This Row],[Fuel Oil'#2 (kBtu)]]*INDEX(Table_UtilityDecarb[Carbon Intensity (tCO2e/kBtu)],MATCH(P$46,Table_UtilityDecarb[Fuel Type],0))</f>
        <v>0</v>
      </c>
      <c r="Q68" s="100" cm="1">
        <f t="array" ref="Q68">Table_Perf6[[#This Row],[District Steam (kBtu)]]*INDEX(Table_UtilityDecarb[Carbon Intensity (tCO2e/kBtu)],MATCH(Q$46&amp;Table_Perf6[[#This Row],[Year]],Table_UtilityDecarb[Fuel Type]&amp;Table_UtilityDecarb[Year],0))</f>
        <v>0</v>
      </c>
      <c r="R68" s="100" cm="1">
        <f t="array" ref="R68">IF(OR(Table_UtilityInput9[Annual Other Fuel 1
(kBtu)]="",NOT(ISNUMBER(Table_UtilityInput9[Annual Other Fuel 1
(kBtu)]))),0,Table_Perf6[[#This Row],[Other Fuel 1 (kBtu)]]*INDEX(Table_UtilityDecarb[Carbon Intensity (tCO2e/kBtu)],MATCH(R$46,Table_UtilityDecarb[Fuel Type],0)))</f>
        <v>0</v>
      </c>
      <c r="S68" s="100" cm="1">
        <f t="array" ref="S68">IF(OR(Table_UtilityInput9[Annual Other Fuel 2
(kBtu)]="",NOT(ISNUMBER(Table_UtilityInput9[Annual Other Fuel 2
(kBtu)]))),0,Table_Perf6[[#This Row],[Other Fuel 2 (kBtu)]]*INDEX(Table_UtilityDecarb[Carbon Intensity (tCO2e/kBtu)],MATCH(S$46,Table_UtilityDecarb[Fuel Type],0)))</f>
        <v>0</v>
      </c>
      <c r="T68" s="100">
        <f>IF(Table_Perf6[[#This Row],[Year]]&gt;2050,NA(),_xlfn.AGGREGATE(9,6,Table_Perf6[[#This Row],[LL97 Electricity (tCO2e)]:[LL97 Other Fuel 2 (tCO2e)]]))</f>
        <v>79.227359500000006</v>
      </c>
      <c r="U68" s="100">
        <f>IF(Table_Perf6[[#This Row],[Year]]&lt;2035,NA(),INDEX(Table_LimitsCalc_Sample1[Total Limits (tCO2e)],MATCH(Table_Perf6[[#This Row],[Year]],Table_LimitsCalc_Sample1[Year],0)))</f>
        <v>117.39162589999999</v>
      </c>
      <c r="V68" s="100" cm="1">
        <f t="array" ref="V68">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272.52461199999999</v>
      </c>
      <c r="W68" s="100">
        <f>IF(Table_Perf6[[#This Row],[LL97 Emissions Limit (tCO2e)]]="",0,MAX(0,Table_Perf6[[#This Row],[LL97 Business-As-Usual Emissions]]-Table_Perf6[[#This Row],[LL97 Emissions Limit (tCO2e)]]))</f>
        <v>155.13298609999998</v>
      </c>
      <c r="X68" s="100">
        <f>IF(Table_Perf6[[#This Row],[LL97 Emissions Limit (tCO2e)]]="",0,MAX(0,Table_Perf6[[#This Row],[LL97 Emissions After Measures]]-Table_Perf6[[#This Row],[LL97 Emissions Limit (tCO2e)]]))</f>
        <v>0</v>
      </c>
      <c r="Y68" s="100">
        <f>Table_Perf6[[#This Row],[LL97 Business-As-Usual Emissions]]-Table_Perf6[[#This Row],[LL97 Emissions After Measures]]</f>
        <v>193.29725249999998</v>
      </c>
      <c r="Z68" s="102" t="str">
        <f>IF(Table_Perf6[[#This Row],[Year]]&lt;2024,"Not in enforcement period",IF(Table_Perf6[[#This Row],[LL97 Excess Emissions After Measures]]=0,"Compliant","Not-Compliant"))</f>
        <v>Compliant</v>
      </c>
      <c r="AA68" s="104">
        <f>IFERROR(-268*Table_Perf6[[#This Row],[LL97 Excess Emissions After Measures]],0)</f>
        <v>0</v>
      </c>
      <c r="AB68" s="102">
        <f>IFERROR(268*MIN(Table_Perf6[[#This Row],[LL97 BAU Excess Emissions]],Table_Perf6[[#This Row],[LL97 Emissions Reduced by Measures]]),0)</f>
        <v>41575.640274799996</v>
      </c>
      <c r="AC68" s="105">
        <f>IF(OR(Table_Perf6[[#This Row],[Year]]&lt;2024,Table_Perf6[[#This Row],[Year]]&gt;2050,ISERROR(Table_Perf6[[#This Row],[LL97 Adjusted Penalty After Measures]])),"",Table_Perf6[[#This Row],[LL97 Adjusted Penalty After Measures]])</f>
        <v>0</v>
      </c>
      <c r="AD68" s="102">
        <f>IF(Table_Perf6[[#This Row],[Year]]&gt;2050,NA(),_xlfn.AGGREGATE(9,6,Table_Perf6[[#This Row],[Measure Cost ($)]],Table_Perf6[[#This Row],[Utility Savings ($)]],Table_Perf6[[#This Row],[LL97 Penalty Avoided by Measures ($)]]))</f>
        <v>72917.640274799996</v>
      </c>
      <c r="AE68" s="102">
        <f>SUM($AD$48:AD68)</f>
        <v>-250209.19263099995</v>
      </c>
      <c r="AF68" s="102">
        <f>IF(Table_Perf6[[#This Row],[Year]]&gt;2050,NA(),_xlfn.AGGREGATE(9,6,Table_Perf6[[#This Row],[Measure Cost ($)]],Table_Perf6[[#This Row],[LL97 Adjusted Penalty After Measures]]))</f>
        <v>0</v>
      </c>
      <c r="AG68" s="106">
        <f>Table_Perf6[[#This Row],[Year]]</f>
        <v>2044</v>
      </c>
      <c r="AH68" s="99">
        <f>COUNTIFS(Table_ECM7[When will the measure installation be complete and operational?],"&lt;="&amp;Table_Perf6[[#This Row],[Yr]],Table_ECM7[Would you like to Include this measure in the decarbonization pathway?],TRUE)</f>
        <v>15</v>
      </c>
      <c r="AI68" s="99" t="str">
        <f>IF(Table_Perf6[[#This Row],[Measure Qty]]=AH67,"",_xlfn.CONCAT(Table_Perf6[[#This Row],[Measure Qty]], " Measures Done"))</f>
        <v/>
      </c>
      <c r="AJ68" s="107" t="e">
        <f>IF(Table_Perf6[[#This Row],[Measure Label]]="",NA(),Table_Perf6[[#This Row],[LL97 Emissions After Measures]])</f>
        <v>#N/A</v>
      </c>
    </row>
    <row r="69" spans="2:55" hidden="1" outlineLevel="1">
      <c r="C69" s="98">
        <v>21</v>
      </c>
      <c r="D69" s="108">
        <f>IF(BaseYr+Table_Perf6[[#This Row],['#]]&gt;EndYr,NA(),BaseYr+Table_Perf6[[#This Row],['#]])</f>
        <v>2045</v>
      </c>
      <c r="E69" s="109" cm="1">
        <f t="array" ref="E69">MAX(0,IF(Table_Perf6[[#This Row],[Year]]=BaseYr,IFERROR(Table_UtilityInput9[Annual Electricity 
(kWh)]*3.412,0),
(E68-3.412*SUMIFS(Table_ECM7[Annual Electricity Savings
(kWh)],Table_ECM7[When will the measure installation be complete and operational?],Table_Perf6[[#This Row],[Year]],Table_ECM7[Would you like to Include this measure in the decarbonization pathway?],TRUE))))</f>
        <v>1944734.2279999999</v>
      </c>
      <c r="F69" s="109" cm="1">
        <f t="array" ref="F69">MAX(0,IF(Table_Perf6[[#This Row],[Year]]=BaseYr,IFERROR(Table_UtilityInput9[Annual Natural Gas  
(therm)]*100,0),
(F68-100*SUMIFS(Table_ECM7[Annual Natural Gas Savings
(therm)],Table_ECM7[When will the measure installation be complete and operational?],Table_Perf6[[#This Row],[Year]],Table_ECM7[Would you like to Include this measure in the decarbonization pathway?],TRUE))))</f>
        <v>713700</v>
      </c>
      <c r="G69" s="109" cm="1">
        <f t="array" ref="G69">MAX(0,IF(Table_Perf6[[#This Row],[Year]]=BaseYr,IFERROR(Table_UtilityInput9[Annual Fuel Oil'#2
(Gallon)]*138,0),
(G68-138*SUMIFS(Table_ECM7[Annual Fuel Oil'#2 Savings
(Gallon)],Table_ECM7[When will the measure installation be complete and operational?],Table_Perf6[[#This Row],[Year]],Table_ECM7[Would you like to Include this measure in the decarbonization pathway?],TRUE))))</f>
        <v>0</v>
      </c>
      <c r="H69" s="109" cm="1">
        <f t="array" ref="H69">MAX(0,IF(Table_Perf6[[#This Row],[Year]]=BaseYr,IFERROR(Table_UtilityInput9[Annual District Steam  
(Mlb for ConEd, kLb for others)]*1194,0),
(H68-1194*SUMIFS(Table_ECM7[Annual District Steam Savings
(Mlb for ConEd, klb for others)],Table_ECM7[When will the measure installation be complete and operational?],Table_Perf6[[#This Row],[Year]],Table_ECM7[Would you like to Include this measure in the decarbonization pathway?],TRUE))))</f>
        <v>0</v>
      </c>
      <c r="I69" s="109" cm="1">
        <f t="array" ref="I69">MAX(0,IF(Table_Perf6[[#This Row],[Year]]=BaseYr,IFERROR(Table_UtilityInput9[Annual Other Fuel 1
(kBtu)],0),
(I68-SUMIFS(Table_ECM7[Annual Other Fuel 1 Savings
(kBtu)],Table_ECM7[When will the measure installation be complete and operational?],Table_Perf6[[#This Row],[Year]],Table_ECM7[Would you like to Include this measure in the decarbonization pathway?],TRUE))))</f>
        <v>0</v>
      </c>
      <c r="J69" s="110" cm="1">
        <f t="array" ref="J69">MAX(0,IF(Table_Perf6[[#This Row],[Year]]=BaseYr,IFERROR(Table_UtilityInput9[Annual Other Fuel 2
(kBtu)],0),
(J68-SUMIFS(Table_ECM7[Annual Other Fuel 2 Savings
(kBtu)],Table_ECM7[When will the measure installation be complete and operational?],Table_Perf6[[#This Row],[Year]],Table_ECM7[Would you like to Include this measure in the decarbonization pathway?],TRUE))))</f>
        <v>0</v>
      </c>
      <c r="K69" s="101">
        <f>-SUMIFS(Table_ECM7[Cost to Install Measures ($)],Table_ECM7[When will the measure installation be complete and operational?],Table_Perf6[[#This Row],[Year]],Table_ECM7[Would you like to Include this measure in the decarbonization pathway?],TRUE)</f>
        <v>0</v>
      </c>
      <c r="L69" s="102" cm="1">
        <f t="array" ref="L69">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69" s="103"/>
      <c r="N69" s="100" cm="1">
        <f t="array" ref="N69">Table_Perf6[[#This Row],[Electricity (kBtu)]]*INDEX(Table_UtilityDecarb[Carbon Intensity (tCO2e/kBtu)],MATCH(N$46&amp;Table_Perf6[[#This Row],[Year]],Table_UtilityDecarb[Fuel Type]&amp;Table_UtilityDecarb[Year],0))</f>
        <v>41.3227525</v>
      </c>
      <c r="O69" s="100">
        <f>Table_Perf6[[#This Row],[Natural Gas (kBtu)]]*INDEX(Table_UtilityDecarb[Carbon Intensity (tCO2e/kBtu)],MATCH(O$46,Table_UtilityDecarb[Fuel Type],0))</f>
        <v>37.904606999999999</v>
      </c>
      <c r="P69" s="100">
        <f>Table_Perf6[[#This Row],[Fuel Oil'#2 (kBtu)]]*INDEX(Table_UtilityDecarb[Carbon Intensity (tCO2e/kBtu)],MATCH(P$46,Table_UtilityDecarb[Fuel Type],0))</f>
        <v>0</v>
      </c>
      <c r="Q69" s="100" cm="1">
        <f t="array" ref="Q69">Table_Perf6[[#This Row],[District Steam (kBtu)]]*INDEX(Table_UtilityDecarb[Carbon Intensity (tCO2e/kBtu)],MATCH(Q$46&amp;Table_Perf6[[#This Row],[Year]],Table_UtilityDecarb[Fuel Type]&amp;Table_UtilityDecarb[Year],0))</f>
        <v>0</v>
      </c>
      <c r="R69" s="100" cm="1">
        <f t="array" ref="R69">IF(OR(Table_UtilityInput9[Annual Other Fuel 1
(kBtu)]="",NOT(ISNUMBER(Table_UtilityInput9[Annual Other Fuel 1
(kBtu)]))),0,Table_Perf6[[#This Row],[Other Fuel 1 (kBtu)]]*INDEX(Table_UtilityDecarb[Carbon Intensity (tCO2e/kBtu)],MATCH(R$46,Table_UtilityDecarb[Fuel Type],0)))</f>
        <v>0</v>
      </c>
      <c r="S69" s="100" cm="1">
        <f t="array" ref="S69">IF(OR(Table_UtilityInput9[Annual Other Fuel 2
(kBtu)]="",NOT(ISNUMBER(Table_UtilityInput9[Annual Other Fuel 2
(kBtu)]))),0,Table_Perf6[[#This Row],[Other Fuel 2 (kBtu)]]*INDEX(Table_UtilityDecarb[Carbon Intensity (tCO2e/kBtu)],MATCH(S$46,Table_UtilityDecarb[Fuel Type],0)))</f>
        <v>0</v>
      </c>
      <c r="T69" s="100">
        <f>IF(Table_Perf6[[#This Row],[Year]]&gt;2050,NA(),_xlfn.AGGREGATE(9,6,Table_Perf6[[#This Row],[LL97 Electricity (tCO2e)]:[LL97 Other Fuel 2 (tCO2e)]]))</f>
        <v>79.227359500000006</v>
      </c>
      <c r="U69" s="100">
        <f>IF(Table_Perf6[[#This Row],[Year]]&lt;2035,NA(),INDEX(Table_LimitsCalc_Sample1[Total Limits (tCO2e)],MATCH(Table_Perf6[[#This Row],[Year]],Table_LimitsCalc_Sample1[Year],0)))</f>
        <v>117.39162589999999</v>
      </c>
      <c r="V69" s="100" cm="1">
        <f t="array" ref="V69">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272.52461199999999</v>
      </c>
      <c r="W69" s="100">
        <f>IF(Table_Perf6[[#This Row],[LL97 Emissions Limit (tCO2e)]]="",0,MAX(0,Table_Perf6[[#This Row],[LL97 Business-As-Usual Emissions]]-Table_Perf6[[#This Row],[LL97 Emissions Limit (tCO2e)]]))</f>
        <v>155.13298609999998</v>
      </c>
      <c r="X69" s="100">
        <f>IF(Table_Perf6[[#This Row],[LL97 Emissions Limit (tCO2e)]]="",0,MAX(0,Table_Perf6[[#This Row],[LL97 Emissions After Measures]]-Table_Perf6[[#This Row],[LL97 Emissions Limit (tCO2e)]]))</f>
        <v>0</v>
      </c>
      <c r="Y69" s="100">
        <f>Table_Perf6[[#This Row],[LL97 Business-As-Usual Emissions]]-Table_Perf6[[#This Row],[LL97 Emissions After Measures]]</f>
        <v>193.29725249999998</v>
      </c>
      <c r="Z69" s="102" t="str">
        <f>IF(Table_Perf6[[#This Row],[Year]]&lt;2024,"Not in enforcement period",IF(Table_Perf6[[#This Row],[LL97 Excess Emissions After Measures]]=0,"Compliant","Not-Compliant"))</f>
        <v>Compliant</v>
      </c>
      <c r="AA69" s="104">
        <f>IFERROR(-268*Table_Perf6[[#This Row],[LL97 Excess Emissions After Measures]],0)</f>
        <v>0</v>
      </c>
      <c r="AB69" s="102">
        <f>IFERROR(268*MIN(Table_Perf6[[#This Row],[LL97 BAU Excess Emissions]],Table_Perf6[[#This Row],[LL97 Emissions Reduced by Measures]]),0)</f>
        <v>41575.640274799996</v>
      </c>
      <c r="AC69" s="105">
        <f>IF(OR(Table_Perf6[[#This Row],[Year]]&lt;2024,Table_Perf6[[#This Row],[Year]]&gt;2050,ISERROR(Table_Perf6[[#This Row],[LL97 Adjusted Penalty After Measures]])),"",Table_Perf6[[#This Row],[LL97 Adjusted Penalty After Measures]])</f>
        <v>0</v>
      </c>
      <c r="AD69" s="102">
        <f>IF(Table_Perf6[[#This Row],[Year]]&gt;2050,NA(),_xlfn.AGGREGATE(9,6,Table_Perf6[[#This Row],[Measure Cost ($)]],Table_Perf6[[#This Row],[Utility Savings ($)]],Table_Perf6[[#This Row],[LL97 Penalty Avoided by Measures ($)]]))</f>
        <v>72917.640274799996</v>
      </c>
      <c r="AE69" s="102">
        <f>SUM($AD$48:AD69)</f>
        <v>-177291.55235619994</v>
      </c>
      <c r="AF69" s="102">
        <f>IF(Table_Perf6[[#This Row],[Year]]&gt;2050,NA(),_xlfn.AGGREGATE(9,6,Table_Perf6[[#This Row],[Measure Cost ($)]],Table_Perf6[[#This Row],[LL97 Adjusted Penalty After Measures]]))</f>
        <v>0</v>
      </c>
      <c r="AG69" s="106">
        <f>Table_Perf6[[#This Row],[Year]]</f>
        <v>2045</v>
      </c>
      <c r="AH69" s="99">
        <f>COUNTIFS(Table_ECM7[When will the measure installation be complete and operational?],"&lt;="&amp;Table_Perf6[[#This Row],[Yr]],Table_ECM7[Would you like to Include this measure in the decarbonization pathway?],TRUE)</f>
        <v>15</v>
      </c>
      <c r="AI69" s="99" t="str">
        <f>IF(Table_Perf6[[#This Row],[Measure Qty]]=AH68,"",_xlfn.CONCAT(Table_Perf6[[#This Row],[Measure Qty]], " Measures Done"))</f>
        <v/>
      </c>
      <c r="AJ69" s="107" t="e">
        <f>IF(Table_Perf6[[#This Row],[Measure Label]]="",NA(),Table_Perf6[[#This Row],[LL97 Emissions After Measures]])</f>
        <v>#N/A</v>
      </c>
    </row>
    <row r="70" spans="2:55" hidden="1" outlineLevel="1">
      <c r="C70" s="98">
        <v>22</v>
      </c>
      <c r="D70" s="108">
        <f>IF(BaseYr+Table_Perf6[[#This Row],['#]]&gt;EndYr,NA(),BaseYr+Table_Perf6[[#This Row],['#]])</f>
        <v>2046</v>
      </c>
      <c r="E70" s="109" cm="1">
        <f t="array" ref="E70">MAX(0,IF(Table_Perf6[[#This Row],[Year]]=BaseYr,IFERROR(Table_UtilityInput9[Annual Electricity 
(kWh)]*3.412,0),
(E69-3.412*SUMIFS(Table_ECM7[Annual Electricity Savings
(kWh)],Table_ECM7[When will the measure installation be complete and operational?],Table_Perf6[[#This Row],[Year]],Table_ECM7[Would you like to Include this measure in the decarbonization pathway?],TRUE))))</f>
        <v>1944734.2279999999</v>
      </c>
      <c r="F70" s="109" cm="1">
        <f t="array" ref="F70">MAX(0,IF(Table_Perf6[[#This Row],[Year]]=BaseYr,IFERROR(Table_UtilityInput9[Annual Natural Gas  
(therm)]*100,0),
(F69-100*SUMIFS(Table_ECM7[Annual Natural Gas Savings
(therm)],Table_ECM7[When will the measure installation be complete and operational?],Table_Perf6[[#This Row],[Year]],Table_ECM7[Would you like to Include this measure in the decarbonization pathway?],TRUE))))</f>
        <v>713700</v>
      </c>
      <c r="G70" s="109" cm="1">
        <f t="array" ref="G70">MAX(0,IF(Table_Perf6[[#This Row],[Year]]=BaseYr,IFERROR(Table_UtilityInput9[Annual Fuel Oil'#2
(Gallon)]*138,0),
(G69-138*SUMIFS(Table_ECM7[Annual Fuel Oil'#2 Savings
(Gallon)],Table_ECM7[When will the measure installation be complete and operational?],Table_Perf6[[#This Row],[Year]],Table_ECM7[Would you like to Include this measure in the decarbonization pathway?],TRUE))))</f>
        <v>0</v>
      </c>
      <c r="H70" s="109" cm="1">
        <f t="array" ref="H70">MAX(0,IF(Table_Perf6[[#This Row],[Year]]=BaseYr,IFERROR(Table_UtilityInput9[Annual District Steam  
(Mlb for ConEd, kLb for others)]*1194,0),
(H69-1194*SUMIFS(Table_ECM7[Annual District Steam Savings
(Mlb for ConEd, klb for others)],Table_ECM7[When will the measure installation be complete and operational?],Table_Perf6[[#This Row],[Year]],Table_ECM7[Would you like to Include this measure in the decarbonization pathway?],TRUE))))</f>
        <v>0</v>
      </c>
      <c r="I70" s="109" cm="1">
        <f t="array" ref="I70">MAX(0,IF(Table_Perf6[[#This Row],[Year]]=BaseYr,IFERROR(Table_UtilityInput9[Annual Other Fuel 1
(kBtu)],0),
(I69-SUMIFS(Table_ECM7[Annual Other Fuel 1 Savings
(kBtu)],Table_ECM7[When will the measure installation be complete and operational?],Table_Perf6[[#This Row],[Year]],Table_ECM7[Would you like to Include this measure in the decarbonization pathway?],TRUE))))</f>
        <v>0</v>
      </c>
      <c r="J70" s="110" cm="1">
        <f t="array" ref="J70">MAX(0,IF(Table_Perf6[[#This Row],[Year]]=BaseYr,IFERROR(Table_UtilityInput9[Annual Other Fuel 2
(kBtu)],0),
(J69-SUMIFS(Table_ECM7[Annual Other Fuel 2 Savings
(kBtu)],Table_ECM7[When will the measure installation be complete and operational?],Table_Perf6[[#This Row],[Year]],Table_ECM7[Would you like to Include this measure in the decarbonization pathway?],TRUE))))</f>
        <v>0</v>
      </c>
      <c r="K70" s="101">
        <f>-SUMIFS(Table_ECM7[Cost to Install Measures ($)],Table_ECM7[When will the measure installation be complete and operational?],Table_Perf6[[#This Row],[Year]],Table_ECM7[Would you like to Include this measure in the decarbonization pathway?],TRUE)</f>
        <v>0</v>
      </c>
      <c r="L70" s="102" cm="1">
        <f t="array" ref="L70">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70" s="103"/>
      <c r="N70" s="100" cm="1">
        <f t="array" ref="N70">Table_Perf6[[#This Row],[Electricity (kBtu)]]*INDEX(Table_UtilityDecarb[Carbon Intensity (tCO2e/kBtu)],MATCH(N$46&amp;Table_Perf6[[#This Row],[Year]],Table_UtilityDecarb[Fuel Type]&amp;Table_UtilityDecarb[Year],0))</f>
        <v>41.3227525</v>
      </c>
      <c r="O70" s="100">
        <f>Table_Perf6[[#This Row],[Natural Gas (kBtu)]]*INDEX(Table_UtilityDecarb[Carbon Intensity (tCO2e/kBtu)],MATCH(O$46,Table_UtilityDecarb[Fuel Type],0))</f>
        <v>37.904606999999999</v>
      </c>
      <c r="P70" s="100">
        <f>Table_Perf6[[#This Row],[Fuel Oil'#2 (kBtu)]]*INDEX(Table_UtilityDecarb[Carbon Intensity (tCO2e/kBtu)],MATCH(P$46,Table_UtilityDecarb[Fuel Type],0))</f>
        <v>0</v>
      </c>
      <c r="Q70" s="100" cm="1">
        <f t="array" ref="Q70">Table_Perf6[[#This Row],[District Steam (kBtu)]]*INDEX(Table_UtilityDecarb[Carbon Intensity (tCO2e/kBtu)],MATCH(Q$46&amp;Table_Perf6[[#This Row],[Year]],Table_UtilityDecarb[Fuel Type]&amp;Table_UtilityDecarb[Year],0))</f>
        <v>0</v>
      </c>
      <c r="R70" s="100" cm="1">
        <f t="array" ref="R70">IF(OR(Table_UtilityInput9[Annual Other Fuel 1
(kBtu)]="",NOT(ISNUMBER(Table_UtilityInput9[Annual Other Fuel 1
(kBtu)]))),0,Table_Perf6[[#This Row],[Other Fuel 1 (kBtu)]]*INDEX(Table_UtilityDecarb[Carbon Intensity (tCO2e/kBtu)],MATCH(R$46,Table_UtilityDecarb[Fuel Type],0)))</f>
        <v>0</v>
      </c>
      <c r="S70" s="100" cm="1">
        <f t="array" ref="S70">IF(OR(Table_UtilityInput9[Annual Other Fuel 2
(kBtu)]="",NOT(ISNUMBER(Table_UtilityInput9[Annual Other Fuel 2
(kBtu)]))),0,Table_Perf6[[#This Row],[Other Fuel 2 (kBtu)]]*INDEX(Table_UtilityDecarb[Carbon Intensity (tCO2e/kBtu)],MATCH(S$46,Table_UtilityDecarb[Fuel Type],0)))</f>
        <v>0</v>
      </c>
      <c r="T70" s="100">
        <f>IF(Table_Perf6[[#This Row],[Year]]&gt;2050,NA(),_xlfn.AGGREGATE(9,6,Table_Perf6[[#This Row],[LL97 Electricity (tCO2e)]:[LL97 Other Fuel 2 (tCO2e)]]))</f>
        <v>79.227359500000006</v>
      </c>
      <c r="U70" s="100">
        <f>IF(Table_Perf6[[#This Row],[Year]]&lt;2035,NA(),INDEX(Table_LimitsCalc_Sample1[Total Limits (tCO2e)],MATCH(Table_Perf6[[#This Row],[Year]],Table_LimitsCalc_Sample1[Year],0)))</f>
        <v>117.39162589999999</v>
      </c>
      <c r="V70" s="100" cm="1">
        <f t="array" ref="V70">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272.52461199999999</v>
      </c>
      <c r="W70" s="100">
        <f>IF(Table_Perf6[[#This Row],[LL97 Emissions Limit (tCO2e)]]="",0,MAX(0,Table_Perf6[[#This Row],[LL97 Business-As-Usual Emissions]]-Table_Perf6[[#This Row],[LL97 Emissions Limit (tCO2e)]]))</f>
        <v>155.13298609999998</v>
      </c>
      <c r="X70" s="100">
        <f>IF(Table_Perf6[[#This Row],[LL97 Emissions Limit (tCO2e)]]="",0,MAX(0,Table_Perf6[[#This Row],[LL97 Emissions After Measures]]-Table_Perf6[[#This Row],[LL97 Emissions Limit (tCO2e)]]))</f>
        <v>0</v>
      </c>
      <c r="Y70" s="100">
        <f>Table_Perf6[[#This Row],[LL97 Business-As-Usual Emissions]]-Table_Perf6[[#This Row],[LL97 Emissions After Measures]]</f>
        <v>193.29725249999998</v>
      </c>
      <c r="Z70" s="102" t="str">
        <f>IF(Table_Perf6[[#This Row],[Year]]&lt;2024,"Not in enforcement period",IF(Table_Perf6[[#This Row],[LL97 Excess Emissions After Measures]]=0,"Compliant","Not-Compliant"))</f>
        <v>Compliant</v>
      </c>
      <c r="AA70" s="104">
        <f>IFERROR(-268*Table_Perf6[[#This Row],[LL97 Excess Emissions After Measures]],0)</f>
        <v>0</v>
      </c>
      <c r="AB70" s="102">
        <f>IFERROR(268*MIN(Table_Perf6[[#This Row],[LL97 BAU Excess Emissions]],Table_Perf6[[#This Row],[LL97 Emissions Reduced by Measures]]),0)</f>
        <v>41575.640274799996</v>
      </c>
      <c r="AC70" s="105">
        <f>IF(OR(Table_Perf6[[#This Row],[Year]]&lt;2024,Table_Perf6[[#This Row],[Year]]&gt;2050,ISERROR(Table_Perf6[[#This Row],[LL97 Adjusted Penalty After Measures]])),"",Table_Perf6[[#This Row],[LL97 Adjusted Penalty After Measures]])</f>
        <v>0</v>
      </c>
      <c r="AD70" s="102">
        <f>IF(Table_Perf6[[#This Row],[Year]]&gt;2050,NA(),_xlfn.AGGREGATE(9,6,Table_Perf6[[#This Row],[Measure Cost ($)]],Table_Perf6[[#This Row],[Utility Savings ($)]],Table_Perf6[[#This Row],[LL97 Penalty Avoided by Measures ($)]]))</f>
        <v>72917.640274799996</v>
      </c>
      <c r="AE70" s="102">
        <f>SUM($AD$48:AD70)</f>
        <v>-104373.91208139995</v>
      </c>
      <c r="AF70" s="102">
        <f>IF(Table_Perf6[[#This Row],[Year]]&gt;2050,NA(),_xlfn.AGGREGATE(9,6,Table_Perf6[[#This Row],[Measure Cost ($)]],Table_Perf6[[#This Row],[LL97 Adjusted Penalty After Measures]]))</f>
        <v>0</v>
      </c>
      <c r="AG70" s="106">
        <f>Table_Perf6[[#This Row],[Year]]</f>
        <v>2046</v>
      </c>
      <c r="AH70" s="99">
        <f>COUNTIFS(Table_ECM7[When will the measure installation be complete and operational?],"&lt;="&amp;Table_Perf6[[#This Row],[Yr]],Table_ECM7[Would you like to Include this measure in the decarbonization pathway?],TRUE)</f>
        <v>15</v>
      </c>
      <c r="AI70" s="99" t="str">
        <f>IF(Table_Perf6[[#This Row],[Measure Qty]]=AH69,"",_xlfn.CONCAT(Table_Perf6[[#This Row],[Measure Qty]], " Measures Done"))</f>
        <v/>
      </c>
      <c r="AJ70" s="107" t="e">
        <f>IF(Table_Perf6[[#This Row],[Measure Label]]="",NA(),Table_Perf6[[#This Row],[LL97 Emissions After Measures]])</f>
        <v>#N/A</v>
      </c>
    </row>
    <row r="71" spans="2:55" hidden="1" outlineLevel="1">
      <c r="C71" s="98">
        <v>23</v>
      </c>
      <c r="D71" s="108">
        <f>IF(BaseYr+Table_Perf6[[#This Row],['#]]&gt;EndYr,NA(),BaseYr+Table_Perf6[[#This Row],['#]])</f>
        <v>2047</v>
      </c>
      <c r="E71" s="109" cm="1">
        <f t="array" ref="E71">MAX(0,IF(Table_Perf6[[#This Row],[Year]]=BaseYr,IFERROR(Table_UtilityInput9[Annual Electricity 
(kWh)]*3.412,0),
(E70-3.412*SUMIFS(Table_ECM7[Annual Electricity Savings
(kWh)],Table_ECM7[When will the measure installation be complete and operational?],Table_Perf6[[#This Row],[Year]],Table_ECM7[Would you like to Include this measure in the decarbonization pathway?],TRUE))))</f>
        <v>1944734.2279999999</v>
      </c>
      <c r="F71" s="109" cm="1">
        <f t="array" ref="F71">MAX(0,IF(Table_Perf6[[#This Row],[Year]]=BaseYr,IFERROR(Table_UtilityInput9[Annual Natural Gas  
(therm)]*100,0),
(F70-100*SUMIFS(Table_ECM7[Annual Natural Gas Savings
(therm)],Table_ECM7[When will the measure installation be complete and operational?],Table_Perf6[[#This Row],[Year]],Table_ECM7[Would you like to Include this measure in the decarbonization pathway?],TRUE))))</f>
        <v>713700</v>
      </c>
      <c r="G71" s="109" cm="1">
        <f t="array" ref="G71">MAX(0,IF(Table_Perf6[[#This Row],[Year]]=BaseYr,IFERROR(Table_UtilityInput9[Annual Fuel Oil'#2
(Gallon)]*138,0),
(G70-138*SUMIFS(Table_ECM7[Annual Fuel Oil'#2 Savings
(Gallon)],Table_ECM7[When will the measure installation be complete and operational?],Table_Perf6[[#This Row],[Year]],Table_ECM7[Would you like to Include this measure in the decarbonization pathway?],TRUE))))</f>
        <v>0</v>
      </c>
      <c r="H71" s="109" cm="1">
        <f t="array" ref="H71">MAX(0,IF(Table_Perf6[[#This Row],[Year]]=BaseYr,IFERROR(Table_UtilityInput9[Annual District Steam  
(Mlb for ConEd, kLb for others)]*1194,0),
(H70-1194*SUMIFS(Table_ECM7[Annual District Steam Savings
(Mlb for ConEd, klb for others)],Table_ECM7[When will the measure installation be complete and operational?],Table_Perf6[[#This Row],[Year]],Table_ECM7[Would you like to Include this measure in the decarbonization pathway?],TRUE))))</f>
        <v>0</v>
      </c>
      <c r="I71" s="109" cm="1">
        <f t="array" ref="I71">MAX(0,IF(Table_Perf6[[#This Row],[Year]]=BaseYr,IFERROR(Table_UtilityInput9[Annual Other Fuel 1
(kBtu)],0),
(I70-SUMIFS(Table_ECM7[Annual Other Fuel 1 Savings
(kBtu)],Table_ECM7[When will the measure installation be complete and operational?],Table_Perf6[[#This Row],[Year]],Table_ECM7[Would you like to Include this measure in the decarbonization pathway?],TRUE))))</f>
        <v>0</v>
      </c>
      <c r="J71" s="110" cm="1">
        <f t="array" ref="J71">MAX(0,IF(Table_Perf6[[#This Row],[Year]]=BaseYr,IFERROR(Table_UtilityInput9[Annual Other Fuel 2
(kBtu)],0),
(J70-SUMIFS(Table_ECM7[Annual Other Fuel 2 Savings
(kBtu)],Table_ECM7[When will the measure installation be complete and operational?],Table_Perf6[[#This Row],[Year]],Table_ECM7[Would you like to Include this measure in the decarbonization pathway?],TRUE))))</f>
        <v>0</v>
      </c>
      <c r="K71" s="101">
        <f>-SUMIFS(Table_ECM7[Cost to Install Measures ($)],Table_ECM7[When will the measure installation be complete and operational?],Table_Perf6[[#This Row],[Year]],Table_ECM7[Would you like to Include this measure in the decarbonization pathway?],TRUE)</f>
        <v>0</v>
      </c>
      <c r="L71" s="102" cm="1">
        <f t="array" ref="L71">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71" s="103"/>
      <c r="N71" s="100" cm="1">
        <f t="array" ref="N71">Table_Perf6[[#This Row],[Electricity (kBtu)]]*INDEX(Table_UtilityDecarb[Carbon Intensity (tCO2e/kBtu)],MATCH(N$46&amp;Table_Perf6[[#This Row],[Year]],Table_UtilityDecarb[Fuel Type]&amp;Table_UtilityDecarb[Year],0))</f>
        <v>41.3227525</v>
      </c>
      <c r="O71" s="100">
        <f>Table_Perf6[[#This Row],[Natural Gas (kBtu)]]*INDEX(Table_UtilityDecarb[Carbon Intensity (tCO2e/kBtu)],MATCH(O$46,Table_UtilityDecarb[Fuel Type],0))</f>
        <v>37.904606999999999</v>
      </c>
      <c r="P71" s="100">
        <f>Table_Perf6[[#This Row],[Fuel Oil'#2 (kBtu)]]*INDEX(Table_UtilityDecarb[Carbon Intensity (tCO2e/kBtu)],MATCH(P$46,Table_UtilityDecarb[Fuel Type],0))</f>
        <v>0</v>
      </c>
      <c r="Q71" s="100" cm="1">
        <f t="array" ref="Q71">Table_Perf6[[#This Row],[District Steam (kBtu)]]*INDEX(Table_UtilityDecarb[Carbon Intensity (tCO2e/kBtu)],MATCH(Q$46&amp;Table_Perf6[[#This Row],[Year]],Table_UtilityDecarb[Fuel Type]&amp;Table_UtilityDecarb[Year],0))</f>
        <v>0</v>
      </c>
      <c r="R71" s="100" cm="1">
        <f t="array" ref="R71">IF(OR(Table_UtilityInput9[Annual Other Fuel 1
(kBtu)]="",NOT(ISNUMBER(Table_UtilityInput9[Annual Other Fuel 1
(kBtu)]))),0,Table_Perf6[[#This Row],[Other Fuel 1 (kBtu)]]*INDEX(Table_UtilityDecarb[Carbon Intensity (tCO2e/kBtu)],MATCH(R$46,Table_UtilityDecarb[Fuel Type],0)))</f>
        <v>0</v>
      </c>
      <c r="S71" s="100" cm="1">
        <f t="array" ref="S71">IF(OR(Table_UtilityInput9[Annual Other Fuel 2
(kBtu)]="",NOT(ISNUMBER(Table_UtilityInput9[Annual Other Fuel 2
(kBtu)]))),0,Table_Perf6[[#This Row],[Other Fuel 2 (kBtu)]]*INDEX(Table_UtilityDecarb[Carbon Intensity (tCO2e/kBtu)],MATCH(S$46,Table_UtilityDecarb[Fuel Type],0)))</f>
        <v>0</v>
      </c>
      <c r="T71" s="100">
        <f>IF(Table_Perf6[[#This Row],[Year]]&gt;2050,NA(),_xlfn.AGGREGATE(9,6,Table_Perf6[[#This Row],[LL97 Electricity (tCO2e)]:[LL97 Other Fuel 2 (tCO2e)]]))</f>
        <v>79.227359500000006</v>
      </c>
      <c r="U71" s="100">
        <f>IF(Table_Perf6[[#This Row],[Year]]&lt;2035,NA(),INDEX(Table_LimitsCalc_Sample1[Total Limits (tCO2e)],MATCH(Table_Perf6[[#This Row],[Year]],Table_LimitsCalc_Sample1[Year],0)))</f>
        <v>117.39162589999999</v>
      </c>
      <c r="V71" s="100" cm="1">
        <f t="array" ref="V71">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272.52461199999999</v>
      </c>
      <c r="W71" s="100">
        <f>IF(Table_Perf6[[#This Row],[LL97 Emissions Limit (tCO2e)]]="",0,MAX(0,Table_Perf6[[#This Row],[LL97 Business-As-Usual Emissions]]-Table_Perf6[[#This Row],[LL97 Emissions Limit (tCO2e)]]))</f>
        <v>155.13298609999998</v>
      </c>
      <c r="X71" s="100">
        <f>IF(Table_Perf6[[#This Row],[LL97 Emissions Limit (tCO2e)]]="",0,MAX(0,Table_Perf6[[#This Row],[LL97 Emissions After Measures]]-Table_Perf6[[#This Row],[LL97 Emissions Limit (tCO2e)]]))</f>
        <v>0</v>
      </c>
      <c r="Y71" s="100">
        <f>Table_Perf6[[#This Row],[LL97 Business-As-Usual Emissions]]-Table_Perf6[[#This Row],[LL97 Emissions After Measures]]</f>
        <v>193.29725249999998</v>
      </c>
      <c r="Z71" s="102" t="str">
        <f>IF(Table_Perf6[[#This Row],[Year]]&lt;2024,"Not in enforcement period",IF(Table_Perf6[[#This Row],[LL97 Excess Emissions After Measures]]=0,"Compliant","Not-Compliant"))</f>
        <v>Compliant</v>
      </c>
      <c r="AA71" s="104">
        <f>IFERROR(-268*Table_Perf6[[#This Row],[LL97 Excess Emissions After Measures]],0)</f>
        <v>0</v>
      </c>
      <c r="AB71" s="102">
        <f>IFERROR(268*MIN(Table_Perf6[[#This Row],[LL97 BAU Excess Emissions]],Table_Perf6[[#This Row],[LL97 Emissions Reduced by Measures]]),0)</f>
        <v>41575.640274799996</v>
      </c>
      <c r="AC71" s="105">
        <f>IF(OR(Table_Perf6[[#This Row],[Year]]&lt;2024,Table_Perf6[[#This Row],[Year]]&gt;2050,ISERROR(Table_Perf6[[#This Row],[LL97 Adjusted Penalty After Measures]])),"",Table_Perf6[[#This Row],[LL97 Adjusted Penalty After Measures]])</f>
        <v>0</v>
      </c>
      <c r="AD71" s="102">
        <f>IF(Table_Perf6[[#This Row],[Year]]&gt;2050,NA(),_xlfn.AGGREGATE(9,6,Table_Perf6[[#This Row],[Measure Cost ($)]],Table_Perf6[[#This Row],[Utility Savings ($)]],Table_Perf6[[#This Row],[LL97 Penalty Avoided by Measures ($)]]))</f>
        <v>72917.640274799996</v>
      </c>
      <c r="AE71" s="102">
        <f>SUM($AD$48:AD71)</f>
        <v>-31456.271806599951</v>
      </c>
      <c r="AF71" s="102">
        <f>IF(Table_Perf6[[#This Row],[Year]]&gt;2050,NA(),_xlfn.AGGREGATE(9,6,Table_Perf6[[#This Row],[Measure Cost ($)]],Table_Perf6[[#This Row],[LL97 Adjusted Penalty After Measures]]))</f>
        <v>0</v>
      </c>
      <c r="AG71" s="106">
        <f>Table_Perf6[[#This Row],[Year]]</f>
        <v>2047</v>
      </c>
      <c r="AH71" s="99">
        <f>COUNTIFS(Table_ECM7[When will the measure installation be complete and operational?],"&lt;="&amp;Table_Perf6[[#This Row],[Yr]],Table_ECM7[Would you like to Include this measure in the decarbonization pathway?],TRUE)</f>
        <v>15</v>
      </c>
      <c r="AI71" s="99" t="str">
        <f>IF(Table_Perf6[[#This Row],[Measure Qty]]=AH70,"",_xlfn.CONCAT(Table_Perf6[[#This Row],[Measure Qty]], " Measures Done"))</f>
        <v/>
      </c>
      <c r="AJ71" s="107" t="e">
        <f>IF(Table_Perf6[[#This Row],[Measure Label]]="",NA(),Table_Perf6[[#This Row],[LL97 Emissions After Measures]])</f>
        <v>#N/A</v>
      </c>
    </row>
    <row r="72" spans="2:55" hidden="1" outlineLevel="1">
      <c r="C72" s="98">
        <v>24</v>
      </c>
      <c r="D72" s="108">
        <f>IF(BaseYr+Table_Perf6[[#This Row],['#]]&gt;EndYr,NA(),BaseYr+Table_Perf6[[#This Row],['#]])</f>
        <v>2048</v>
      </c>
      <c r="E72" s="109" cm="1">
        <f t="array" ref="E72">MAX(0,IF(Table_Perf6[[#This Row],[Year]]=BaseYr,IFERROR(Table_UtilityInput9[Annual Electricity 
(kWh)]*3.412,0),
(E71-3.412*SUMIFS(Table_ECM7[Annual Electricity Savings
(kWh)],Table_ECM7[When will the measure installation be complete and operational?],Table_Perf6[[#This Row],[Year]],Table_ECM7[Would you like to Include this measure in the decarbonization pathway?],TRUE))))</f>
        <v>1944734.2279999999</v>
      </c>
      <c r="F72" s="109" cm="1">
        <f t="array" ref="F72">MAX(0,IF(Table_Perf6[[#This Row],[Year]]=BaseYr,IFERROR(Table_UtilityInput9[Annual Natural Gas  
(therm)]*100,0),
(F71-100*SUMIFS(Table_ECM7[Annual Natural Gas Savings
(therm)],Table_ECM7[When will the measure installation be complete and operational?],Table_Perf6[[#This Row],[Year]],Table_ECM7[Would you like to Include this measure in the decarbonization pathway?],TRUE))))</f>
        <v>713700</v>
      </c>
      <c r="G72" s="109" cm="1">
        <f t="array" ref="G72">MAX(0,IF(Table_Perf6[[#This Row],[Year]]=BaseYr,IFERROR(Table_UtilityInput9[Annual Fuel Oil'#2
(Gallon)]*138,0),
(G71-138*SUMIFS(Table_ECM7[Annual Fuel Oil'#2 Savings
(Gallon)],Table_ECM7[When will the measure installation be complete and operational?],Table_Perf6[[#This Row],[Year]],Table_ECM7[Would you like to Include this measure in the decarbonization pathway?],TRUE))))</f>
        <v>0</v>
      </c>
      <c r="H72" s="109" cm="1">
        <f t="array" ref="H72">MAX(0,IF(Table_Perf6[[#This Row],[Year]]=BaseYr,IFERROR(Table_UtilityInput9[Annual District Steam  
(Mlb for ConEd, kLb for others)]*1194,0),
(H71-1194*SUMIFS(Table_ECM7[Annual District Steam Savings
(Mlb for ConEd, klb for others)],Table_ECM7[When will the measure installation be complete and operational?],Table_Perf6[[#This Row],[Year]],Table_ECM7[Would you like to Include this measure in the decarbonization pathway?],TRUE))))</f>
        <v>0</v>
      </c>
      <c r="I72" s="109" cm="1">
        <f t="array" ref="I72">MAX(0,IF(Table_Perf6[[#This Row],[Year]]=BaseYr,IFERROR(Table_UtilityInput9[Annual Other Fuel 1
(kBtu)],0),
(I71-SUMIFS(Table_ECM7[Annual Other Fuel 1 Savings
(kBtu)],Table_ECM7[When will the measure installation be complete and operational?],Table_Perf6[[#This Row],[Year]],Table_ECM7[Would you like to Include this measure in the decarbonization pathway?],TRUE))))</f>
        <v>0</v>
      </c>
      <c r="J72" s="110" cm="1">
        <f t="array" ref="J72">MAX(0,IF(Table_Perf6[[#This Row],[Year]]=BaseYr,IFERROR(Table_UtilityInput9[Annual Other Fuel 2
(kBtu)],0),
(J71-SUMIFS(Table_ECM7[Annual Other Fuel 2 Savings
(kBtu)],Table_ECM7[When will the measure installation be complete and operational?],Table_Perf6[[#This Row],[Year]],Table_ECM7[Would you like to Include this measure in the decarbonization pathway?],TRUE))))</f>
        <v>0</v>
      </c>
      <c r="K72" s="101">
        <f>-SUMIFS(Table_ECM7[Cost to Install Measures ($)],Table_ECM7[When will the measure installation be complete and operational?],Table_Perf6[[#This Row],[Year]],Table_ECM7[Would you like to Include this measure in the decarbonization pathway?],TRUE)</f>
        <v>0</v>
      </c>
      <c r="L72" s="102" cm="1">
        <f t="array" ref="L72">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72" s="103"/>
      <c r="N72" s="100" cm="1">
        <f t="array" ref="N72">Table_Perf6[[#This Row],[Electricity (kBtu)]]*INDEX(Table_UtilityDecarb[Carbon Intensity (tCO2e/kBtu)],MATCH(N$46&amp;Table_Perf6[[#This Row],[Year]],Table_UtilityDecarb[Fuel Type]&amp;Table_UtilityDecarb[Year],0))</f>
        <v>41.3227525</v>
      </c>
      <c r="O72" s="100">
        <f>Table_Perf6[[#This Row],[Natural Gas (kBtu)]]*INDEX(Table_UtilityDecarb[Carbon Intensity (tCO2e/kBtu)],MATCH(O$46,Table_UtilityDecarb[Fuel Type],0))</f>
        <v>37.904606999999999</v>
      </c>
      <c r="P72" s="100">
        <f>Table_Perf6[[#This Row],[Fuel Oil'#2 (kBtu)]]*INDEX(Table_UtilityDecarb[Carbon Intensity (tCO2e/kBtu)],MATCH(P$46,Table_UtilityDecarb[Fuel Type],0))</f>
        <v>0</v>
      </c>
      <c r="Q72" s="100" cm="1">
        <f t="array" ref="Q72">Table_Perf6[[#This Row],[District Steam (kBtu)]]*INDEX(Table_UtilityDecarb[Carbon Intensity (tCO2e/kBtu)],MATCH(Q$46&amp;Table_Perf6[[#This Row],[Year]],Table_UtilityDecarb[Fuel Type]&amp;Table_UtilityDecarb[Year],0))</f>
        <v>0</v>
      </c>
      <c r="R72" s="100" cm="1">
        <f t="array" ref="R72">IF(OR(Table_UtilityInput9[Annual Other Fuel 1
(kBtu)]="",NOT(ISNUMBER(Table_UtilityInput9[Annual Other Fuel 1
(kBtu)]))),0,Table_Perf6[[#This Row],[Other Fuel 1 (kBtu)]]*INDEX(Table_UtilityDecarb[Carbon Intensity (tCO2e/kBtu)],MATCH(R$46,Table_UtilityDecarb[Fuel Type],0)))</f>
        <v>0</v>
      </c>
      <c r="S72" s="100" cm="1">
        <f t="array" ref="S72">IF(OR(Table_UtilityInput9[Annual Other Fuel 2
(kBtu)]="",NOT(ISNUMBER(Table_UtilityInput9[Annual Other Fuel 2
(kBtu)]))),0,Table_Perf6[[#This Row],[Other Fuel 2 (kBtu)]]*INDEX(Table_UtilityDecarb[Carbon Intensity (tCO2e/kBtu)],MATCH(S$46,Table_UtilityDecarb[Fuel Type],0)))</f>
        <v>0</v>
      </c>
      <c r="T72" s="100">
        <f>IF(Table_Perf6[[#This Row],[Year]]&gt;2050,NA(),_xlfn.AGGREGATE(9,6,Table_Perf6[[#This Row],[LL97 Electricity (tCO2e)]:[LL97 Other Fuel 2 (tCO2e)]]))</f>
        <v>79.227359500000006</v>
      </c>
      <c r="U72" s="100">
        <f>IF(Table_Perf6[[#This Row],[Year]]&lt;2035,NA(),INDEX(Table_LimitsCalc_Sample1[Total Limits (tCO2e)],MATCH(Table_Perf6[[#This Row],[Year]],Table_LimitsCalc_Sample1[Year],0)))</f>
        <v>117.39162589999999</v>
      </c>
      <c r="V72" s="100" cm="1">
        <f t="array" ref="V72">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272.52461199999999</v>
      </c>
      <c r="W72" s="100">
        <f>IF(Table_Perf6[[#This Row],[LL97 Emissions Limit (tCO2e)]]="",0,MAX(0,Table_Perf6[[#This Row],[LL97 Business-As-Usual Emissions]]-Table_Perf6[[#This Row],[LL97 Emissions Limit (tCO2e)]]))</f>
        <v>155.13298609999998</v>
      </c>
      <c r="X72" s="100">
        <f>IF(Table_Perf6[[#This Row],[LL97 Emissions Limit (tCO2e)]]="",0,MAX(0,Table_Perf6[[#This Row],[LL97 Emissions After Measures]]-Table_Perf6[[#This Row],[LL97 Emissions Limit (tCO2e)]]))</f>
        <v>0</v>
      </c>
      <c r="Y72" s="100">
        <f>Table_Perf6[[#This Row],[LL97 Business-As-Usual Emissions]]-Table_Perf6[[#This Row],[LL97 Emissions After Measures]]</f>
        <v>193.29725249999998</v>
      </c>
      <c r="Z72" s="102" t="str">
        <f>IF(Table_Perf6[[#This Row],[Year]]&lt;2024,"Not in enforcement period",IF(Table_Perf6[[#This Row],[LL97 Excess Emissions After Measures]]=0,"Compliant","Not-Compliant"))</f>
        <v>Compliant</v>
      </c>
      <c r="AA72" s="104">
        <f>IFERROR(-268*Table_Perf6[[#This Row],[LL97 Excess Emissions After Measures]],0)</f>
        <v>0</v>
      </c>
      <c r="AB72" s="102">
        <f>IFERROR(268*MIN(Table_Perf6[[#This Row],[LL97 BAU Excess Emissions]],Table_Perf6[[#This Row],[LL97 Emissions Reduced by Measures]]),0)</f>
        <v>41575.640274799996</v>
      </c>
      <c r="AC72" s="105">
        <f>IF(OR(Table_Perf6[[#This Row],[Year]]&lt;2024,Table_Perf6[[#This Row],[Year]]&gt;2050,ISERROR(Table_Perf6[[#This Row],[LL97 Adjusted Penalty After Measures]])),"",Table_Perf6[[#This Row],[LL97 Adjusted Penalty After Measures]])</f>
        <v>0</v>
      </c>
      <c r="AD72" s="102">
        <f>IF(Table_Perf6[[#This Row],[Year]]&gt;2050,NA(),_xlfn.AGGREGATE(9,6,Table_Perf6[[#This Row],[Measure Cost ($)]],Table_Perf6[[#This Row],[Utility Savings ($)]],Table_Perf6[[#This Row],[LL97 Penalty Avoided by Measures ($)]]))</f>
        <v>72917.640274799996</v>
      </c>
      <c r="AE72" s="102">
        <f>SUM($AD$48:AD72)</f>
        <v>41461.368468200046</v>
      </c>
      <c r="AF72" s="102">
        <f>IF(Table_Perf6[[#This Row],[Year]]&gt;2050,NA(),_xlfn.AGGREGATE(9,6,Table_Perf6[[#This Row],[Measure Cost ($)]],Table_Perf6[[#This Row],[LL97 Adjusted Penalty After Measures]]))</f>
        <v>0</v>
      </c>
      <c r="AG72" s="106">
        <f>Table_Perf6[[#This Row],[Year]]</f>
        <v>2048</v>
      </c>
      <c r="AH72" s="99">
        <f>COUNTIFS(Table_ECM7[When will the measure installation be complete and operational?],"&lt;="&amp;Table_Perf6[[#This Row],[Yr]],Table_ECM7[Would you like to Include this measure in the decarbonization pathway?],TRUE)</f>
        <v>15</v>
      </c>
      <c r="AI72" s="99" t="str">
        <f>IF(Table_Perf6[[#This Row],[Measure Qty]]=AH71,"",_xlfn.CONCAT(Table_Perf6[[#This Row],[Measure Qty]], " Measures Done"))</f>
        <v/>
      </c>
      <c r="AJ72" s="107" t="e">
        <f>IF(Table_Perf6[[#This Row],[Measure Label]]="",NA(),Table_Perf6[[#This Row],[LL97 Emissions After Measures]])</f>
        <v>#N/A</v>
      </c>
    </row>
    <row r="73" spans="2:55" hidden="1" outlineLevel="1">
      <c r="C73" s="98">
        <v>25</v>
      </c>
      <c r="D73" s="108">
        <f>IF(BaseYr+Table_Perf6[[#This Row],['#]]&gt;EndYr,NA(),BaseYr+Table_Perf6[[#This Row],['#]])</f>
        <v>2049</v>
      </c>
      <c r="E73" s="109" cm="1">
        <f t="array" ref="E73">MAX(0,IF(Table_Perf6[[#This Row],[Year]]=BaseYr,IFERROR(Table_UtilityInput9[Annual Electricity 
(kWh)]*3.412,0),
(E72-3.412*SUMIFS(Table_ECM7[Annual Electricity Savings
(kWh)],Table_ECM7[When will the measure installation be complete and operational?],Table_Perf6[[#This Row],[Year]],Table_ECM7[Would you like to Include this measure in the decarbonization pathway?],TRUE))))</f>
        <v>1944734.2279999999</v>
      </c>
      <c r="F73" s="109" cm="1">
        <f t="array" ref="F73">MAX(0,IF(Table_Perf6[[#This Row],[Year]]=BaseYr,IFERROR(Table_UtilityInput9[Annual Natural Gas  
(therm)]*100,0),
(F72-100*SUMIFS(Table_ECM7[Annual Natural Gas Savings
(therm)],Table_ECM7[When will the measure installation be complete and operational?],Table_Perf6[[#This Row],[Year]],Table_ECM7[Would you like to Include this measure in the decarbonization pathway?],TRUE))))</f>
        <v>713700</v>
      </c>
      <c r="G73" s="109" cm="1">
        <f t="array" ref="G73">MAX(0,IF(Table_Perf6[[#This Row],[Year]]=BaseYr,IFERROR(Table_UtilityInput9[Annual Fuel Oil'#2
(Gallon)]*138,0),
(G72-138*SUMIFS(Table_ECM7[Annual Fuel Oil'#2 Savings
(Gallon)],Table_ECM7[When will the measure installation be complete and operational?],Table_Perf6[[#This Row],[Year]],Table_ECM7[Would you like to Include this measure in the decarbonization pathway?],TRUE))))</f>
        <v>0</v>
      </c>
      <c r="H73" s="109" cm="1">
        <f t="array" ref="H73">MAX(0,IF(Table_Perf6[[#This Row],[Year]]=BaseYr,IFERROR(Table_UtilityInput9[Annual District Steam  
(Mlb for ConEd, kLb for others)]*1194,0),
(H72-1194*SUMIFS(Table_ECM7[Annual District Steam Savings
(Mlb for ConEd, klb for others)],Table_ECM7[When will the measure installation be complete and operational?],Table_Perf6[[#This Row],[Year]],Table_ECM7[Would you like to Include this measure in the decarbonization pathway?],TRUE))))</f>
        <v>0</v>
      </c>
      <c r="I73" s="109" cm="1">
        <f t="array" ref="I73">MAX(0,IF(Table_Perf6[[#This Row],[Year]]=BaseYr,IFERROR(Table_UtilityInput9[Annual Other Fuel 1
(kBtu)],0),
(I72-SUMIFS(Table_ECM7[Annual Other Fuel 1 Savings
(kBtu)],Table_ECM7[When will the measure installation be complete and operational?],Table_Perf6[[#This Row],[Year]],Table_ECM7[Would you like to Include this measure in the decarbonization pathway?],TRUE))))</f>
        <v>0</v>
      </c>
      <c r="J73" s="100" cm="1">
        <f t="array" ref="J73">MAX(0,IF(Table_Perf6[[#This Row],[Year]]=BaseYr,IFERROR(Table_UtilityInput9[Annual Other Fuel 2
(kBtu)],0),
(J72-SUMIFS(Table_ECM7[Annual Other Fuel 2 Savings
(kBtu)],Table_ECM7[When will the measure installation be complete and operational?],Table_Perf6[[#This Row],[Year]],Table_ECM7[Would you like to Include this measure in the decarbonization pathway?],TRUE))))</f>
        <v>0</v>
      </c>
      <c r="K73" s="101">
        <f>-SUMIFS(Table_ECM7[Cost to Install Measures ($)],Table_ECM7[When will the measure installation be complete and operational?],Table_Perf6[[#This Row],[Year]],Table_ECM7[Would you like to Include this measure in the decarbonization pathway?],TRUE)</f>
        <v>0</v>
      </c>
      <c r="L73" s="102" cm="1">
        <f t="array" ref="L73">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73" s="103"/>
      <c r="N73" s="100" cm="1">
        <f t="array" ref="N73">Table_Perf6[[#This Row],[Electricity (kBtu)]]*INDEX(Table_UtilityDecarb[Carbon Intensity (tCO2e/kBtu)],MATCH(N$46&amp;Table_Perf6[[#This Row],[Year]],Table_UtilityDecarb[Fuel Type]&amp;Table_UtilityDecarb[Year],0))</f>
        <v>41.3227525</v>
      </c>
      <c r="O73" s="100">
        <f>Table_Perf6[[#This Row],[Natural Gas (kBtu)]]*INDEX(Table_UtilityDecarb[Carbon Intensity (tCO2e/kBtu)],MATCH(O$46,Table_UtilityDecarb[Fuel Type],0))</f>
        <v>37.904606999999999</v>
      </c>
      <c r="P73" s="100">
        <f>Table_Perf6[[#This Row],[Fuel Oil'#2 (kBtu)]]*INDEX(Table_UtilityDecarb[Carbon Intensity (tCO2e/kBtu)],MATCH(P$46,Table_UtilityDecarb[Fuel Type],0))</f>
        <v>0</v>
      </c>
      <c r="Q73" s="100" cm="1">
        <f t="array" ref="Q73">Table_Perf6[[#This Row],[District Steam (kBtu)]]*INDEX(Table_UtilityDecarb[Carbon Intensity (tCO2e/kBtu)],MATCH(Q$46&amp;Table_Perf6[[#This Row],[Year]],Table_UtilityDecarb[Fuel Type]&amp;Table_UtilityDecarb[Year],0))</f>
        <v>0</v>
      </c>
      <c r="R73" s="100" cm="1">
        <f t="array" ref="R73">IF(OR(Table_UtilityInput9[Annual Other Fuel 1
(kBtu)]="",NOT(ISNUMBER(Table_UtilityInput9[Annual Other Fuel 1
(kBtu)]))),0,Table_Perf6[[#This Row],[Other Fuel 1 (kBtu)]]*INDEX(Table_UtilityDecarb[Carbon Intensity (tCO2e/kBtu)],MATCH(R$46,Table_UtilityDecarb[Fuel Type],0)))</f>
        <v>0</v>
      </c>
      <c r="S73" s="100" cm="1">
        <f t="array" ref="S73">IF(OR(Table_UtilityInput9[Annual Other Fuel 2
(kBtu)]="",NOT(ISNUMBER(Table_UtilityInput9[Annual Other Fuel 2
(kBtu)]))),0,Table_Perf6[[#This Row],[Other Fuel 2 (kBtu)]]*INDEX(Table_UtilityDecarb[Carbon Intensity (tCO2e/kBtu)],MATCH(S$46,Table_UtilityDecarb[Fuel Type],0)))</f>
        <v>0</v>
      </c>
      <c r="T73" s="100">
        <f>IF(Table_Perf6[[#This Row],[Year]]&gt;2050,NA(),_xlfn.AGGREGATE(9,6,Table_Perf6[[#This Row],[LL97 Electricity (tCO2e)]:[LL97 Other Fuel 2 (tCO2e)]]))</f>
        <v>79.227359500000006</v>
      </c>
      <c r="U73" s="100">
        <f>IF(Table_Perf6[[#This Row],[Year]]&lt;2035,NA(),INDEX(Table_LimitsCalc_Sample1[Total Limits (tCO2e)],MATCH(Table_Perf6[[#This Row],[Year]],Table_LimitsCalc_Sample1[Year],0)))</f>
        <v>117.39162589999999</v>
      </c>
      <c r="V73" s="100" cm="1">
        <f t="array" ref="V73">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272.52461199999999</v>
      </c>
      <c r="W73" s="100">
        <f>IF(Table_Perf6[[#This Row],[LL97 Emissions Limit (tCO2e)]]="",0,MAX(0,Table_Perf6[[#This Row],[LL97 Business-As-Usual Emissions]]-Table_Perf6[[#This Row],[LL97 Emissions Limit (tCO2e)]]))</f>
        <v>155.13298609999998</v>
      </c>
      <c r="X73" s="100">
        <f>IF(Table_Perf6[[#This Row],[LL97 Emissions Limit (tCO2e)]]="",0,MAX(0,Table_Perf6[[#This Row],[LL97 Emissions After Measures]]-Table_Perf6[[#This Row],[LL97 Emissions Limit (tCO2e)]]))</f>
        <v>0</v>
      </c>
      <c r="Y73" s="100">
        <f>Table_Perf6[[#This Row],[LL97 Business-As-Usual Emissions]]-Table_Perf6[[#This Row],[LL97 Emissions After Measures]]</f>
        <v>193.29725249999998</v>
      </c>
      <c r="Z73" s="102" t="str">
        <f>IF(Table_Perf6[[#This Row],[Year]]&lt;2024,"Not in enforcement period",IF(Table_Perf6[[#This Row],[LL97 Excess Emissions After Measures]]=0,"Compliant","Not-Compliant"))</f>
        <v>Compliant</v>
      </c>
      <c r="AA73" s="104">
        <f>IFERROR(-268*Table_Perf6[[#This Row],[LL97 Excess Emissions After Measures]],0)</f>
        <v>0</v>
      </c>
      <c r="AB73" s="102">
        <f>IFERROR(268*MIN(Table_Perf6[[#This Row],[LL97 BAU Excess Emissions]],Table_Perf6[[#This Row],[LL97 Emissions Reduced by Measures]]),0)</f>
        <v>41575.640274799996</v>
      </c>
      <c r="AC73" s="105">
        <f>IF(OR(Table_Perf6[[#This Row],[Year]]&lt;2024,Table_Perf6[[#This Row],[Year]]&gt;2050,ISERROR(Table_Perf6[[#This Row],[LL97 Adjusted Penalty After Measures]])),"",Table_Perf6[[#This Row],[LL97 Adjusted Penalty After Measures]])</f>
        <v>0</v>
      </c>
      <c r="AD73" s="102">
        <f>IF(Table_Perf6[[#This Row],[Year]]&gt;2050,NA(),_xlfn.AGGREGATE(9,6,Table_Perf6[[#This Row],[Measure Cost ($)]],Table_Perf6[[#This Row],[Utility Savings ($)]],Table_Perf6[[#This Row],[LL97 Penalty Avoided by Measures ($)]]))</f>
        <v>72917.640274799996</v>
      </c>
      <c r="AE73" s="102">
        <f>SUM($AD$48:AD73)</f>
        <v>114379.00874300004</v>
      </c>
      <c r="AF73" s="102">
        <f>IF(Table_Perf6[[#This Row],[Year]]&gt;2050,NA(),_xlfn.AGGREGATE(9,6,Table_Perf6[[#This Row],[Measure Cost ($)]],Table_Perf6[[#This Row],[LL97 Adjusted Penalty After Measures]]))</f>
        <v>0</v>
      </c>
      <c r="AG73" s="106">
        <f>Table_Perf6[[#This Row],[Year]]</f>
        <v>2049</v>
      </c>
      <c r="AH73" s="99">
        <f>COUNTIFS(Table_ECM7[When will the measure installation be complete and operational?],"&lt;="&amp;Table_Perf6[[#This Row],[Yr]],Table_ECM7[Would you like to Include this measure in the decarbonization pathway?],TRUE)</f>
        <v>15</v>
      </c>
      <c r="AI73" s="99" t="str">
        <f>IF(Table_Perf6[[#This Row],[Measure Qty]]=AH72,"",_xlfn.CONCAT(Table_Perf6[[#This Row],[Measure Qty]], " Measures Done"))</f>
        <v/>
      </c>
      <c r="AJ73" s="107" t="e">
        <f>IF(Table_Perf6[[#This Row],[Measure Label]]="",NA(),Table_Perf6[[#This Row],[LL97 Emissions After Measures]])</f>
        <v>#N/A</v>
      </c>
    </row>
    <row r="74" spans="2:55" hidden="1" outlineLevel="1">
      <c r="C74" s="98">
        <v>26</v>
      </c>
      <c r="D74" s="108">
        <f>IF(BaseYr+Table_Perf6[[#This Row],['#]]&gt;EndYr,NA(),BaseYr+Table_Perf6[[#This Row],['#]])</f>
        <v>2050</v>
      </c>
      <c r="E74" s="109" cm="1">
        <f t="array" ref="E74">MAX(0,IF(Table_Perf6[[#This Row],[Year]]=BaseYr,IFERROR(Table_UtilityInput9[Annual Electricity 
(kWh)]*3.412,0),
(E73-3.412*SUMIFS(Table_ECM7[Annual Electricity Savings
(kWh)],Table_ECM7[When will the measure installation be complete and operational?],Table_Perf6[[#This Row],[Year]],Table_ECM7[Would you like to Include this measure in the decarbonization pathway?],TRUE))))</f>
        <v>1944734.2279999999</v>
      </c>
      <c r="F74" s="109" cm="1">
        <f t="array" ref="F74">MAX(0,IF(Table_Perf6[[#This Row],[Year]]=BaseYr,IFERROR(Table_UtilityInput9[Annual Natural Gas  
(therm)]*100,0),
(F73-100*SUMIFS(Table_ECM7[Annual Natural Gas Savings
(therm)],Table_ECM7[When will the measure installation be complete and operational?],Table_Perf6[[#This Row],[Year]],Table_ECM7[Would you like to Include this measure in the decarbonization pathway?],TRUE))))</f>
        <v>713700</v>
      </c>
      <c r="G74" s="109" cm="1">
        <f t="array" ref="G74">MAX(0,IF(Table_Perf6[[#This Row],[Year]]=BaseYr,IFERROR(Table_UtilityInput9[Annual Fuel Oil'#2
(Gallon)]*138,0),
(G73-138*SUMIFS(Table_ECM7[Annual Fuel Oil'#2 Savings
(Gallon)],Table_ECM7[When will the measure installation be complete and operational?],Table_Perf6[[#This Row],[Year]],Table_ECM7[Would you like to Include this measure in the decarbonization pathway?],TRUE))))</f>
        <v>0</v>
      </c>
      <c r="H74" s="109" cm="1">
        <f t="array" ref="H74">MAX(0,IF(Table_Perf6[[#This Row],[Year]]=BaseYr,IFERROR(Table_UtilityInput9[Annual District Steam  
(Mlb for ConEd, kLb for others)]*1194,0),
(H73-1194*SUMIFS(Table_ECM7[Annual District Steam Savings
(Mlb for ConEd, klb for others)],Table_ECM7[When will the measure installation be complete and operational?],Table_Perf6[[#This Row],[Year]],Table_ECM7[Would you like to Include this measure in the decarbonization pathway?],TRUE))))</f>
        <v>0</v>
      </c>
      <c r="I74" s="109" cm="1">
        <f t="array" ref="I74">MAX(0,IF(Table_Perf6[[#This Row],[Year]]=BaseYr,IFERROR(Table_UtilityInput9[Annual Other Fuel 1
(kBtu)],0),
(I73-SUMIFS(Table_ECM7[Annual Other Fuel 1 Savings
(kBtu)],Table_ECM7[When will the measure installation be complete and operational?],Table_Perf6[[#This Row],[Year]],Table_ECM7[Would you like to Include this measure in the decarbonization pathway?],TRUE))))</f>
        <v>0</v>
      </c>
      <c r="J74" s="100" cm="1">
        <f t="array" ref="J74">MAX(0,IF(Table_Perf6[[#This Row],[Year]]=BaseYr,IFERROR(Table_UtilityInput9[Annual Other Fuel 2
(kBtu)],0),
(J73-SUMIFS(Table_ECM7[Annual Other Fuel 2 Savings
(kBtu)],Table_ECM7[When will the measure installation be complete and operational?],Table_Perf6[[#This Row],[Year]],Table_ECM7[Would you like to Include this measure in the decarbonization pathway?],TRUE))))</f>
        <v>0</v>
      </c>
      <c r="K74" s="101">
        <f>-SUMIFS(Table_ECM7[Cost to Install Measures ($)],Table_ECM7[When will the measure installation be complete and operational?],Table_Perf6[[#This Row],[Year]],Table_ECM7[Would you like to Include this measure in the decarbonization pathway?],TRUE)</f>
        <v>-275000</v>
      </c>
      <c r="L74" s="102" cm="1">
        <f t="array" ref="L74">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31342</v>
      </c>
      <c r="M74" s="103"/>
      <c r="N74" s="100" cm="1">
        <f t="array" ref="N74">Table_Perf6[[#This Row],[Electricity (kBtu)]]*INDEX(Table_UtilityDecarb[Carbon Intensity (tCO2e/kBtu)],MATCH(N$46&amp;Table_Perf6[[#This Row],[Year]],Table_UtilityDecarb[Fuel Type]&amp;Table_UtilityDecarb[Year],0))</f>
        <v>0</v>
      </c>
      <c r="O74" s="100">
        <f>Table_Perf6[[#This Row],[Natural Gas (kBtu)]]*INDEX(Table_UtilityDecarb[Carbon Intensity (tCO2e/kBtu)],MATCH(O$46,Table_UtilityDecarb[Fuel Type],0))</f>
        <v>37.904606999999999</v>
      </c>
      <c r="P74" s="100">
        <f>Table_Perf6[[#This Row],[Fuel Oil'#2 (kBtu)]]*INDEX(Table_UtilityDecarb[Carbon Intensity (tCO2e/kBtu)],MATCH(P$46,Table_UtilityDecarb[Fuel Type],0))</f>
        <v>0</v>
      </c>
      <c r="Q74" s="100" cm="1">
        <f t="array" ref="Q74">Table_Perf6[[#This Row],[District Steam (kBtu)]]*INDEX(Table_UtilityDecarb[Carbon Intensity (tCO2e/kBtu)],MATCH(Q$46&amp;Table_Perf6[[#This Row],[Year]],Table_UtilityDecarb[Fuel Type]&amp;Table_UtilityDecarb[Year],0))</f>
        <v>0</v>
      </c>
      <c r="R74" s="100" cm="1">
        <f t="array" ref="R74">IF(OR(Table_UtilityInput9[Annual Other Fuel 1
(kBtu)]="",NOT(ISNUMBER(Table_UtilityInput9[Annual Other Fuel 1
(kBtu)]))),0,Table_Perf6[[#This Row],[Other Fuel 1 (kBtu)]]*INDEX(Table_UtilityDecarb[Carbon Intensity (tCO2e/kBtu)],MATCH(R$46,Table_UtilityDecarb[Fuel Type],0)))</f>
        <v>0</v>
      </c>
      <c r="S74" s="100" cm="1">
        <f t="array" ref="S74">IF(OR(Table_UtilityInput9[Annual Other Fuel 2
(kBtu)]="",NOT(ISNUMBER(Table_UtilityInput9[Annual Other Fuel 2
(kBtu)]))),0,Table_Perf6[[#This Row],[Other Fuel 2 (kBtu)]]*INDEX(Table_UtilityDecarb[Carbon Intensity (tCO2e/kBtu)],MATCH(S$46,Table_UtilityDecarb[Fuel Type],0)))</f>
        <v>0</v>
      </c>
      <c r="T74" s="100">
        <f>IF(Table_Perf6[[#This Row],[Year]]&gt;2050,NA(),_xlfn.AGGREGATE(9,6,Table_Perf6[[#This Row],[LL97 Electricity (tCO2e)]:[LL97 Other Fuel 2 (tCO2e)]]))</f>
        <v>37.904606999999999</v>
      </c>
      <c r="U74" s="100">
        <f>IF(Table_Perf6[[#This Row],[Year]]&lt;2035,NA(),INDEX(Table_LimitsCalc_Sample1[Total Limits (tCO2e)],MATCH(Table_Perf6[[#This Row],[Year]],Table_LimitsCalc_Sample1[Year],0)))</f>
        <v>0</v>
      </c>
      <c r="V74" s="100" cm="1">
        <f t="array" ref="V74">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230.42835700000001</v>
      </c>
      <c r="W74" s="100">
        <f>IF(Table_Perf6[[#This Row],[LL97 Emissions Limit (tCO2e)]]="",0,MAX(0,Table_Perf6[[#This Row],[LL97 Business-As-Usual Emissions]]-Table_Perf6[[#This Row],[LL97 Emissions Limit (tCO2e)]]))</f>
        <v>230.42835700000001</v>
      </c>
      <c r="X74" s="100">
        <f>IF(Table_Perf6[[#This Row],[LL97 Emissions Limit (tCO2e)]]="",0,MAX(0,Table_Perf6[[#This Row],[LL97 Emissions After Measures]]-Table_Perf6[[#This Row],[LL97 Emissions Limit (tCO2e)]]))</f>
        <v>37.904606999999999</v>
      </c>
      <c r="Y74" s="100">
        <f>Table_Perf6[[#This Row],[LL97 Business-As-Usual Emissions]]-Table_Perf6[[#This Row],[LL97 Emissions After Measures]]</f>
        <v>192.52375000000001</v>
      </c>
      <c r="Z74" s="102" t="str">
        <f>IF(Table_Perf6[[#This Row],[Year]]&lt;2024,"Not in enforcement period",IF(Table_Perf6[[#This Row],[LL97 Excess Emissions After Measures]]=0,"Compliant","Not-Compliant"))</f>
        <v>Not-Compliant</v>
      </c>
      <c r="AA74" s="104">
        <f>IFERROR(-268*Table_Perf6[[#This Row],[LL97 Excess Emissions After Measures]],0)</f>
        <v>-10158.434675999999</v>
      </c>
      <c r="AB74" s="102">
        <f>IFERROR(268*MIN(Table_Perf6[[#This Row],[LL97 BAU Excess Emissions]],Table_Perf6[[#This Row],[LL97 Emissions Reduced by Measures]]),0)</f>
        <v>51596.365000000005</v>
      </c>
      <c r="AC74" s="105">
        <f>IF(OR(Table_Perf6[[#This Row],[Year]]&lt;2024,Table_Perf6[[#This Row],[Year]]&gt;2050,ISERROR(Table_Perf6[[#This Row],[LL97 Adjusted Penalty After Measures]])),"",Table_Perf6[[#This Row],[LL97 Adjusted Penalty After Measures]])</f>
        <v>-10158.434675999999</v>
      </c>
      <c r="AD74" s="102">
        <f>IF(Table_Perf6[[#This Row],[Year]]&gt;2050,NA(),_xlfn.AGGREGATE(9,6,Table_Perf6[[#This Row],[Measure Cost ($)]],Table_Perf6[[#This Row],[Utility Savings ($)]],Table_Perf6[[#This Row],[LL97 Penalty Avoided by Measures ($)]]))</f>
        <v>-192061.63500000001</v>
      </c>
      <c r="AE74" s="102">
        <f>SUM($AD$48:AD74)</f>
        <v>-77682.626256999967</v>
      </c>
      <c r="AF74" s="102">
        <f>IF(Table_Perf6[[#This Row],[Year]]&gt;2050,NA(),_xlfn.AGGREGATE(9,6,Table_Perf6[[#This Row],[Measure Cost ($)]],Table_Perf6[[#This Row],[LL97 Adjusted Penalty After Measures]]))</f>
        <v>-285158.43467599998</v>
      </c>
      <c r="AG74" s="106">
        <f>Table_Perf6[[#This Row],[Year]]</f>
        <v>2050</v>
      </c>
      <c r="AH74" s="99">
        <f>COUNTIFS(Table_ECM7[When will the measure installation be complete and operational?],"&lt;="&amp;Table_Perf6[[#This Row],[Yr]],Table_ECM7[Would you like to Include this measure in the decarbonization pathway?],TRUE)</f>
        <v>16</v>
      </c>
      <c r="AI74" s="99" t="str">
        <f>IF(Table_Perf6[[#This Row],[Measure Qty]]=AH73,"",_xlfn.CONCAT(Table_Perf6[[#This Row],[Measure Qty]], " Measures Done"))</f>
        <v>16 Measures Done</v>
      </c>
      <c r="AJ74" s="107">
        <f>IF(Table_Perf6[[#This Row],[Measure Label]]="",NA(),Table_Perf6[[#This Row],[LL97 Emissions After Measures]])</f>
        <v>37.904606999999999</v>
      </c>
    </row>
    <row r="75" spans="2:55" hidden="1" outlineLevel="1">
      <c r="C75" s="112">
        <v>27</v>
      </c>
      <c r="D75" s="113" t="e">
        <f>IF(BaseYr+Table_Perf6[[#This Row],['#]]&gt;EndYr,NA(),BaseYr+Table_Perf6[[#This Row],['#]])</f>
        <v>#N/A</v>
      </c>
      <c r="E75" s="114" t="e" cm="1">
        <f t="array" ref="E75">MAX(0,IF(Table_Perf6[[#This Row],[Year]]=BaseYr,IFERROR(Table_UtilityInput9[Annual Electricity 
(kWh)]*3.412,0),
(E74-3.412*SUMIFS(Table_ECM7[Annual Electricity Savings
(kWh)],Table_ECM7[When will the measure installation be complete and operational?],Table_Perf6[[#This Row],[Year]],Table_ECM7[Would you like to Include this measure in the decarbonization pathway?],TRUE))))</f>
        <v>#N/A</v>
      </c>
      <c r="F75" s="114" t="e" cm="1">
        <f t="array" ref="F75">MAX(0,IF(Table_Perf6[[#This Row],[Year]]=BaseYr,IFERROR(Table_UtilityInput9[Annual Natural Gas  
(therm)]*100,0),
(F74-100*SUMIFS(Table_ECM7[Annual Natural Gas Savings
(therm)],Table_ECM7[When will the measure installation be complete and operational?],Table_Perf6[[#This Row],[Year]],Table_ECM7[Would you like to Include this measure in the decarbonization pathway?],TRUE))))</f>
        <v>#N/A</v>
      </c>
      <c r="G75" s="114" t="e" cm="1">
        <f t="array" ref="G75">MAX(0,IF(Table_Perf6[[#This Row],[Year]]=BaseYr,IFERROR(Table_UtilityInput9[Annual Fuel Oil'#2
(Gallon)]*138,0),
(G74-138*SUMIFS(Table_ECM7[Annual Fuel Oil'#2 Savings
(Gallon)],Table_ECM7[When will the measure installation be complete and operational?],Table_Perf6[[#This Row],[Year]],Table_ECM7[Would you like to Include this measure in the decarbonization pathway?],TRUE))))</f>
        <v>#N/A</v>
      </c>
      <c r="H75" s="114" t="e" cm="1">
        <f t="array" ref="H75">MAX(0,IF(Table_Perf6[[#This Row],[Year]]=BaseYr,IFERROR(Table_UtilityInput9[Annual District Steam  
(Mlb for ConEd, kLb for others)]*1194,0),
(H74-1194*SUMIFS(Table_ECM7[Annual District Steam Savings
(Mlb for ConEd, klb for others)],Table_ECM7[When will the measure installation be complete and operational?],Table_Perf6[[#This Row],[Year]],Table_ECM7[Would you like to Include this measure in the decarbonization pathway?],TRUE))))</f>
        <v>#N/A</v>
      </c>
      <c r="I75" s="114" t="e" cm="1">
        <f t="array" ref="I75">MAX(0,IF(Table_Perf6[[#This Row],[Year]]=BaseYr,IFERROR(Table_UtilityInput9[Annual Other Fuel 1
(kBtu)],0),
(I74-SUMIFS(Table_ECM7[Annual Other Fuel 1 Savings
(kBtu)],Table_ECM7[When will the measure installation be complete and operational?],Table_Perf6[[#This Row],[Year]],Table_ECM7[Would you like to Include this measure in the decarbonization pathway?],TRUE))))</f>
        <v>#N/A</v>
      </c>
      <c r="J75" s="115" t="e" cm="1">
        <f t="array" ref="J75">MAX(0,IF(Table_Perf6[[#This Row],[Year]]=BaseYr,IFERROR(Table_UtilityInput9[Annual Other Fuel 2
(kBtu)],0),
(J74-SUMIFS(Table_ECM7[Annual Other Fuel 2 Savings
(kBtu)],Table_ECM7[When will the measure installation be complete and operational?],Table_Perf6[[#This Row],[Year]],Table_ECM7[Would you like to Include this measure in the decarbonization pathway?],TRUE))))</f>
        <v>#N/A</v>
      </c>
      <c r="K75" s="116">
        <f>-SUMIFS(Table_ECM7[Cost to Install Measures ($)],Table_ECM7[When will the measure installation be complete and operational?],Table_Perf6[[#This Row],[Year]],Table_ECM7[Would you like to Include this measure in the decarbonization pathway?],TRUE)</f>
        <v>0</v>
      </c>
      <c r="L75" s="117" cm="1">
        <f t="array" ref="L75">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0</v>
      </c>
      <c r="M75" s="118"/>
      <c r="N75" s="115" t="e" cm="1">
        <f t="array" ref="N75">Table_Perf6[[#This Row],[Electricity (kBtu)]]*INDEX(Table_UtilityDecarb[Carbon Intensity (tCO2e/kBtu)],MATCH(N$46&amp;Table_Perf6[[#This Row],[Year]],Table_UtilityDecarb[Fuel Type]&amp;Table_UtilityDecarb[Year],0))</f>
        <v>#N/A</v>
      </c>
      <c r="O75" s="115" t="e">
        <f>Table_Perf6[[#This Row],[Natural Gas (kBtu)]]*INDEX(Table_UtilityDecarb[Carbon Intensity (tCO2e/kBtu)],MATCH(O$46,Table_UtilityDecarb[Fuel Type],0))</f>
        <v>#N/A</v>
      </c>
      <c r="P75" s="115" t="e">
        <f>Table_Perf6[[#This Row],[Fuel Oil'#2 (kBtu)]]*INDEX(Table_UtilityDecarb[Carbon Intensity (tCO2e/kBtu)],MATCH(P$46,Table_UtilityDecarb[Fuel Type],0))</f>
        <v>#N/A</v>
      </c>
      <c r="Q75" s="115" t="e" cm="1">
        <f t="array" ref="Q75">Table_Perf6[[#This Row],[District Steam (kBtu)]]*INDEX(Table_UtilityDecarb[Carbon Intensity (tCO2e/kBtu)],MATCH(Q$46&amp;Table_Perf6[[#This Row],[Year]],Table_UtilityDecarb[Fuel Type]&amp;Table_UtilityDecarb[Year],0))</f>
        <v>#N/A</v>
      </c>
      <c r="R75" s="115" cm="1">
        <f t="array" ref="R75">IF(OR(Table_UtilityInput9[Annual Other Fuel 1
(kBtu)]="",NOT(ISNUMBER(Table_UtilityInput9[Annual Other Fuel 1
(kBtu)]))),0,Table_Perf6[[#This Row],[Other Fuel 1 (kBtu)]]*INDEX(Table_UtilityDecarb[Carbon Intensity (tCO2e/kBtu)],MATCH(R$46,Table_UtilityDecarb[Fuel Type],0)))</f>
        <v>0</v>
      </c>
      <c r="S75" s="115" cm="1">
        <f t="array" ref="S75">IF(OR(Table_UtilityInput9[Annual Other Fuel 2
(kBtu)]="",NOT(ISNUMBER(Table_UtilityInput9[Annual Other Fuel 2
(kBtu)]))),0,Table_Perf6[[#This Row],[Other Fuel 2 (kBtu)]]*INDEX(Table_UtilityDecarb[Carbon Intensity (tCO2e/kBtu)],MATCH(S$46,Table_UtilityDecarb[Fuel Type],0)))</f>
        <v>0</v>
      </c>
      <c r="T75" s="115" t="e">
        <f>IF(Table_Perf6[[#This Row],[Year]]&gt;2050,NA(),_xlfn.AGGREGATE(9,6,Table_Perf6[[#This Row],[LL97 Electricity (tCO2e)]:[LL97 Other Fuel 2 (tCO2e)]]))</f>
        <v>#N/A</v>
      </c>
      <c r="U75" s="115" t="e">
        <f>IF(Table_Perf6[[#This Row],[Year]]&lt;2035,NA(),INDEX(Table_LimitsCalc_Sample1[Total Limits (tCO2e)],MATCH(Table_Perf6[[#This Row],[Year]],Table_LimitsCalc_Sample1[Year],0)))</f>
        <v>#N/A</v>
      </c>
      <c r="V75" s="115" t="e" cm="1">
        <f t="array" ref="V75">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#N/A</v>
      </c>
      <c r="W75" s="115" t="e">
        <f>IF(Table_Perf6[[#This Row],[LL97 Emissions Limit (tCO2e)]]="",0,MAX(0,Table_Perf6[[#This Row],[LL97 Business-As-Usual Emissions]]-Table_Perf6[[#This Row],[LL97 Emissions Limit (tCO2e)]]))</f>
        <v>#N/A</v>
      </c>
      <c r="X75" s="115" t="e">
        <f>IF(Table_Perf6[[#This Row],[LL97 Emissions Limit (tCO2e)]]="",0,MAX(0,Table_Perf6[[#This Row],[LL97 Emissions After Measures]]-Table_Perf6[[#This Row],[LL97 Emissions Limit (tCO2e)]]))</f>
        <v>#N/A</v>
      </c>
      <c r="Y75" s="115" t="e">
        <f>Table_Perf6[[#This Row],[LL97 Business-As-Usual Emissions]]-Table_Perf6[[#This Row],[LL97 Emissions After Measures]]</f>
        <v>#N/A</v>
      </c>
      <c r="Z75" s="117" t="e">
        <f>IF(Table_Perf6[[#This Row],[Year]]&lt;2024,"Not in enforcement period",IF(Table_Perf6[[#This Row],[LL97 Excess Emissions After Measures]]=0,"Compliant","Not-Compliant"))</f>
        <v>#N/A</v>
      </c>
      <c r="AA75" s="119">
        <f>IFERROR(-268*Table_Perf6[[#This Row],[LL97 Excess Emissions After Measures]],0)</f>
        <v>0</v>
      </c>
      <c r="AB75" s="117">
        <f>IFERROR(268*MIN(Table_Perf6[[#This Row],[LL97 BAU Excess Emissions]],Table_Perf6[[#This Row],[LL97 Emissions Reduced by Measures]]),0)</f>
        <v>0</v>
      </c>
      <c r="AC75" s="120" t="e">
        <f>IF(OR(Table_Perf6[[#This Row],[Year]]&lt;2024,Table_Perf6[[#This Row],[Year]]&gt;2050,ISERROR(Table_Perf6[[#This Row],[LL97 Adjusted Penalty After Measures]])),"",Table_Perf6[[#This Row],[LL97 Adjusted Penalty After Measures]])</f>
        <v>#N/A</v>
      </c>
      <c r="AD75" s="117" t="e">
        <f>IF(Table_Perf6[[#This Row],[Year]]&gt;2050,NA(),_xlfn.AGGREGATE(9,6,Table_Perf6[[#This Row],[Measure Cost ($)]],Table_Perf6[[#This Row],[Utility Savings ($)]],Table_Perf6[[#This Row],[LL97 Penalty Avoided by Measures ($)]]))</f>
        <v>#N/A</v>
      </c>
      <c r="AE75" s="102" t="e">
        <f>SUM($AD$48:AD75)</f>
        <v>#N/A</v>
      </c>
      <c r="AF75" s="117" t="e">
        <f>IF(Table_Perf6[[#This Row],[Year]]&gt;2050,NA(),_xlfn.AGGREGATE(9,6,Table_Perf6[[#This Row],[Measure Cost ($)]],Table_Perf6[[#This Row],[LL97 Adjusted Penalty After Measures]]))</f>
        <v>#N/A</v>
      </c>
      <c r="AG75" s="121" t="e">
        <f>Table_Perf6[[#This Row],[Year]]</f>
        <v>#N/A</v>
      </c>
      <c r="AH75" s="99">
        <f>COUNTIFS(Table_ECM7[When will the measure installation be complete and operational?],"&lt;="&amp;Table_Perf6[[#This Row],[Yr]],Table_ECM7[Would you like to Include this measure in the decarbonization pathway?],TRUE)</f>
        <v>0</v>
      </c>
      <c r="AI75" s="99" t="str">
        <f>IF(Table_Perf6[[#This Row],[Measure Qty]]=AH74,"",_xlfn.CONCAT(Table_Perf6[[#This Row],[Measure Qty]], " Measures Done"))</f>
        <v>0 Measures Done</v>
      </c>
      <c r="AJ75" s="107" t="e">
        <f>IF(Table_Perf6[[#This Row],[Measure Label]]="",NA(),Table_Perf6[[#This Row],[LL97 Emissions After Measures]])</f>
        <v>#N/A</v>
      </c>
    </row>
    <row r="76" spans="2:55" hidden="1" outlineLevel="1">
      <c r="C76" s="98">
        <v>28</v>
      </c>
      <c r="D76" s="113" t="e">
        <f>IF(BaseYr+Table_Perf6[[#This Row],['#]]&gt;EndYr,NA(),BaseYr+Table_Perf6[[#This Row],['#]])</f>
        <v>#N/A</v>
      </c>
      <c r="E76" s="100" t="e" cm="1">
        <f t="array" ref="E76">MAX(0,IF(Table_Perf6[[#This Row],[Year]]=BaseYr,IFERROR(Table_UtilityInput9[Annual Electricity 
(kWh)]*3.412,0),
(E75-3.412*SUMIFS(Table_ECM7[Annual Electricity Savings
(kWh)],Table_ECM7[When will the measure installation be complete and operational?],Table_Perf6[[#This Row],[Year]],Table_ECM7[Would you like to Include this measure in the decarbonization pathway?],TRUE))))</f>
        <v>#N/A</v>
      </c>
      <c r="F76" s="100" t="e" cm="1">
        <f t="array" ref="F76">MAX(0,IF(Table_Perf6[[#This Row],[Year]]=BaseYr,IFERROR(Table_UtilityInput9[Annual Natural Gas  
(therm)]*100,0),
(F75-100*SUMIFS(Table_ECM7[Annual Natural Gas Savings
(therm)],Table_ECM7[When will the measure installation be complete and operational?],Table_Perf6[[#This Row],[Year]],Table_ECM7[Would you like to Include this measure in the decarbonization pathway?],TRUE))))</f>
        <v>#N/A</v>
      </c>
      <c r="G76" s="100" t="e" cm="1">
        <f t="array" ref="G76">MAX(0,IF(Table_Perf6[[#This Row],[Year]]=BaseYr,IFERROR(Table_UtilityInput9[Annual Fuel Oil'#2
(Gallon)]*138,0),
(G75-138*SUMIFS(Table_ECM7[Annual Fuel Oil'#2 Savings
(Gallon)],Table_ECM7[When will the measure installation be complete and operational?],Table_Perf6[[#This Row],[Year]],Table_ECM7[Would you like to Include this measure in the decarbonization pathway?],TRUE))))</f>
        <v>#N/A</v>
      </c>
      <c r="H76" s="100" t="e" cm="1">
        <f t="array" ref="H76">MAX(0,IF(Table_Perf6[[#This Row],[Year]]=BaseYr,IFERROR(Table_UtilityInput9[Annual District Steam  
(Mlb for ConEd, kLb for others)]*1194,0),
(H75-1194*SUMIFS(Table_ECM7[Annual District Steam Savings
(Mlb for ConEd, klb for others)],Table_ECM7[When will the measure installation be complete and operational?],Table_Perf6[[#This Row],[Year]],Table_ECM7[Would you like to Include this measure in the decarbonization pathway?],TRUE))))</f>
        <v>#N/A</v>
      </c>
      <c r="I76" s="100" t="e" cm="1">
        <f t="array" ref="I76">MAX(0,IF(Table_Perf6[[#This Row],[Year]]=BaseYr,IFERROR(Table_UtilityInput9[Annual Other Fuel 1
(kBtu)],0),
(I75-SUMIFS(Table_ECM7[Annual Other Fuel 1 Savings
(kBtu)],Table_ECM7[When will the measure installation be complete and operational?],Table_Perf6[[#This Row],[Year]],Table_ECM7[Would you like to Include this measure in the decarbonization pathway?],TRUE))))</f>
        <v>#N/A</v>
      </c>
      <c r="J76" s="100" t="e" cm="1">
        <f t="array" ref="J76">MAX(0,IF(Table_Perf6[[#This Row],[Year]]=BaseYr,IFERROR(Table_UtilityInput9[Annual Other Fuel 2
(kBtu)],0),
(J75-SUMIFS(Table_ECM7[Annual Other Fuel 2 Savings
(kBtu)],Table_ECM7[When will the measure installation be complete and operational?],Table_Perf6[[#This Row],[Year]],Table_ECM7[Would you like to Include this measure in the decarbonization pathway?],TRUE))))</f>
        <v>#N/A</v>
      </c>
      <c r="K76" s="101">
        <f>-SUMIFS(Table_ECM7[Cost to Install Measures ($)],Table_ECM7[When will the measure installation be complete and operational?],Table_Perf6[[#This Row],[Year]],Table_ECM7[Would you like to Include this measure in the decarbonization pathway?],TRUE)</f>
        <v>0</v>
      </c>
      <c r="L76" s="102" cm="1">
        <f t="array" ref="L76">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0</v>
      </c>
      <c r="M76" s="103"/>
      <c r="N76" s="100" t="e" cm="1">
        <f t="array" ref="N76">Table_Perf6[[#This Row],[Electricity (kBtu)]]*INDEX(Table_UtilityDecarb[Carbon Intensity (tCO2e/kBtu)],MATCH(N$46&amp;Table_Perf6[[#This Row],[Year]],Table_UtilityDecarb[Fuel Type]&amp;Table_UtilityDecarb[Year],0))</f>
        <v>#N/A</v>
      </c>
      <c r="O76" s="100" t="e">
        <f>Table_Perf6[[#This Row],[Natural Gas (kBtu)]]*INDEX(Table_UtilityDecarb[Carbon Intensity (tCO2e/kBtu)],MATCH(O$46,Table_UtilityDecarb[Fuel Type],0))</f>
        <v>#N/A</v>
      </c>
      <c r="P76" s="100" t="e">
        <f>Table_Perf6[[#This Row],[Fuel Oil'#2 (kBtu)]]*INDEX(Table_UtilityDecarb[Carbon Intensity (tCO2e/kBtu)],MATCH(P$46,Table_UtilityDecarb[Fuel Type],0))</f>
        <v>#N/A</v>
      </c>
      <c r="Q76" s="100" t="e" cm="1">
        <f t="array" ref="Q76">Table_Perf6[[#This Row],[District Steam (kBtu)]]*INDEX(Table_UtilityDecarb[Carbon Intensity (tCO2e/kBtu)],MATCH(Q$46&amp;Table_Perf6[[#This Row],[Year]],Table_UtilityDecarb[Fuel Type]&amp;Table_UtilityDecarb[Year],0))</f>
        <v>#N/A</v>
      </c>
      <c r="R76" s="100" cm="1">
        <f t="array" ref="R76">IF(OR(Table_UtilityInput9[Annual Other Fuel 1
(kBtu)]="",NOT(ISNUMBER(Table_UtilityInput9[Annual Other Fuel 1
(kBtu)]))),0,Table_Perf6[[#This Row],[Other Fuel 1 (kBtu)]]*INDEX(Table_UtilityDecarb[Carbon Intensity (tCO2e/kBtu)],MATCH(R$46,Table_UtilityDecarb[Fuel Type],0)))</f>
        <v>0</v>
      </c>
      <c r="S76" s="100" cm="1">
        <f t="array" ref="S76">IF(OR(Table_UtilityInput9[Annual Other Fuel 2
(kBtu)]="",NOT(ISNUMBER(Table_UtilityInput9[Annual Other Fuel 2
(kBtu)]))),0,Table_Perf6[[#This Row],[Other Fuel 2 (kBtu)]]*INDEX(Table_UtilityDecarb[Carbon Intensity (tCO2e/kBtu)],MATCH(S$46,Table_UtilityDecarb[Fuel Type],0)))</f>
        <v>0</v>
      </c>
      <c r="T76" s="100" t="e">
        <f>IF(Table_Perf6[[#This Row],[Year]]&gt;2050,NA(),_xlfn.AGGREGATE(9,6,Table_Perf6[[#This Row],[LL97 Electricity (tCO2e)]:[LL97 Other Fuel 2 (tCO2e)]]))</f>
        <v>#N/A</v>
      </c>
      <c r="U76" s="100" t="e">
        <f>IF(Table_Perf6[[#This Row],[Year]]&lt;2035,NA(),INDEX(Table_LimitsCalc_Sample1[Total Limits (tCO2e)],MATCH(Table_Perf6[[#This Row],[Year]],Table_LimitsCalc_Sample1[Year],0)))</f>
        <v>#N/A</v>
      </c>
      <c r="V76" s="100" t="e" cm="1">
        <f t="array" ref="V76">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#N/A</v>
      </c>
      <c r="W76" s="100" t="e">
        <f>IF(Table_Perf6[[#This Row],[LL97 Emissions Limit (tCO2e)]]="",0,MAX(0,Table_Perf6[[#This Row],[LL97 Business-As-Usual Emissions]]-Table_Perf6[[#This Row],[LL97 Emissions Limit (tCO2e)]]))</f>
        <v>#N/A</v>
      </c>
      <c r="X76" s="100" t="e">
        <f>IF(Table_Perf6[[#This Row],[LL97 Emissions Limit (tCO2e)]]="",0,MAX(0,Table_Perf6[[#This Row],[LL97 Emissions After Measures]]-Table_Perf6[[#This Row],[LL97 Emissions Limit (tCO2e)]]))</f>
        <v>#N/A</v>
      </c>
      <c r="Y76" s="100" t="e">
        <f>Table_Perf6[[#This Row],[LL97 Business-As-Usual Emissions]]-Table_Perf6[[#This Row],[LL97 Emissions After Measures]]</f>
        <v>#N/A</v>
      </c>
      <c r="Z76" s="102" t="e">
        <f>IF(Table_Perf6[[#This Row],[Year]]&lt;2024,"Not in enforcement period",IF(Table_Perf6[[#This Row],[LL97 Excess Emissions After Measures]]=0,"Compliant","Not-Compliant"))</f>
        <v>#N/A</v>
      </c>
      <c r="AA76" s="104">
        <f>IFERROR(-268*Table_Perf6[[#This Row],[LL97 Excess Emissions After Measures]],0)</f>
        <v>0</v>
      </c>
      <c r="AB76" s="102">
        <f>IFERROR(268*MIN(Table_Perf6[[#This Row],[LL97 BAU Excess Emissions]],Table_Perf6[[#This Row],[LL97 Emissions Reduced by Measures]]),0)</f>
        <v>0</v>
      </c>
      <c r="AC76" s="105" t="e">
        <f>IF(OR(Table_Perf6[[#This Row],[Year]]&lt;2024,Table_Perf6[[#This Row],[Year]]&gt;2050,ISERROR(Table_Perf6[[#This Row],[LL97 Adjusted Penalty After Measures]])),"",Table_Perf6[[#This Row],[LL97 Adjusted Penalty After Measures]])</f>
        <v>#N/A</v>
      </c>
      <c r="AD76" s="102" t="e">
        <f>IF(Table_Perf6[[#This Row],[Year]]&gt;2050,NA(),_xlfn.AGGREGATE(9,6,Table_Perf6[[#This Row],[Measure Cost ($)]],Table_Perf6[[#This Row],[Utility Savings ($)]],Table_Perf6[[#This Row],[LL97 Penalty Avoided by Measures ($)]]))</f>
        <v>#N/A</v>
      </c>
      <c r="AE76" s="102" t="e">
        <f>SUM($AD$48:AD76)</f>
        <v>#N/A</v>
      </c>
      <c r="AF76" s="102" t="e">
        <f>IF(Table_Perf6[[#This Row],[Year]]&gt;2050,NA(),_xlfn.AGGREGATE(9,6,Table_Perf6[[#This Row],[Measure Cost ($)]],Table_Perf6[[#This Row],[LL97 Adjusted Penalty After Measures]]))</f>
        <v>#N/A</v>
      </c>
      <c r="AG76" s="106" t="e">
        <f>Table_Perf6[[#This Row],[Year]]</f>
        <v>#N/A</v>
      </c>
      <c r="AH76" s="99">
        <f>COUNTIFS(Table_ECM7[When will the measure installation be complete and operational?],"&lt;="&amp;Table_Perf6[[#This Row],[Yr]],Table_ECM7[Would you like to Include this measure in the decarbonization pathway?],TRUE)</f>
        <v>0</v>
      </c>
      <c r="AI76" s="99" t="str">
        <f>IF(Table_Perf6[[#This Row],[Measure Qty]]=AH75,"",_xlfn.CONCAT(Table_Perf6[[#This Row],[Measure Qty]], " Measures Done"))</f>
        <v/>
      </c>
      <c r="AJ76" s="107" t="e">
        <f>IF(Table_Perf6[[#This Row],[Measure Label]]="",NA(),Table_Perf6[[#This Row],[LL97 Emissions After Measures]])</f>
        <v>#N/A</v>
      </c>
    </row>
    <row r="77" spans="2:55" hidden="1" outlineLevel="1">
      <c r="C77" s="98">
        <v>29</v>
      </c>
      <c r="D77" s="122" t="e">
        <f>IF(BaseYr+Table_Perf6[[#This Row],['#]]&gt;EndYr,NA(),BaseYr+Table_Perf6[[#This Row],['#]])</f>
        <v>#N/A</v>
      </c>
      <c r="E77" s="100" t="e" cm="1">
        <f t="array" ref="E77">MAX(0,IF(Table_Perf6[[#This Row],[Year]]=BaseYr,IFERROR(Table_UtilityInput9[Annual Electricity 
(kWh)]*3.412,0),
(E76-3.412*SUMIFS(Table_ECM7[Annual Electricity Savings
(kWh)],Table_ECM7[When will the measure installation be complete and operational?],Table_Perf6[[#This Row],[Year]],Table_ECM7[Would you like to Include this measure in the decarbonization pathway?],TRUE))))</f>
        <v>#N/A</v>
      </c>
      <c r="F77" s="100" t="e" cm="1">
        <f t="array" ref="F77">MAX(0,IF(Table_Perf6[[#This Row],[Year]]=BaseYr,IFERROR(Table_UtilityInput9[Annual Natural Gas  
(therm)]*100,0),
(F76-100*SUMIFS(Table_ECM7[Annual Natural Gas Savings
(therm)],Table_ECM7[When will the measure installation be complete and operational?],Table_Perf6[[#This Row],[Year]],Table_ECM7[Would you like to Include this measure in the decarbonization pathway?],TRUE))))</f>
        <v>#N/A</v>
      </c>
      <c r="G77" s="100" t="e" cm="1">
        <f t="array" ref="G77">MAX(0,IF(Table_Perf6[[#This Row],[Year]]=BaseYr,IFERROR(Table_UtilityInput9[Annual Fuel Oil'#2
(Gallon)]*138,0),
(G76-138*SUMIFS(Table_ECM7[Annual Fuel Oil'#2 Savings
(Gallon)],Table_ECM7[When will the measure installation be complete and operational?],Table_Perf6[[#This Row],[Year]],Table_ECM7[Would you like to Include this measure in the decarbonization pathway?],TRUE))))</f>
        <v>#N/A</v>
      </c>
      <c r="H77" s="100" t="e" cm="1">
        <f t="array" ref="H77">MAX(0,IF(Table_Perf6[[#This Row],[Year]]=BaseYr,IFERROR(Table_UtilityInput9[Annual District Steam  
(Mlb for ConEd, kLb for others)]*1194,0),
(H76-1194*SUMIFS(Table_ECM7[Annual District Steam Savings
(Mlb for ConEd, klb for others)],Table_ECM7[When will the measure installation be complete and operational?],Table_Perf6[[#This Row],[Year]],Table_ECM7[Would you like to Include this measure in the decarbonization pathway?],TRUE))))</f>
        <v>#N/A</v>
      </c>
      <c r="I77" s="100" t="e" cm="1">
        <f t="array" ref="I77">MAX(0,IF(Table_Perf6[[#This Row],[Year]]=BaseYr,IFERROR(Table_UtilityInput9[Annual Other Fuel 1
(kBtu)],0),
(I76-SUMIFS(Table_ECM7[Annual Other Fuel 1 Savings
(kBtu)],Table_ECM7[When will the measure installation be complete and operational?],Table_Perf6[[#This Row],[Year]],Table_ECM7[Would you like to Include this measure in the decarbonization pathway?],TRUE))))</f>
        <v>#N/A</v>
      </c>
      <c r="J77" s="100" t="e" cm="1">
        <f t="array" ref="J77">MAX(0,IF(Table_Perf6[[#This Row],[Year]]=BaseYr,IFERROR(Table_UtilityInput9[Annual Other Fuel 2
(kBtu)],0),
(J76-SUMIFS(Table_ECM7[Annual Other Fuel 2 Savings
(kBtu)],Table_ECM7[When will the measure installation be complete and operational?],Table_Perf6[[#This Row],[Year]],Table_ECM7[Would you like to Include this measure in the decarbonization pathway?],TRUE))))</f>
        <v>#N/A</v>
      </c>
      <c r="K77" s="101">
        <f>-SUMIFS(Table_ECM7[Cost to Install Measures ($)],Table_ECM7[When will the measure installation be complete and operational?],Table_Perf6[[#This Row],[Year]],Table_ECM7[Would you like to Include this measure in the decarbonization pathway?],TRUE)</f>
        <v>0</v>
      </c>
      <c r="L77" s="102" cm="1">
        <f t="array" ref="L77">SUMIFS(Table_ECM7[Total Annual Utility Savings from Audit (for reference )
($)],Table_ECM7[When will the measure installation be complete and operational?],"&lt;="&amp;Table_Perf6[[#This Row],[Year]],Table_ECM7[Would you like to Include this measure in the decarbonization pathway?],TRUE,Table_ECM7[When will the measure installation be complete and operational?],"&gt;="&amp;Table_UtilityInput9[Usage Year])</f>
        <v>0</v>
      </c>
      <c r="M77" s="103"/>
      <c r="N77" s="100" t="e" cm="1">
        <f t="array" ref="N77">Table_Perf6[[#This Row],[Electricity (kBtu)]]*INDEX(Table_UtilityDecarb[Carbon Intensity (tCO2e/kBtu)],MATCH(N$46&amp;Table_Perf6[[#This Row],[Year]],Table_UtilityDecarb[Fuel Type]&amp;Table_UtilityDecarb[Year],0))</f>
        <v>#N/A</v>
      </c>
      <c r="O77" s="100" t="e">
        <f>Table_Perf6[[#This Row],[Natural Gas (kBtu)]]*INDEX(Table_UtilityDecarb[Carbon Intensity (tCO2e/kBtu)],MATCH(O$46,Table_UtilityDecarb[Fuel Type],0))</f>
        <v>#N/A</v>
      </c>
      <c r="P77" s="100" t="e">
        <f>Table_Perf6[[#This Row],[Fuel Oil'#2 (kBtu)]]*INDEX(Table_UtilityDecarb[Carbon Intensity (tCO2e/kBtu)],MATCH(P$46,Table_UtilityDecarb[Fuel Type],0))</f>
        <v>#N/A</v>
      </c>
      <c r="Q77" s="100" t="e" cm="1">
        <f t="array" ref="Q77">Table_Perf6[[#This Row],[District Steam (kBtu)]]*INDEX(Table_UtilityDecarb[Carbon Intensity (tCO2e/kBtu)],MATCH(Q$46&amp;Table_Perf6[[#This Row],[Year]],Table_UtilityDecarb[Fuel Type]&amp;Table_UtilityDecarb[Year],0))</f>
        <v>#N/A</v>
      </c>
      <c r="R77" s="100" cm="1">
        <f t="array" ref="R77">IF(OR(Table_UtilityInput9[Annual Other Fuel 1
(kBtu)]="",NOT(ISNUMBER(Table_UtilityInput9[Annual Other Fuel 1
(kBtu)]))),0,Table_Perf6[[#This Row],[Other Fuel 1 (kBtu)]]*INDEX(Table_UtilityDecarb[Carbon Intensity (tCO2e/kBtu)],MATCH(R$46,Table_UtilityDecarb[Fuel Type],0)))</f>
        <v>0</v>
      </c>
      <c r="S77" s="100" cm="1">
        <f t="array" ref="S77">IF(OR(Table_UtilityInput9[Annual Other Fuel 2
(kBtu)]="",NOT(ISNUMBER(Table_UtilityInput9[Annual Other Fuel 2
(kBtu)]))),0,Table_Perf6[[#This Row],[Other Fuel 2 (kBtu)]]*INDEX(Table_UtilityDecarb[Carbon Intensity (tCO2e/kBtu)],MATCH(S$46,Table_UtilityDecarb[Fuel Type],0)))</f>
        <v>0</v>
      </c>
      <c r="T77" s="100" t="e">
        <f>IF(Table_Perf6[[#This Row],[Year]]&gt;2050,NA(),_xlfn.AGGREGATE(9,6,Table_Perf6[[#This Row],[LL97 Electricity (tCO2e)]:[LL97 Other Fuel 2 (tCO2e)]]))</f>
        <v>#N/A</v>
      </c>
      <c r="U77" s="100" t="e">
        <f>IF(Table_Perf6[[#This Row],[Year]]&lt;2035,NA(),INDEX(Table_LimitsCalc_Sample1[Total Limits (tCO2e)],MATCH(Table_Perf6[[#This Row],[Year]],Table_LimitsCalc_Sample1[Year],0)))</f>
        <v>#N/A</v>
      </c>
      <c r="V77" s="100" t="e" cm="1">
        <f t="array" ref="V77">Table_UtilityInput9[Annual Electricity 
(kWh)]*3.412*INDEX(Table_UtilityDecarb[Carbon Intensity (tCO2e/kBtu)],MATCH("Electricity"&amp;Table_Perf6[[#This Row],[Year]],Table_UtilityDecarb[Fuel Type]&amp;Table_UtilityDecarb[Year],0))+
Table_UtilityInput9[Annual Natural Gas  
(therm)]*100*INDEX(Table_UtilityDecarb[Carbon Intensity (tCO2e/kBtu)],MATCH("Natural Gas",Table_UtilityDecarb[Fuel Type],0))+
Table_UtilityInput9[Annual District Steam  
(Mlb for ConEd, kLb for others)]*1194*INDEX(Table_UtilityDecarb[Carbon Intensity (tCO2e/kBtu)],MATCH("District Steam"&amp;Table_Perf6[[#This Row],[Year]],Table_UtilityDecarb[Fuel Type]&amp;Table_UtilityDecarb[Year],0))+
Table_UtilityInput9[Annual Fuel Oil'#2
(Gallon)]*138*INDEX(Table_UtilityDecarb[Carbon Intensity (tCO2e/kBtu)],MATCH("Fuel Oil #2",Table_UtilityDecarb[Fuel Type],0))+
IF(ISNUMBER(Table_UtilityInput9[Annual Other Fuel 1
(kBtu)]),Table_UtilityInput9[Annual Other Fuel 1
(kBtu)]*INDEX(Table_UtilityDecarb[Carbon Intensity (tCO2e/kBtu)],MATCH($L$8,Table_UtilityDecarb[Fuel Type],0)),0)+
IF(ISNUMBER(Table_UtilityInput9[Annual Other Fuel 2
(kBtu)]),Table_UtilityInput9[Annual Other Fuel 2
(kBtu)]*INDEX(Table_UtilityDecarb[Carbon Intensity (tCO2e/kBtu)],MATCH($M$8,Table_UtilityDecarb[Fuel Type],0)),0)</f>
        <v>#N/A</v>
      </c>
      <c r="W77" s="100" t="e">
        <f>IF(Table_Perf6[[#This Row],[LL97 Emissions Limit (tCO2e)]]="",0,MAX(0,Table_Perf6[[#This Row],[LL97 Business-As-Usual Emissions]]-Table_Perf6[[#This Row],[LL97 Emissions Limit (tCO2e)]]))</f>
        <v>#N/A</v>
      </c>
      <c r="X77" s="100" t="e">
        <f>IF(Table_Perf6[[#This Row],[LL97 Emissions Limit (tCO2e)]]="",0,MAX(0,Table_Perf6[[#This Row],[LL97 Emissions After Measures]]-Table_Perf6[[#This Row],[LL97 Emissions Limit (tCO2e)]]))</f>
        <v>#N/A</v>
      </c>
      <c r="Y77" s="100" t="e">
        <f>Table_Perf6[[#This Row],[LL97 Business-As-Usual Emissions]]-Table_Perf6[[#This Row],[LL97 Emissions After Measures]]</f>
        <v>#N/A</v>
      </c>
      <c r="Z77" s="102" t="e">
        <f>IF(Table_Perf6[[#This Row],[Year]]&lt;2024,"Not in enforcement period",IF(Table_Perf6[[#This Row],[LL97 Excess Emissions After Measures]]=0,"Compliant","Not-Compliant"))</f>
        <v>#N/A</v>
      </c>
      <c r="AA77" s="104">
        <f>IFERROR(-268*Table_Perf6[[#This Row],[LL97 Excess Emissions After Measures]],0)</f>
        <v>0</v>
      </c>
      <c r="AB77" s="102">
        <f>IFERROR(268*MIN(Table_Perf6[[#This Row],[LL97 BAU Excess Emissions]],Table_Perf6[[#This Row],[LL97 Emissions Reduced by Measures]]),0)</f>
        <v>0</v>
      </c>
      <c r="AC77" s="105" t="e">
        <f>IF(OR(Table_Perf6[[#This Row],[Year]]&lt;2024,Table_Perf6[[#This Row],[Year]]&gt;2050,ISERROR(Table_Perf6[[#This Row],[LL97 Adjusted Penalty After Measures]])),"",Table_Perf6[[#This Row],[LL97 Adjusted Penalty After Measures]])</f>
        <v>#N/A</v>
      </c>
      <c r="AD77" s="102" t="e">
        <f>IF(Table_Perf6[[#This Row],[Year]]&gt;2050,NA(),_xlfn.AGGREGATE(9,6,Table_Perf6[[#This Row],[Measure Cost ($)]],Table_Perf6[[#This Row],[Utility Savings ($)]],Table_Perf6[[#This Row],[LL97 Penalty Avoided by Measures ($)]]))</f>
        <v>#N/A</v>
      </c>
      <c r="AE77" s="102" t="e">
        <f>SUM($AD$48:AD77)</f>
        <v>#N/A</v>
      </c>
      <c r="AF77" s="102" t="e">
        <f>IF(Table_Perf6[[#This Row],[Year]]&gt;2050,NA(),_xlfn.AGGREGATE(9,6,Table_Perf6[[#This Row],[Measure Cost ($)]],Table_Perf6[[#This Row],[LL97 Adjusted Penalty After Measures]]))</f>
        <v>#N/A</v>
      </c>
      <c r="AG77" s="123" t="e">
        <f>Table_Perf6[[#This Row],[Year]]</f>
        <v>#N/A</v>
      </c>
      <c r="AH77" s="99">
        <f>COUNTIFS(Table_ECM7[When will the measure installation be complete and operational?],"&lt;="&amp;Table_Perf6[[#This Row],[Yr]],Table_ECM7[Would you like to Include this measure in the decarbonization pathway?],TRUE)</f>
        <v>0</v>
      </c>
      <c r="AI77" s="99" t="str">
        <f>IF(Table_Perf6[[#This Row],[Measure Qty]]=AH76,"",_xlfn.CONCAT(Table_Perf6[[#This Row],[Measure Qty]], " Measures Done"))</f>
        <v/>
      </c>
      <c r="AJ77" s="107" t="e">
        <f>IF(Table_Perf6[[#This Row],[Measure Label]]="",NA(),Table_Perf6[[#This Row],[LL97 Emissions After Measures]])</f>
        <v>#N/A</v>
      </c>
    </row>
    <row r="78" spans="2:55" s="10" customFormat="1" hidden="1" outlineLevel="1">
      <c r="C78" s="107" t="s">
        <v>167</v>
      </c>
      <c r="D78" s="99"/>
      <c r="E78" s="124"/>
      <c r="F78" s="124"/>
      <c r="G78" s="124"/>
      <c r="H78" s="124"/>
      <c r="I78" s="124"/>
      <c r="J78" s="124"/>
      <c r="K78" s="125">
        <f>_xlfn.AGGREGATE(9,6,Table_Perf6[Measure Cost ($)])</f>
        <v>-1594659</v>
      </c>
      <c r="L78" s="126">
        <f>_xlfn.AGGREGATE(9,6,Table_Perf6[Utility Savings ($)])</f>
        <v>937692</v>
      </c>
      <c r="M78" s="127"/>
      <c r="N78" s="124"/>
      <c r="O78" s="124"/>
      <c r="P78" s="124"/>
      <c r="Q78" s="124"/>
      <c r="R78" s="124"/>
      <c r="S78" s="124"/>
      <c r="T78" s="124"/>
      <c r="U78" s="124"/>
      <c r="V78" s="124"/>
      <c r="W78" s="124"/>
      <c r="X78" s="124"/>
      <c r="Y78" s="128">
        <f>_xlfn.AGGREGATE(9,6,Table_Perf6[LL97 Emissions Reduced by Measures])</f>
        <v>3307.1942554999996</v>
      </c>
      <c r="Z78" s="126"/>
      <c r="AA78" s="126">
        <f>_xlfn.AGGREGATE(9,6,Table_Perf6[LL97 Adjusted Penalty After Measures])</f>
        <v>-81834.363134999963</v>
      </c>
      <c r="AB78" s="126">
        <f>_xlfn.AGGREGATE(9,6,Table_Perf6[LL97 Penalty Avoided by Measures ($)])</f>
        <v>579284.37374300009</v>
      </c>
      <c r="AC78" s="126"/>
      <c r="AD78" s="126">
        <f>_xlfn.AGGREGATE(9,6,Table_Perf6[Annual Total Cash Flow ($)])</f>
        <v>-77682.626256999967</v>
      </c>
      <c r="AE78" s="126"/>
      <c r="AF78" s="126">
        <f>_xlfn.AGGREGATE(9,6,Table_Perf6[Annual Total Out-of-Pocket Cost ($)])</f>
        <v>-1676493.3631349998</v>
      </c>
      <c r="AG78" s="99"/>
      <c r="AH78" s="99"/>
      <c r="AI78" s="99"/>
      <c r="AJ78" s="99"/>
    </row>
    <row r="79" spans="2:55" s="14" customFormat="1">
      <c r="L79"/>
      <c r="M79"/>
      <c r="N79"/>
      <c r="O79"/>
      <c r="P79"/>
      <c r="Q79"/>
      <c r="R79"/>
      <c r="S79"/>
      <c r="T79"/>
      <c r="U79" s="16"/>
      <c r="V79" s="16"/>
      <c r="W79" s="16"/>
      <c r="X79" s="16"/>
      <c r="Y79" s="16"/>
      <c r="Z79" s="16"/>
      <c r="AA79" s="16"/>
      <c r="AB79" s="16"/>
      <c r="AC79" s="15"/>
      <c r="AD79" s="15"/>
      <c r="AE79" s="15"/>
      <c r="AF79" s="15"/>
      <c r="AN79" s="16"/>
      <c r="AO79" s="15"/>
      <c r="AP79" s="16"/>
      <c r="AQ79" s="16"/>
      <c r="AR79" s="16"/>
      <c r="AS79" s="16"/>
      <c r="AT79" s="16"/>
      <c r="AU79" s="15"/>
      <c r="AV79" s="15"/>
      <c r="AW79" s="15"/>
      <c r="AX79" s="15"/>
      <c r="AY79" s="15"/>
      <c r="BA79" s="15"/>
      <c r="BB79" s="15"/>
      <c r="BC79" s="15"/>
    </row>
    <row r="80" spans="2:55" s="29" customFormat="1" ht="23.25">
      <c r="B80" s="64" t="s">
        <v>168</v>
      </c>
    </row>
    <row r="81" spans="3:10">
      <c r="E81" s="129"/>
      <c r="F81" s="129"/>
      <c r="G81" s="129"/>
      <c r="H81" s="129"/>
    </row>
    <row r="82" spans="3:10" ht="18">
      <c r="C82" s="2"/>
      <c r="E82" s="129"/>
      <c r="F82" s="129"/>
      <c r="G82" s="129"/>
      <c r="H82" s="129"/>
      <c r="J82" s="2"/>
    </row>
    <row r="83" spans="3:10" ht="21">
      <c r="C83" s="60"/>
      <c r="D83" s="59" t="s">
        <v>169</v>
      </c>
      <c r="E83" s="130"/>
      <c r="F83" s="130"/>
      <c r="G83" s="130"/>
      <c r="H83" s="211"/>
    </row>
    <row r="84" spans="3:10" ht="15.75">
      <c r="D84" s="62" t="s">
        <v>170</v>
      </c>
      <c r="E84" s="131" t="str" cm="1">
        <f t="array" ref="E84">_xlfn.LET(_xlpm.Yrs, _xlfn._xlws.FILTER(Table_Perf6[Year],(NOT(ISERROR(Table_Perf6[Year])))*(Table_Perf6[LL97 Adjusted Penalty After Measures]&lt;0),"No Risk"), IFERROR(_xlfn.ARRAYTOTEXT(INDEX(_xlpm.Yrs,_xlfn.SEQUENCE(1,ROUNDUP(COUNT(_xlpm.Yrs)/2,0),1))),""))</f>
        <v>2035, 2036, 2037</v>
      </c>
      <c r="F84" s="129"/>
      <c r="G84" s="129"/>
      <c r="H84" s="129"/>
    </row>
    <row r="85" spans="3:10">
      <c r="E85" s="131" t="str" cm="1">
        <f t="array" ref="E85">_xlfn.LET(_xlpm.Yrs, _xlfn._xlws.FILTER(Table_Perf6[Year],(NOT(ISERROR(Table_Perf6[Year])))*(Table_Perf6[LL97 Adjusted Penalty After Measures]&lt;0),"No Risk"), IFERROR(_xlfn.ARRAYTOTEXT(INDEX(_xlpm.Yrs,_xlfn.SEQUENCE(1,COUNT(_xlpm.Yrs)-ROUNDUP(COUNT(_xlpm.Yrs)/2,0),ROUNDUP(COUNT(_xlpm.Yrs)/2,0)+1,1))),""))</f>
        <v>2038, 2039, 2050</v>
      </c>
      <c r="F85" s="129"/>
      <c r="G85" s="129"/>
      <c r="H85" s="129"/>
    </row>
    <row r="86" spans="3:10" ht="15.75">
      <c r="D86" s="32" t="s">
        <v>171</v>
      </c>
      <c r="E86" s="132">
        <f>-AVERAGE(Table_Perf6[LL97 Adjusted Penalty After Measures])</f>
        <v>2727.8121044999989</v>
      </c>
      <c r="F86" s="129"/>
      <c r="G86" s="129"/>
      <c r="H86" s="129"/>
    </row>
    <row r="87" spans="3:10" ht="15.75">
      <c r="D87" s="32" t="s">
        <v>172</v>
      </c>
      <c r="E87" s="133">
        <f>IF($E$15=0, "Please input buiding areas above",E86/$E$15)</f>
        <v>4.2789209482352923E-2</v>
      </c>
      <c r="F87" s="129"/>
      <c r="G87" s="129"/>
      <c r="H87" s="129"/>
    </row>
    <row r="88" spans="3:10" ht="15.75">
      <c r="D88" s="32" t="s">
        <v>173</v>
      </c>
      <c r="E88" s="134">
        <f>AVERAGE(Table_Perf6[LL97 Penalty Avoided by Measures ($)])</f>
        <v>19309.479124766669</v>
      </c>
      <c r="F88" s="129"/>
      <c r="G88" s="129"/>
      <c r="H88" s="129"/>
    </row>
    <row r="89" spans="3:10" ht="15.75">
      <c r="D89" s="32" t="s">
        <v>174</v>
      </c>
      <c r="E89" s="135">
        <f>IF($E$15=0, "Please input buiding areas above",E88/$E$15)</f>
        <v>0.30289379019241836</v>
      </c>
      <c r="F89" s="129"/>
      <c r="G89" s="129"/>
      <c r="H89" s="129"/>
    </row>
    <row r="90" spans="3:10">
      <c r="E90" s="129"/>
      <c r="F90" s="129"/>
      <c r="G90" s="129"/>
      <c r="H90" s="129"/>
    </row>
    <row r="91" spans="3:10">
      <c r="E91" s="129"/>
      <c r="F91" s="129"/>
      <c r="G91" s="129"/>
      <c r="H91" s="129"/>
    </row>
    <row r="92" spans="3:10" ht="21">
      <c r="C92" s="60"/>
      <c r="D92" s="58" t="s">
        <v>175</v>
      </c>
      <c r="E92" s="136" t="str">
        <f>_xlfn.LET(_xlpm.BEY,_xlfn.MINIFS(Table_Perf6[Year],Table_Perf6[Cumulative Total Cash Flow ($)],"&gt;0",Table_Perf6[Year],"&gt;="&amp;_xlfn.MAXIFS(Table_ECM7[When will the measure installation be complete and operational?],Table_ECM7[Would you like to Include this measure in the decarbonization pathway?],TRUE)),IF(_xlpm.BEY=0,"No Payback Point by 2050 for the Pathway",
_xlfn.CONCAT(_xlpm.BEY-BaseYr,"-Yr Payback from ", BaseYr)))</f>
        <v>No Payback Point by 2050 for the Pathway</v>
      </c>
      <c r="F92" s="137"/>
      <c r="G92" s="137"/>
      <c r="H92" s="211"/>
    </row>
    <row r="93" spans="3:10" ht="15.75">
      <c r="D93" s="62" t="s">
        <v>176</v>
      </c>
      <c r="E93" s="138" t="e" cm="1">
        <f t="array" ref="E93">_xlfn.LET(_xlpm.YBE,_xlfn.MINIFS(Table_Perf6[Year],Table_Perf6[Cumulative Total Cash Flow ($)],"&gt;0",Table_Perf6[Year],"&gt;="&amp;_xlfn.MAXIFS(Table_ECM7[When will the measure installation be complete and operational?],Table_ECM7[Would you like to Include this measure in the decarbonization pathway?],TRUE),Table_Perf6[Year],"&gt;"&amp;BaseYr),IF(_xlpm.YBE=0,NA(),_xlpm.YBE))</f>
        <v>#N/A</v>
      </c>
      <c r="F93" s="129"/>
      <c r="G93" s="139"/>
      <c r="H93" s="129"/>
    </row>
    <row r="94" spans="3:10" ht="15.75">
      <c r="D94" s="62" t="s">
        <v>177</v>
      </c>
      <c r="E94" s="140">
        <f>INDEX(Table_Perf6[Cumulative Total Cash Flow ($)],MATCH(2050,Table_Perf6[Year],0))</f>
        <v>-77682.626256999967</v>
      </c>
      <c r="F94" s="129"/>
      <c r="G94" s="129"/>
      <c r="H94" s="129"/>
    </row>
    <row r="95" spans="3:10" ht="15.75">
      <c r="D95" s="62" t="s">
        <v>178</v>
      </c>
      <c r="E95" s="141" t="str">
        <f>IF(_xlfn.MINIFS(Table_Perf6[Year],Table_Perf6[LL97 Emissions After Measures],"&lt;=0")=0," After 2050",
_xlfn.CONCAT("in ",_xlfn.MINIFS(Table_Perf6[Year],Table_Perf6[LL97 Emissions After Measures],"&lt;=0")))</f>
        <v xml:space="preserve"> After 2050</v>
      </c>
      <c r="F95" s="129"/>
      <c r="G95" s="129"/>
      <c r="H95" s="129"/>
    </row>
    <row r="96" spans="3:10">
      <c r="E96" s="129"/>
      <c r="F96" s="129"/>
      <c r="G96" s="129"/>
      <c r="H96" s="129"/>
    </row>
    <row r="97" spans="1:9">
      <c r="E97" s="129"/>
      <c r="F97" s="129"/>
      <c r="G97" s="129"/>
      <c r="H97" s="129"/>
    </row>
    <row r="98" spans="1:9">
      <c r="A98"/>
      <c r="B98"/>
      <c r="C98"/>
      <c r="D98"/>
      <c r="E98"/>
      <c r="F98"/>
      <c r="G98"/>
      <c r="H98"/>
      <c r="I98"/>
    </row>
    <row r="99" spans="1:9" ht="15.75">
      <c r="A99"/>
      <c r="B99"/>
      <c r="C99" s="61"/>
      <c r="D99" s="57" t="s">
        <v>179</v>
      </c>
      <c r="E99" s="142"/>
      <c r="F99" s="148"/>
      <c r="G99" s="148"/>
      <c r="H99" s="148"/>
      <c r="I99" s="148"/>
    </row>
    <row r="100" spans="1:9" ht="15.75">
      <c r="A100"/>
      <c r="B100"/>
      <c r="D100" s="26"/>
      <c r="E100" s="189" t="str" cm="1">
        <f t="array" ref="E100">IF(BaseYr&gt;2030,"",_xlfn.CONCAT(BaseYr," ~ 2029 Total"))</f>
        <v>2024 ~ 2029 Total</v>
      </c>
      <c r="F100" s="217" t="str" cm="1">
        <f t="array" ref="F100">IF(BaseYr&gt;2034,"",_xlfn.CONCAT("2030 ~ 2034 Total"))</f>
        <v>2030 ~ 2034 Total</v>
      </c>
      <c r="G100" s="219" t="str" cm="1">
        <f t="array" ref="G100">IF(BaseYr&gt;2039,"","2035 ~ 2039 Total")</f>
        <v>2035 ~ 2039 Total</v>
      </c>
      <c r="H100" s="219" t="str" cm="1">
        <f t="array" ref="H100">IF(BaseYr&gt;2049,"","2040 ~ 2049 Total")</f>
        <v>2040 ~ 2049 Total</v>
      </c>
      <c r="I100" s="230" t="s">
        <v>180</v>
      </c>
    </row>
    <row r="101" spans="1:9" ht="15.75">
      <c r="A101"/>
      <c r="B101"/>
      <c r="D101" s="56" t="s">
        <v>357</v>
      </c>
      <c r="E101" s="149" cm="1">
        <f t="array" ref="E101">SUMIFS(Table_Perf6[Measure Cost ($)],Table_Perf6[Year],"&lt;="&amp;2029,Table_Perf6[Year],"&gt;="&amp;BaseYr)</f>
        <v>-262325</v>
      </c>
      <c r="F101" s="229">
        <f>SUMIFS(Table_Perf6[Measure Cost ($)],Table_Perf6[Year],"&lt;="&amp;2034,Table_Perf6[Year],"&gt;="&amp;2030)</f>
        <v>-64195</v>
      </c>
      <c r="G101" s="220">
        <f>SUMIFS(Table_Perf6[Measure Cost ($)],Table_Perf6[Year],"&lt;="&amp;2039,Table_Perf6[Year],"&gt;="&amp;2035)</f>
        <v>-178866</v>
      </c>
      <c r="H101" s="220">
        <f>SUMIFS(Table_Perf6[Measure Cost ($)],Table_Perf6[Year],"&lt;="&amp;2049,Table_Perf6[Year],"&gt;="&amp;2040)</f>
        <v>-814273</v>
      </c>
      <c r="I101" s="220">
        <f>_xlfn.AGGREGATE(9,6,E101:H101)</f>
        <v>-1319659</v>
      </c>
    </row>
    <row r="102" spans="1:9" ht="15.75">
      <c r="A102"/>
      <c r="B102"/>
      <c r="D102" s="27" t="s">
        <v>347</v>
      </c>
      <c r="E102" s="143" cm="1">
        <f t="array" ref="E102">SUMIFS(Table_Perf6[Utility Savings ($)],Table_Perf6[Year],"&lt;="&amp;2029,Table_Perf6[Year],"&gt;="&amp;BaseYr)</f>
        <v>178560</v>
      </c>
      <c r="F102" s="221">
        <f>SUMIFS(Table_Perf6[Utility Savings ($)],Table_Perf6[Year],"&lt;="&amp;2034,Table_Perf6[Year],"&gt;="&amp;2030)</f>
        <v>196400</v>
      </c>
      <c r="G102" s="221">
        <f>SUMIFS(Table_Perf6[Utility Savings ($)],Table_Perf6[Year],"&lt;="&amp;2039,Table_Perf6[Year],"&gt;="&amp;2035)</f>
        <v>217970</v>
      </c>
      <c r="H102" s="221">
        <f>SUMIFS(Table_Perf6[Utility Savings ($)],Table_Perf6[Year],"&lt;="&amp;2049,Table_Perf6[Year],"&gt;="&amp;2040)</f>
        <v>313420</v>
      </c>
      <c r="I102" s="221">
        <f>_xlfn.AGGREGATE(9,6,E102:H102)</f>
        <v>906350</v>
      </c>
    </row>
    <row r="103" spans="1:9" ht="15.75">
      <c r="A103"/>
      <c r="B103"/>
      <c r="D103" s="55" t="s">
        <v>348</v>
      </c>
      <c r="E103" s="144" cm="1">
        <f t="array" ref="E103">SUMIFS(Table_Perf6[LL97 Penalty Avoided by Measures ($)],Table_Perf6[Year],"&lt;="&amp;2029,Table_Perf6[Year],"&gt;="&amp;BaseYr)</f>
        <v>0</v>
      </c>
      <c r="F103" s="222">
        <f>SUMIFS(Table_Perf6[LL97 Penalty Avoided by Measures ($)],Table_Perf6[Year],"&lt;="&amp;2034,Table_Perf6[Year],"&gt;="&amp;2030)</f>
        <v>0</v>
      </c>
      <c r="G103" s="222">
        <f>SUMIFS(Table_Perf6[LL97 Penalty Avoided by Measures ($)],Table_Perf6[Year],"&lt;="&amp;2039,Table_Perf6[Year],"&gt;="&amp;2035)</f>
        <v>111931.60599500002</v>
      </c>
      <c r="H103" s="222">
        <f>SUMIFS(Table_Perf6[LL97 Penalty Avoided by Measures ($)],Table_Perf6[Year],"&lt;="&amp;2049,Table_Perf6[Year],"&gt;="&amp;2040)</f>
        <v>415756.40274800005</v>
      </c>
      <c r="I103" s="221">
        <f>_xlfn.AGGREGATE(9,6,E103:H103)</f>
        <v>527688.0087430001</v>
      </c>
    </row>
    <row r="104" spans="1:9" ht="15.75">
      <c r="A104"/>
      <c r="B104"/>
      <c r="D104" s="13" t="s">
        <v>181</v>
      </c>
      <c r="E104" s="146">
        <f>SUM(E101:E103)</f>
        <v>-83765</v>
      </c>
      <c r="F104" s="218">
        <f>SUM(F101:F103)</f>
        <v>132205</v>
      </c>
      <c r="G104" s="218">
        <f t="shared" ref="G104:H104" si="0">SUM(G101:G103)</f>
        <v>151035.60599500002</v>
      </c>
      <c r="H104" s="218">
        <f t="shared" si="0"/>
        <v>-85096.597251999949</v>
      </c>
      <c r="I104" s="231">
        <f>_xlfn.AGGREGATE(9,6,E104:H104)</f>
        <v>114379.00874300007</v>
      </c>
    </row>
    <row r="105" spans="1:9" ht="15.75" customHeight="1">
      <c r="A105"/>
      <c r="B105"/>
    </row>
    <row r="106" spans="1:9" ht="15.75" customHeight="1">
      <c r="A106"/>
      <c r="B106"/>
      <c r="C106"/>
      <c r="D106"/>
      <c r="E106"/>
      <c r="F106"/>
      <c r="G106"/>
      <c r="H106"/>
      <c r="I106"/>
    </row>
    <row r="107" spans="1:9" ht="15.75" customHeight="1">
      <c r="A107"/>
      <c r="B107"/>
      <c r="C107"/>
      <c r="D107"/>
      <c r="E107"/>
      <c r="F107"/>
      <c r="G107"/>
      <c r="H107"/>
      <c r="I107"/>
    </row>
    <row r="108" spans="1:9" ht="15.75" customHeight="1">
      <c r="A108"/>
      <c r="B108"/>
      <c r="C108"/>
      <c r="D108"/>
      <c r="E108"/>
      <c r="F108"/>
      <c r="G108"/>
      <c r="H108"/>
      <c r="I108"/>
    </row>
    <row r="109" spans="1:9" ht="15.75" customHeight="1">
      <c r="A109"/>
      <c r="B109"/>
      <c r="C109"/>
      <c r="D109"/>
      <c r="E109"/>
      <c r="F109"/>
      <c r="G109"/>
      <c r="H109"/>
      <c r="I109"/>
    </row>
    <row r="110" spans="1:9" ht="15.75" customHeight="1">
      <c r="A110"/>
      <c r="B110"/>
      <c r="C110"/>
      <c r="D110"/>
      <c r="E110"/>
      <c r="F110"/>
      <c r="G110"/>
      <c r="H110"/>
      <c r="I110"/>
    </row>
    <row r="111" spans="1:9" ht="15.75" customHeight="1">
      <c r="A111"/>
      <c r="B111"/>
      <c r="C111"/>
      <c r="D111"/>
      <c r="E111"/>
      <c r="F111"/>
      <c r="G111"/>
      <c r="H111"/>
      <c r="I111"/>
    </row>
    <row r="112" spans="1:9" ht="15.75" customHeight="1">
      <c r="A112"/>
      <c r="B112"/>
      <c r="C112"/>
      <c r="D112"/>
      <c r="E112"/>
      <c r="F112"/>
      <c r="G112"/>
      <c r="H112"/>
      <c r="I112"/>
    </row>
    <row r="113" spans="1:20" ht="15.75" customHeight="1">
      <c r="A113"/>
      <c r="B113"/>
      <c r="C113"/>
      <c r="D113"/>
      <c r="E113"/>
      <c r="F113"/>
      <c r="G113"/>
      <c r="H113"/>
      <c r="I113"/>
    </row>
    <row r="114" spans="1:20" ht="15.75" customHeight="1">
      <c r="A114"/>
      <c r="B114"/>
      <c r="C114"/>
      <c r="D114"/>
      <c r="E114"/>
      <c r="F114"/>
      <c r="G114"/>
      <c r="H114"/>
      <c r="I114"/>
    </row>
    <row r="115" spans="1:20" ht="15.75" customHeight="1">
      <c r="A115"/>
      <c r="B115"/>
      <c r="C115"/>
      <c r="D115"/>
      <c r="E115"/>
      <c r="F115"/>
      <c r="G115"/>
      <c r="H115"/>
      <c r="I115"/>
    </row>
    <row r="116" spans="1:20" ht="15.75" customHeight="1">
      <c r="A116"/>
      <c r="B116"/>
      <c r="C116"/>
      <c r="D116"/>
      <c r="E116"/>
      <c r="F116"/>
      <c r="G116"/>
      <c r="H116"/>
      <c r="I116"/>
    </row>
    <row r="117" spans="1:20" ht="15.75" customHeight="1">
      <c r="A117"/>
      <c r="B117"/>
      <c r="C117"/>
      <c r="D117"/>
      <c r="E117"/>
      <c r="F117"/>
      <c r="G117"/>
      <c r="H117"/>
      <c r="I117"/>
    </row>
    <row r="118" spans="1:20" ht="15.75" customHeight="1">
      <c r="B118"/>
      <c r="D118"/>
      <c r="E118" s="145"/>
      <c r="F118" s="145"/>
      <c r="G118" s="145"/>
      <c r="H118" s="145"/>
      <c r="I118"/>
    </row>
    <row r="119" spans="1:20" ht="15.75" customHeight="1">
      <c r="B119"/>
    </row>
    <row r="120" spans="1:20" ht="15.75" customHeight="1">
      <c r="B120"/>
    </row>
    <row r="121" spans="1:20">
      <c r="B121"/>
    </row>
    <row r="125" spans="1:20">
      <c r="C125"/>
      <c r="D125"/>
      <c r="E125"/>
      <c r="F125"/>
      <c r="G125"/>
      <c r="H125"/>
    </row>
    <row r="126" spans="1:20">
      <c r="C126"/>
      <c r="D126"/>
      <c r="E126"/>
      <c r="F126"/>
      <c r="G126"/>
      <c r="H126"/>
    </row>
    <row r="127" spans="1:20">
      <c r="C127"/>
      <c r="D127"/>
      <c r="E127"/>
      <c r="F127"/>
      <c r="G127"/>
      <c r="H127"/>
      <c r="I127"/>
      <c r="J127"/>
      <c r="K127"/>
      <c r="L127"/>
      <c r="M127"/>
      <c r="N127"/>
      <c r="O127"/>
      <c r="P127"/>
      <c r="Q127"/>
      <c r="R127"/>
      <c r="S127"/>
      <c r="T127"/>
    </row>
    <row r="128" spans="1:20">
      <c r="C128"/>
      <c r="D128"/>
      <c r="E128"/>
      <c r="G128"/>
      <c r="H128"/>
      <c r="I128"/>
      <c r="J128"/>
      <c r="K128"/>
      <c r="L128"/>
      <c r="M128"/>
      <c r="N128"/>
      <c r="O128"/>
      <c r="P128"/>
      <c r="Q128"/>
      <c r="R128"/>
      <c r="S128"/>
      <c r="T128"/>
    </row>
    <row r="129" spans="3:20">
      <c r="C129"/>
      <c r="D129"/>
      <c r="E129"/>
      <c r="F129"/>
      <c r="G129"/>
      <c r="H129"/>
      <c r="I129"/>
      <c r="J129"/>
      <c r="K129"/>
      <c r="L129"/>
      <c r="M129"/>
      <c r="N129"/>
      <c r="O129"/>
      <c r="P129"/>
      <c r="Q129"/>
      <c r="R129"/>
      <c r="S129"/>
      <c r="T129"/>
    </row>
    <row r="130" spans="3:20">
      <c r="D130"/>
      <c r="E130"/>
      <c r="F130"/>
      <c r="G130"/>
      <c r="I130"/>
      <c r="J130"/>
      <c r="K130"/>
      <c r="L130"/>
      <c r="M130"/>
      <c r="N130"/>
      <c r="O130"/>
      <c r="P130"/>
      <c r="Q130"/>
      <c r="R130"/>
      <c r="S130"/>
      <c r="T130"/>
    </row>
    <row r="131" spans="3:20">
      <c r="I131"/>
      <c r="J131"/>
      <c r="K131"/>
      <c r="L131"/>
      <c r="M131"/>
      <c r="N131"/>
      <c r="O131"/>
      <c r="P131"/>
      <c r="Q131"/>
      <c r="R131"/>
      <c r="S131"/>
      <c r="T131"/>
    </row>
    <row r="132" spans="3:20">
      <c r="I132"/>
      <c r="J132"/>
      <c r="K132"/>
      <c r="L132"/>
      <c r="M132"/>
      <c r="N132"/>
      <c r="O132"/>
      <c r="P132"/>
      <c r="Q132"/>
      <c r="R132"/>
      <c r="S132"/>
      <c r="T132"/>
    </row>
    <row r="133" spans="3:20">
      <c r="I133"/>
      <c r="K133"/>
      <c r="L133"/>
      <c r="M133"/>
      <c r="N133"/>
      <c r="O133"/>
      <c r="P133"/>
      <c r="Q133"/>
      <c r="R133"/>
      <c r="S133"/>
      <c r="T133"/>
    </row>
    <row r="134" spans="3:20">
      <c r="I134"/>
      <c r="J134"/>
      <c r="K134"/>
      <c r="L134"/>
      <c r="M134"/>
      <c r="N134"/>
      <c r="O134"/>
      <c r="P134"/>
      <c r="Q134"/>
      <c r="R134"/>
      <c r="S134"/>
      <c r="T134"/>
    </row>
    <row r="135" spans="3:20">
      <c r="I135"/>
      <c r="J135"/>
      <c r="K135"/>
      <c r="L135"/>
      <c r="M135"/>
      <c r="N135"/>
      <c r="O135"/>
      <c r="P135"/>
      <c r="Q135"/>
      <c r="R135"/>
      <c r="S135"/>
      <c r="T135"/>
    </row>
    <row r="136" spans="3:20">
      <c r="I136"/>
      <c r="J136"/>
      <c r="K136"/>
      <c r="L136"/>
      <c r="M136"/>
      <c r="N136"/>
      <c r="O136"/>
      <c r="P136"/>
      <c r="Q136"/>
      <c r="R136"/>
      <c r="S136"/>
      <c r="T136"/>
    </row>
    <row r="137" spans="3:20">
      <c r="I137"/>
      <c r="J137"/>
      <c r="K137"/>
      <c r="L137"/>
      <c r="M137"/>
      <c r="N137"/>
      <c r="O137"/>
      <c r="P137"/>
      <c r="Q137"/>
      <c r="R137"/>
      <c r="S137"/>
      <c r="T137"/>
    </row>
    <row r="138" spans="3:20">
      <c r="I138"/>
      <c r="J138"/>
      <c r="K138"/>
      <c r="L138"/>
      <c r="M138"/>
      <c r="N138"/>
      <c r="O138"/>
      <c r="P138"/>
      <c r="Q138"/>
      <c r="R138"/>
      <c r="S138"/>
      <c r="T138"/>
    </row>
    <row r="139" spans="3:20">
      <c r="I139"/>
      <c r="J139"/>
      <c r="K139"/>
      <c r="L139"/>
      <c r="M139"/>
      <c r="N139"/>
      <c r="O139"/>
      <c r="P139"/>
      <c r="Q139"/>
      <c r="R139"/>
      <c r="S139"/>
      <c r="T139"/>
    </row>
    <row r="140" spans="3:20">
      <c r="I140"/>
      <c r="J140"/>
      <c r="K140"/>
      <c r="L140"/>
      <c r="M140"/>
      <c r="N140"/>
      <c r="O140"/>
      <c r="P140"/>
      <c r="Q140"/>
      <c r="R140"/>
      <c r="S140"/>
      <c r="T140"/>
    </row>
    <row r="141" spans="3:20">
      <c r="I141"/>
      <c r="J141"/>
      <c r="K141"/>
      <c r="L141"/>
      <c r="M141"/>
      <c r="N141"/>
      <c r="O141"/>
      <c r="P141"/>
      <c r="Q141"/>
      <c r="R141"/>
      <c r="S141"/>
      <c r="T141"/>
    </row>
    <row r="142" spans="3:20">
      <c r="I142"/>
      <c r="J142"/>
      <c r="K142"/>
      <c r="L142"/>
      <c r="M142"/>
      <c r="N142"/>
      <c r="O142"/>
      <c r="P142"/>
      <c r="Q142"/>
      <c r="R142"/>
      <c r="S142"/>
      <c r="T142"/>
    </row>
    <row r="143" spans="3:20">
      <c r="I143"/>
      <c r="J143"/>
      <c r="K143"/>
      <c r="L143"/>
      <c r="M143"/>
      <c r="N143"/>
      <c r="O143"/>
      <c r="P143"/>
      <c r="Q143"/>
      <c r="R143"/>
      <c r="S143"/>
      <c r="T143"/>
    </row>
    <row r="144" spans="3:20">
      <c r="I144"/>
      <c r="J144"/>
      <c r="K144"/>
      <c r="L144"/>
      <c r="M144"/>
      <c r="N144"/>
      <c r="O144"/>
      <c r="P144"/>
      <c r="Q144"/>
      <c r="R144"/>
      <c r="S144"/>
      <c r="T144"/>
    </row>
    <row r="145" spans="9:20">
      <c r="I145"/>
      <c r="J145"/>
      <c r="K145"/>
      <c r="L145"/>
      <c r="M145"/>
      <c r="N145"/>
      <c r="O145"/>
      <c r="P145"/>
      <c r="Q145"/>
      <c r="R145"/>
      <c r="S145"/>
      <c r="T145"/>
    </row>
    <row r="146" spans="9:20">
      <c r="I146"/>
      <c r="J146"/>
      <c r="K146"/>
      <c r="L146"/>
      <c r="M146"/>
      <c r="N146"/>
      <c r="O146"/>
      <c r="P146"/>
      <c r="Q146"/>
      <c r="R146"/>
      <c r="S146"/>
      <c r="T146"/>
    </row>
    <row r="147" spans="9:20">
      <c r="I147"/>
      <c r="J147"/>
      <c r="K147"/>
      <c r="L147"/>
      <c r="M147"/>
      <c r="N147"/>
      <c r="O147"/>
      <c r="P147"/>
      <c r="Q147"/>
      <c r="R147"/>
      <c r="S147"/>
      <c r="T147"/>
    </row>
    <row r="148" spans="9:20">
      <c r="I148"/>
      <c r="J148"/>
      <c r="K148"/>
      <c r="L148"/>
      <c r="M148"/>
      <c r="N148"/>
      <c r="O148"/>
      <c r="P148"/>
      <c r="Q148"/>
      <c r="R148"/>
      <c r="S148"/>
      <c r="T148"/>
    </row>
    <row r="149" spans="9:20">
      <c r="I149"/>
      <c r="J149"/>
      <c r="K149"/>
      <c r="L149"/>
      <c r="M149"/>
      <c r="N149"/>
      <c r="O149"/>
      <c r="P149"/>
      <c r="Q149"/>
      <c r="R149"/>
      <c r="S149"/>
      <c r="T149"/>
    </row>
    <row r="150" spans="9:20">
      <c r="I150"/>
      <c r="J150"/>
      <c r="K150"/>
      <c r="L150"/>
      <c r="M150"/>
      <c r="N150"/>
      <c r="O150"/>
      <c r="P150"/>
      <c r="Q150"/>
      <c r="R150"/>
      <c r="S150"/>
      <c r="T150"/>
    </row>
    <row r="151" spans="9:20">
      <c r="I151"/>
      <c r="J151"/>
      <c r="K151"/>
      <c r="L151"/>
      <c r="M151"/>
      <c r="N151"/>
      <c r="O151"/>
      <c r="P151"/>
      <c r="Q151"/>
      <c r="R151"/>
      <c r="S151"/>
      <c r="T151"/>
    </row>
    <row r="152" spans="9:20">
      <c r="I152"/>
      <c r="J152"/>
      <c r="K152"/>
      <c r="L152"/>
      <c r="M152"/>
      <c r="N152"/>
      <c r="O152"/>
      <c r="P152"/>
      <c r="Q152"/>
      <c r="R152"/>
      <c r="S152"/>
      <c r="T152"/>
    </row>
    <row r="153" spans="9:20">
      <c r="I153"/>
      <c r="J153"/>
      <c r="K153"/>
      <c r="L153"/>
      <c r="M153"/>
      <c r="N153"/>
      <c r="O153"/>
      <c r="P153"/>
      <c r="Q153"/>
      <c r="R153"/>
      <c r="S153"/>
      <c r="T153"/>
    </row>
    <row r="154" spans="9:20">
      <c r="I154"/>
      <c r="J154"/>
      <c r="K154"/>
      <c r="L154"/>
      <c r="M154"/>
      <c r="N154"/>
      <c r="O154"/>
      <c r="P154"/>
      <c r="Q154"/>
      <c r="R154"/>
      <c r="S154"/>
      <c r="T154"/>
    </row>
    <row r="155" spans="9:20">
      <c r="I155"/>
      <c r="J155"/>
      <c r="K155"/>
      <c r="L155"/>
      <c r="M155"/>
      <c r="N155"/>
      <c r="O155"/>
      <c r="P155"/>
      <c r="Q155"/>
      <c r="R155"/>
      <c r="S155"/>
      <c r="T155"/>
    </row>
    <row r="156" spans="9:20">
      <c r="I156"/>
      <c r="J156"/>
      <c r="K156"/>
      <c r="L156"/>
      <c r="M156"/>
      <c r="N156"/>
      <c r="O156"/>
      <c r="P156"/>
      <c r="Q156"/>
      <c r="R156"/>
      <c r="S156"/>
      <c r="T156"/>
    </row>
    <row r="157" spans="9:20">
      <c r="I157"/>
      <c r="J157"/>
      <c r="K157"/>
      <c r="L157"/>
      <c r="M157"/>
      <c r="N157"/>
      <c r="O157"/>
      <c r="P157"/>
      <c r="Q157"/>
      <c r="R157"/>
      <c r="S157"/>
      <c r="T157"/>
    </row>
    <row r="158" spans="9:20">
      <c r="I158"/>
      <c r="J158"/>
      <c r="K158"/>
      <c r="L158"/>
      <c r="M158"/>
      <c r="N158"/>
      <c r="O158"/>
      <c r="P158"/>
      <c r="Q158"/>
      <c r="R158"/>
      <c r="S158"/>
      <c r="T158"/>
    </row>
    <row r="159" spans="9:20">
      <c r="I159"/>
      <c r="J159"/>
      <c r="K159"/>
      <c r="L159"/>
      <c r="M159"/>
      <c r="N159"/>
      <c r="O159"/>
      <c r="P159"/>
      <c r="Q159"/>
      <c r="R159"/>
      <c r="S159"/>
      <c r="T159"/>
    </row>
  </sheetData>
  <sheetProtection algorithmName="SHA-512" hashValue="ISXW7epjHIsFL+PdFnePDzDZIDQK174BhRb/myeWpDFrgfkcu408wnt6mvgIKqn7ms0Ge905NyBQGhzFFsnD/w==" saltValue="F+kSYc/fHAXNV7PeJjLjKQ==" spinCount="100000" sheet="1" objects="1" scenarios="1"/>
  <mergeCells count="11">
    <mergeCell ref="W12:Z12"/>
    <mergeCell ref="G17:M17"/>
    <mergeCell ref="R6:S6"/>
    <mergeCell ref="X6:Z6"/>
    <mergeCell ref="P7:P11"/>
    <mergeCell ref="Q7:Q11"/>
    <mergeCell ref="R7:S11"/>
    <mergeCell ref="X7:Z7"/>
    <mergeCell ref="X9:Z9"/>
    <mergeCell ref="X10:Z10"/>
    <mergeCell ref="X11:Z11"/>
  </mergeCells>
  <conditionalFormatting sqref="E84:E85">
    <cfRule type="containsText" dxfId="119" priority="3" operator="containsText" text="No">
      <formula>NOT(ISERROR(SEARCH("No",E84)))</formula>
    </cfRule>
  </conditionalFormatting>
  <conditionalFormatting sqref="E93">
    <cfRule type="expression" dxfId="118" priority="2">
      <formula>ISERROR($E$93)</formula>
    </cfRule>
  </conditionalFormatting>
  <conditionalFormatting sqref="E94">
    <cfRule type="expression" dxfId="117" priority="4">
      <formula>$E$94&gt;0</formula>
    </cfRule>
    <cfRule type="expression" dxfId="116" priority="5">
      <formula>$E$94&lt;0</formula>
    </cfRule>
  </conditionalFormatting>
  <conditionalFormatting sqref="L8:M8">
    <cfRule type="expression" dxfId="115" priority="1">
      <formula>ISNUMBER(L$7)</formula>
    </cfRule>
  </conditionalFormatting>
  <dataValidations count="9">
    <dataValidation type="decimal" allowBlank="1" showInputMessage="1" showErrorMessage="1" errorTitle="Wrong Data Type" error="Enter Numerical Values Only" sqref="N19:N42 E19:L42" xr:uid="{DD950A17-E8ED-43A2-BFFE-D9F0C61C1846}">
      <formula1>-9.99999999999999E+40</formula1>
      <formula2>9.99999999999999E+36</formula2>
    </dataValidation>
    <dataValidation type="decimal" allowBlank="1" showInputMessage="1" showErrorMessage="1" errorTitle="Wrong Data Type" error="Please enter numerical values only" sqref="H7:M7" xr:uid="{D3C6BD82-336F-406D-9709-27E9F450AA2F}">
      <formula1>-9.99999999999999E+25</formula1>
      <formula2>9.99999999999999E+25</formula2>
    </dataValidation>
    <dataValidation type="whole" allowBlank="1" showInputMessage="1" showErrorMessage="1" errorTitle="Out of Range" error="Please input a year between 2023 and 2050" sqref="G7" xr:uid="{6C837DE9-D5A8-4A46-8D2A-9C4AA37B831F}">
      <formula1>2021</formula1>
      <formula2>2050</formula2>
    </dataValidation>
    <dataValidation type="decimal" allowBlank="1" showInputMessage="1" showErrorMessage="1" errorTitle="Wrong Data Type" error="Please enter numerical values only" sqref="E7:E14" xr:uid="{3091E67A-E816-487B-A9AE-20D6540A5704}">
      <formula1>0</formula1>
      <formula2>9.99999999999999E+25</formula2>
    </dataValidation>
    <dataValidation type="decimal" allowBlank="1" showInputMessage="1" showErrorMessage="1" errorTitle="Wrong Data Type" error="Enter Number Values Only" sqref="P19:P42" xr:uid="{1B526FC3-E86B-4DFB-A747-02A20376C276}">
      <formula1>-9.99999999999999E+40</formula1>
      <formula2>9.99999999999999E+36</formula2>
    </dataValidation>
    <dataValidation type="whole" allowBlank="1" showInputMessage="1" showErrorMessage="1" errorTitle="Wrong Data Type" error="Enter Year Values Only (Whole Number)" sqref="R19:R42" xr:uid="{594BC25E-2837-4BEA-B422-D9EF5239FA1A}">
      <formula1>0</formula1>
      <formula2>9999</formula2>
    </dataValidation>
    <dataValidation allowBlank="1" showInputMessage="1" showErrorMessage="1" errorTitle="Wrong Data Type" error="Enter Number Values Only" sqref="S19:T42 Y19 V19:X42" xr:uid="{8AE73A65-0779-4BCC-9A4F-E4F441890308}"/>
    <dataValidation type="list" allowBlank="1" showInputMessage="1" showErrorMessage="1" errorTitle="Wrong Data Type" error="Choose Default Scope Names in Drop-down List Only" sqref="U19:U42" xr:uid="{68BB9BD2-2474-48D1-85AF-CCBF7E78A627}">
      <formula1>$B$19:$B$42</formula1>
    </dataValidation>
    <dataValidation type="list" allowBlank="1" showInputMessage="1" showErrorMessage="1" error="Choose Default Scope Names in Drop-down List Only" sqref="B19:B42" xr:uid="{FC67D4AB-CDB1-4E70-BF56-E22DE3D6A747}">
      <formula1>"Scope 1, Scope 2, Scope 3, Scope 4, Scope 5, Scope 6, Scope 7, Scope 8, Scope 9, Scope 10"</formula1>
    </dataValidation>
  </dataValidations>
  <pageMargins left="0.7" right="0.7" top="0.75" bottom="0.75" header="0.3" footer="0.3"/>
  <pageSetup paperSize="3" scale="43" orientation="landscape"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EDF6F457-24DE-4A6A-89D8-A1F93FEC465C}">
          <x14:formula1>
            <xm:f>References!$M$12:$M$71</xm:f>
          </x14:formula1>
          <xm:sqref>D7:D14</xm:sqref>
        </x14:dataValidation>
        <x14:dataValidation type="list" allowBlank="1" showInputMessage="1" showErrorMessage="1" xr:uid="{6E8DC0E9-CF65-407C-8BD7-B06F2D2B820E}">
          <x14:formula1>
            <xm:f>References!$C$12:$C$32</xm:f>
          </x14:formula1>
          <xm:sqref>L8:M8</xm:sqref>
        </x14:dataValidation>
        <x14:dataValidation type="list" allowBlank="1" showInputMessage="1" showErrorMessage="1" xr:uid="{32250D1C-623E-42C3-93F7-F76896D6E098}">
          <x14:formula1>
            <xm:f>'Adjustable Lists'!$L$8:$L$10</xm:f>
          </x14:formula1>
          <xm:sqref>Q7:Q11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B444-6398-455A-BDF1-D57542B27328}">
  <sheetPr codeName="Sheet2">
    <tabColor theme="1" tint="0.499984740745262"/>
    <outlinePr summaryBelow="0" summaryRight="0"/>
    <pageSetUpPr autoPageBreaks="0"/>
  </sheetPr>
  <dimension ref="A1:BC159"/>
  <sheetViews>
    <sheetView showGridLines="0" zoomScale="85" zoomScaleNormal="85" workbookViewId="0">
      <selection activeCell="I44" sqref="I44"/>
    </sheetView>
  </sheetViews>
  <sheetFormatPr defaultColWidth="9" defaultRowHeight="14.25" outlineLevelRow="1"/>
  <cols>
    <col min="1" max="1" width="1.875" style="1" customWidth="1"/>
    <col min="2" max="2" width="13.5" style="1" customWidth="1"/>
    <col min="3" max="3" width="8.75" style="1" customWidth="1"/>
    <col min="4" max="4" width="42.875" style="1" customWidth="1"/>
    <col min="5" max="5" width="13.5" style="1" customWidth="1"/>
    <col min="6" max="6" width="13.875" style="1" customWidth="1"/>
    <col min="7" max="7" width="13.625" style="1" customWidth="1"/>
    <col min="8" max="8" width="13.5" style="1" customWidth="1"/>
    <col min="9" max="9" width="12" style="1" customWidth="1"/>
    <col min="10" max="10" width="12.5" style="1" customWidth="1"/>
    <col min="11" max="12" width="11.5" style="1" customWidth="1"/>
    <col min="13" max="13" width="13" style="1" customWidth="1"/>
    <col min="14" max="14" width="11.375" style="1" customWidth="1"/>
    <col min="15" max="15" width="12.5" style="1" customWidth="1"/>
    <col min="16" max="16" width="15.875" style="1" customWidth="1"/>
    <col min="17" max="17" width="13.5" style="1" customWidth="1"/>
    <col min="18" max="18" width="15.5" style="1" customWidth="1"/>
    <col min="19" max="19" width="39.125" style="1" customWidth="1"/>
    <col min="20" max="20" width="6.375" style="1" customWidth="1"/>
    <col min="21" max="21" width="17.25" style="1" customWidth="1"/>
    <col min="22" max="22" width="10.875" style="1" customWidth="1"/>
    <col min="23" max="23" width="15.375" style="1" customWidth="1"/>
    <col min="24" max="24" width="10.25" style="1" customWidth="1"/>
    <col min="25" max="25" width="9.75" style="1" customWidth="1"/>
    <col min="26" max="26" width="10.25" style="1" customWidth="1"/>
    <col min="27" max="27" width="9.125" style="1" bestFit="1" customWidth="1"/>
    <col min="28" max="28" width="11.125" style="1" bestFit="1" customWidth="1"/>
    <col min="29" max="32" width="9.875" style="1" customWidth="1"/>
    <col min="33" max="33" width="8.375" style="1" customWidth="1"/>
    <col min="34" max="34" width="9" style="1" customWidth="1"/>
    <col min="35" max="35" width="10.75" style="1" customWidth="1"/>
    <col min="36" max="36" width="9" style="1" customWidth="1"/>
    <col min="37" max="37" width="11.25" style="1" customWidth="1"/>
    <col min="38" max="38" width="11.125" style="1" customWidth="1"/>
    <col min="39" max="39" width="10.125" style="1" customWidth="1"/>
    <col min="40" max="40" width="8.625" style="1" customWidth="1"/>
    <col min="41" max="41" width="10.875" style="1" customWidth="1"/>
    <col min="42" max="42" width="11.375" style="1" customWidth="1"/>
    <col min="43" max="43" width="13.5" style="1" customWidth="1"/>
    <col min="44" max="45" width="11.375" style="1" customWidth="1"/>
    <col min="46" max="46" width="12.625" style="1" customWidth="1"/>
    <col min="47" max="47" width="11.375" style="1" customWidth="1"/>
    <col min="48" max="49" width="10.875" style="1" customWidth="1"/>
    <col min="50" max="53" width="11" style="1" customWidth="1"/>
    <col min="54" max="54" width="10.5" style="1" customWidth="1"/>
    <col min="55" max="55" width="12.125" style="1" customWidth="1"/>
    <col min="56" max="56" width="7" style="1" customWidth="1"/>
    <col min="57" max="57" width="6.875" style="1" customWidth="1"/>
    <col min="58" max="16384" width="9" style="1"/>
  </cols>
  <sheetData>
    <row r="1" spans="2:32" s="29" customFormat="1" ht="23.25">
      <c r="B1" s="64" t="s">
        <v>0</v>
      </c>
      <c r="P1" s="209" t="s">
        <v>1</v>
      </c>
      <c r="Q1" s="209"/>
    </row>
    <row r="2" spans="2:32">
      <c r="B2" s="71" t="s">
        <v>2</v>
      </c>
      <c r="Q2"/>
      <c r="R2"/>
      <c r="S2"/>
      <c r="T2"/>
    </row>
    <row r="3" spans="2:32">
      <c r="B3" s="87" t="s">
        <v>3</v>
      </c>
      <c r="Q3"/>
      <c r="R3"/>
      <c r="S3"/>
      <c r="T3"/>
    </row>
    <row r="4" spans="2:32" ht="15" customHeight="1">
      <c r="B4" s="79" t="s">
        <v>4</v>
      </c>
      <c r="Q4"/>
      <c r="R4"/>
      <c r="S4"/>
      <c r="T4"/>
    </row>
    <row r="5" spans="2:32" ht="18">
      <c r="B5" s="65" t="s">
        <v>5</v>
      </c>
      <c r="D5" s="66" t="s">
        <v>6</v>
      </c>
      <c r="E5" s="67"/>
      <c r="G5" s="66" t="s">
        <v>123</v>
      </c>
      <c r="H5" s="68"/>
      <c r="I5" s="68"/>
      <c r="J5" s="68"/>
      <c r="K5" s="68"/>
      <c r="L5" s="68"/>
      <c r="M5" s="68"/>
      <c r="N5" s="67"/>
      <c r="P5" s="2" t="s">
        <v>8</v>
      </c>
      <c r="R5" s="31"/>
      <c r="T5"/>
      <c r="U5" s="2" t="s">
        <v>7</v>
      </c>
      <c r="V5" s="202"/>
      <c r="W5" s="202"/>
      <c r="X5" s="202"/>
    </row>
    <row r="6" spans="2:32" ht="75.75" customHeight="1">
      <c r="B6" s="206" t="s">
        <v>9</v>
      </c>
      <c r="D6" s="51" t="s">
        <v>10</v>
      </c>
      <c r="E6" s="51" t="s">
        <v>11</v>
      </c>
      <c r="F6"/>
      <c r="G6" s="24" t="s">
        <v>124</v>
      </c>
      <c r="H6" s="24" t="s">
        <v>12</v>
      </c>
      <c r="I6" s="24" t="s">
        <v>13</v>
      </c>
      <c r="J6" s="24" t="s">
        <v>14</v>
      </c>
      <c r="K6" s="24" t="s">
        <v>15</v>
      </c>
      <c r="L6" s="24" t="s">
        <v>16</v>
      </c>
      <c r="M6" s="24" t="s">
        <v>17</v>
      </c>
      <c r="N6" s="24" t="s">
        <v>18</v>
      </c>
      <c r="P6" s="210" t="s">
        <v>338</v>
      </c>
      <c r="Q6" s="210" t="s">
        <v>339</v>
      </c>
      <c r="R6" s="270" t="s">
        <v>21</v>
      </c>
      <c r="S6" s="270"/>
      <c r="T6"/>
      <c r="U6" s="208" t="s">
        <v>19</v>
      </c>
      <c r="V6" s="208"/>
      <c r="W6" s="210" t="s">
        <v>340</v>
      </c>
      <c r="X6" s="271" t="s">
        <v>20</v>
      </c>
      <c r="Y6" s="271"/>
      <c r="Z6" s="271"/>
      <c r="AA6"/>
    </row>
    <row r="7" spans="2:32" ht="18.75" customHeight="1">
      <c r="B7" s="70" t="s">
        <v>22</v>
      </c>
      <c r="D7" s="255" t="s">
        <v>23</v>
      </c>
      <c r="E7" s="238">
        <v>55300</v>
      </c>
      <c r="F7" s="145"/>
      <c r="G7" s="258">
        <v>2024</v>
      </c>
      <c r="H7" s="259">
        <v>580638</v>
      </c>
      <c r="I7" s="259">
        <v>43387</v>
      </c>
      <c r="J7" s="260"/>
      <c r="K7" s="260"/>
      <c r="L7" s="259"/>
      <c r="M7" s="259"/>
      <c r="N7" s="176" cm="1">
        <f t="array" ref="N7">Table_UtilityInputS1[[#This Row],[Annual Electricity 
(kWh)]]*3.412*INDEX(Table_UtilityDecarb[Carbon Intensity (tCO2e/kBtu)],MATCH("Electricity"&amp;Table_UtilityInputS1[[#This Row],[Usage Year]],Table_UtilityDecarb[Fuel Type]&amp;Table_UtilityDecarb[Year],0))+
Table_UtilityInputS1[[#This Row],[Annual Natural Gas  
(therm)]]*100*INDEX(Table_UtilityDecarb[Carbon Intensity (tCO2e/kBtu)],MATCH("Natural Gas",Table_UtilityDecarb[Fuel Type],0))+
Table_UtilityInputS1[[#This Row],[Annual District Steam  
(Mlb for ConEd, kLb for others)]]*1194*INDEX(Table_UtilityDecarb[Carbon Intensity (tCO2e/kBtu)],MATCH("District Steam"&amp;Table_UtilityInputS1[[#This Row],[Usage Year]],Table_UtilityDecarb[Fuel Type]&amp;Table_UtilityDecarb[Year],0))+
Table_UtilityInputS1[[#This Row],[Annual Fuel Oil'#2
(Gallon)]]*138*INDEX(Table_UtilityDecarb[Carbon Intensity (tCO2e/kBtu)],MATCH("Fuel Oil #2",Table_UtilityDecarb[Fuel Type],0))+
IF(ISNUMBER(Table_UtilityInputS1[[#This Row],[Annual Other Fuel 1
(kBtu)]]),Table_UtilityInputS1[[#This Row],[Annual Other Fuel 1
(kBtu)]]*INDEX(Table_UtilityDecarb[Carbon Intensity (tCO2e/kBtu)],MATCH($L$8,Table_UtilityDecarb[Fuel Type],0)),0)+
IF(ISNUMBER(Table_UtilityInputS1[[#This Row],[Annual Other Fuel 2
(kBtu)]]),Table_UtilityInputS1[[#This Row],[Annual Other Fuel 2
(kBtu)]]*INDEX(Table_UtilityDecarb[Carbon Intensity (tCO2e/kBtu)],MATCH($M$8,Table_UtilityDecarb[Fuel Type],0)),0)</f>
        <v>398.21067475599995</v>
      </c>
      <c r="P7" s="287" t="s">
        <v>24</v>
      </c>
      <c r="Q7" s="284" t="s">
        <v>25</v>
      </c>
      <c r="R7" s="290" t="s">
        <v>356</v>
      </c>
      <c r="S7" s="291"/>
      <c r="T7"/>
      <c r="U7" s="263" t="s">
        <v>129</v>
      </c>
      <c r="V7" s="264" t="s">
        <v>344</v>
      </c>
      <c r="W7" s="261">
        <f>INDEX(Table_HPD_DefaultRates[HPD Default Rate],MATCH('Pre-filled Sample-Old'!$U7,Table_HPD_DefaultRates[Fuel Type],0))</f>
        <v>0.3</v>
      </c>
      <c r="X7" s="296">
        <v>0.3</v>
      </c>
      <c r="Y7" s="296"/>
      <c r="Z7" s="296"/>
      <c r="AA7"/>
    </row>
    <row r="8" spans="2:32" ht="18">
      <c r="B8" s="2"/>
      <c r="D8" s="255" t="s">
        <v>26</v>
      </c>
      <c r="E8" s="238">
        <v>5000</v>
      </c>
      <c r="F8" s="145"/>
      <c r="G8" s="78" t="s">
        <v>125</v>
      </c>
      <c r="H8"/>
      <c r="I8"/>
      <c r="J8"/>
      <c r="K8"/>
      <c r="L8" s="88"/>
      <c r="M8" s="88"/>
      <c r="N8" s="162" t="str" cm="1">
        <f t="array" ref="N8">IF(AND(ISERROR(Table_UtilityInputS1[Total Emissions (tCO2e)]),OR($L$8="",$M$8="")),"Please choose the fuel type in the green drop down cell.","")</f>
        <v/>
      </c>
      <c r="P8" s="288"/>
      <c r="Q8" s="284"/>
      <c r="R8" s="292"/>
      <c r="S8" s="293"/>
      <c r="T8"/>
      <c r="U8" s="263" t="s">
        <v>130</v>
      </c>
      <c r="V8" s="264" t="s">
        <v>345</v>
      </c>
      <c r="W8" s="261" cm="1">
        <f t="array" ref="W8">INDEX(Table_HPD_DefaultRates[HPD Default Rate],MATCH('Pre-filled Sample-Old'!$U8&amp;$Q$7,Table_HPD_DefaultRates[Fuel Type]&amp;Table_HPD_DefaultRates[Fuel Territory],0))</f>
        <v>1.3</v>
      </c>
      <c r="X8" s="262" t="s">
        <v>27</v>
      </c>
      <c r="Y8" s="262"/>
      <c r="Z8" s="262"/>
      <c r="AA8"/>
    </row>
    <row r="9" spans="2:32" ht="18">
      <c r="B9" s="2"/>
      <c r="D9" s="255" t="s">
        <v>28</v>
      </c>
      <c r="E9" s="238">
        <v>2000</v>
      </c>
      <c r="F9" s="256"/>
      <c r="H9"/>
      <c r="I9"/>
      <c r="J9"/>
      <c r="K9"/>
      <c r="L9" s="77" t="s">
        <v>126</v>
      </c>
      <c r="M9"/>
      <c r="N9"/>
      <c r="P9" s="288"/>
      <c r="Q9" s="284"/>
      <c r="R9" s="292"/>
      <c r="S9" s="293"/>
      <c r="T9"/>
      <c r="U9" s="263" t="s">
        <v>132</v>
      </c>
      <c r="V9" s="264"/>
      <c r="W9" s="261">
        <f>INDEX(Table_HPD_DefaultRates[HPD Default Rate],MATCH('Pre-filled Sample-Old'!$U9,Table_HPD_DefaultRates[Fuel Type],0))</f>
        <v>40</v>
      </c>
      <c r="X9" s="285" t="s">
        <v>343</v>
      </c>
      <c r="Y9" s="285"/>
      <c r="Z9" s="285"/>
      <c r="AA9"/>
    </row>
    <row r="10" spans="2:32" ht="18">
      <c r="B10" s="2"/>
      <c r="D10" s="255" t="s">
        <v>30</v>
      </c>
      <c r="E10" s="238">
        <v>800</v>
      </c>
      <c r="F10" s="257" t="s">
        <v>182</v>
      </c>
      <c r="G10"/>
      <c r="H10"/>
      <c r="I10"/>
      <c r="J10"/>
      <c r="K10"/>
      <c r="L10"/>
      <c r="M10"/>
      <c r="N10"/>
      <c r="P10" s="288"/>
      <c r="Q10" s="284"/>
      <c r="R10" s="292"/>
      <c r="S10" s="293"/>
      <c r="T10"/>
      <c r="U10" s="263" t="s">
        <v>131</v>
      </c>
      <c r="V10" s="264" t="s">
        <v>346</v>
      </c>
      <c r="W10" s="261">
        <f>INDEX(Table_HPD_DefaultRates[HPD Default Rate],MATCH('Pre-filled Sample-Old'!$U10,Table_HPD_DefaultRates[Fuel Type],0))</f>
        <v>4</v>
      </c>
      <c r="X10" s="285">
        <v>4</v>
      </c>
      <c r="Y10" s="285"/>
      <c r="Z10" s="285"/>
      <c r="AA10"/>
    </row>
    <row r="11" spans="2:32" ht="18">
      <c r="B11" s="2"/>
      <c r="D11" s="255" t="s">
        <v>31</v>
      </c>
      <c r="E11" s="238">
        <v>650</v>
      </c>
      <c r="F11" s="257" t="s">
        <v>183</v>
      </c>
      <c r="G11"/>
      <c r="H11"/>
      <c r="I11"/>
      <c r="J11"/>
      <c r="K11"/>
      <c r="L11"/>
      <c r="M11"/>
      <c r="N11"/>
      <c r="P11" s="289"/>
      <c r="Q11" s="284"/>
      <c r="R11" s="294"/>
      <c r="S11" s="295"/>
      <c r="T11"/>
      <c r="U11" s="263" t="str" cm="1">
        <f t="array" ref="U11">IF(Table_UtilityInputS1[Annual Other Fuel 1
(kBtu)]&gt;0,$L$8,"")</f>
        <v/>
      </c>
      <c r="V11" s="264" t="str">
        <f>IF(U11="","","($/ kBtu)")</f>
        <v/>
      </c>
      <c r="W11" s="261" t="str">
        <f>IF($U11="","",INDEX(Table_HPD_DefaultRates[HPD Default Rate],MATCH('Pre-filled Sample-Old'!$U11,Table_HPD_DefaultRates[Fuel Type],0)))</f>
        <v/>
      </c>
      <c r="X11" s="285" t="s">
        <v>29</v>
      </c>
      <c r="Y11" s="285"/>
      <c r="Z11" s="285"/>
      <c r="AA11"/>
    </row>
    <row r="12" spans="2:32" ht="18">
      <c r="B12" s="2"/>
      <c r="D12" s="255"/>
      <c r="E12" s="238"/>
      <c r="F12" s="256"/>
      <c r="G12"/>
      <c r="H12"/>
      <c r="I12"/>
      <c r="J12"/>
      <c r="K12"/>
      <c r="L12"/>
      <c r="M12"/>
      <c r="N12"/>
      <c r="T12"/>
      <c r="U12" s="263" t="str" cm="1">
        <f t="array" ref="U12">IF(Table_UtilityInputS1[Annual Other Fuel 2
(kBtu)]&gt;0,$M$8,"")</f>
        <v/>
      </c>
      <c r="V12" s="264" t="str">
        <f>IF(U12="","","($/ kBtu)")</f>
        <v/>
      </c>
      <c r="W12" s="261" t="str">
        <f>IF($U12="","",INDEX(Table_HPD_DefaultRates[HPD Default Rate],MATCH('Pre-filled Sample-Old'!$U12,Table_HPD_DefaultRates[Fuel Type],0)))</f>
        <v/>
      </c>
      <c r="X12" s="285" t="s">
        <v>29</v>
      </c>
      <c r="Y12" s="285"/>
      <c r="Z12" s="285"/>
      <c r="AA12"/>
    </row>
    <row r="13" spans="2:32" ht="18">
      <c r="B13" s="2"/>
      <c r="D13" s="255"/>
      <c r="E13" s="238"/>
      <c r="F13" s="256"/>
      <c r="G13"/>
      <c r="H13"/>
      <c r="I13"/>
      <c r="J13"/>
      <c r="K13"/>
      <c r="L13"/>
      <c r="M13"/>
      <c r="N13"/>
      <c r="U13" s="263" t="s">
        <v>32</v>
      </c>
      <c r="V13" s="264"/>
      <c r="W13" s="286" t="s">
        <v>33</v>
      </c>
      <c r="X13" s="286"/>
      <c r="Y13" s="286"/>
      <c r="Z13" s="286"/>
      <c r="AA13"/>
    </row>
    <row r="14" spans="2:32" ht="18">
      <c r="B14" s="2"/>
      <c r="D14" s="255"/>
      <c r="E14" s="238"/>
      <c r="F14" s="145"/>
      <c r="G14"/>
      <c r="H14"/>
      <c r="I14"/>
      <c r="J14"/>
      <c r="K14"/>
      <c r="L14"/>
      <c r="M14"/>
      <c r="N14"/>
      <c r="W14"/>
      <c r="X14"/>
      <c r="Y14"/>
      <c r="Z14"/>
      <c r="AA14"/>
    </row>
    <row r="15" spans="2:32" ht="18">
      <c r="B15" s="2"/>
      <c r="D15" s="73" t="s">
        <v>34</v>
      </c>
      <c r="E15" s="74">
        <f>_xlfn.AGGREGATE(9,7,Table_AreaInputS1[Sq.Ft.])</f>
        <v>63750</v>
      </c>
      <c r="F15"/>
      <c r="G15"/>
      <c r="H15"/>
      <c r="I15"/>
      <c r="J15"/>
      <c r="K15"/>
      <c r="L15"/>
      <c r="M15"/>
      <c r="N15"/>
      <c r="W15"/>
      <c r="X15"/>
      <c r="Y15"/>
      <c r="Z15"/>
      <c r="AA15"/>
    </row>
    <row r="16" spans="2:32">
      <c r="D16" s="72"/>
      <c r="G16"/>
      <c r="H16"/>
      <c r="I16"/>
      <c r="J16"/>
      <c r="K16"/>
      <c r="L16"/>
      <c r="M16"/>
      <c r="N16"/>
      <c r="O16"/>
      <c r="X16"/>
      <c r="Y16"/>
      <c r="Z16"/>
      <c r="AA16"/>
      <c r="AB16"/>
      <c r="AC16"/>
      <c r="AD16"/>
      <c r="AE16"/>
      <c r="AF16"/>
    </row>
    <row r="17" spans="2:36" ht="18">
      <c r="D17" s="69" t="s">
        <v>35</v>
      </c>
      <c r="E17" s="69"/>
      <c r="G17" s="268" t="s">
        <v>36</v>
      </c>
      <c r="H17" s="269"/>
      <c r="I17" s="269"/>
      <c r="J17" s="269"/>
      <c r="K17" s="269"/>
      <c r="L17" s="269"/>
      <c r="M17" s="269"/>
      <c r="N17"/>
      <c r="O17"/>
      <c r="P17"/>
      <c r="Q17"/>
      <c r="R17"/>
      <c r="S17"/>
      <c r="U17" s="175" t="s">
        <v>37</v>
      </c>
      <c r="W17"/>
      <c r="X17"/>
      <c r="Z17"/>
      <c r="AA17"/>
      <c r="AB17"/>
      <c r="AC17"/>
      <c r="AD17"/>
      <c r="AE17"/>
      <c r="AF17"/>
      <c r="AG17"/>
    </row>
    <row r="18" spans="2:36" s="4" customFormat="1" ht="78" customHeight="1">
      <c r="B18" s="3" t="s">
        <v>38</v>
      </c>
      <c r="C18" s="63" t="s">
        <v>39</v>
      </c>
      <c r="D18" s="63" t="s">
        <v>40</v>
      </c>
      <c r="E18" s="63" t="s">
        <v>41</v>
      </c>
      <c r="F18" s="63" t="s">
        <v>42</v>
      </c>
      <c r="G18" s="63" t="s">
        <v>43</v>
      </c>
      <c r="H18" s="63" t="s">
        <v>44</v>
      </c>
      <c r="I18" s="63" t="s">
        <v>127</v>
      </c>
      <c r="J18" s="63" t="s">
        <v>45</v>
      </c>
      <c r="K18" s="63" t="s">
        <v>46</v>
      </c>
      <c r="L18" s="63" t="s">
        <v>47</v>
      </c>
      <c r="M18" s="63" t="s">
        <v>48</v>
      </c>
      <c r="N18" s="63" t="s">
        <v>49</v>
      </c>
      <c r="O18" s="63" t="s">
        <v>50</v>
      </c>
      <c r="P18" s="63" t="s">
        <v>51</v>
      </c>
      <c r="Q18" s="63" t="s">
        <v>52</v>
      </c>
      <c r="R18" s="63" t="s">
        <v>53</v>
      </c>
      <c r="S18" s="85" t="s">
        <v>54</v>
      </c>
      <c r="T18"/>
      <c r="U18" s="170" t="s">
        <v>38</v>
      </c>
      <c r="V18" s="170" t="s">
        <v>41</v>
      </c>
      <c r="W18" s="170" t="s">
        <v>42</v>
      </c>
      <c r="X18" s="170" t="s">
        <v>55</v>
      </c>
      <c r="Y18" s="170" t="s">
        <v>56</v>
      </c>
      <c r="Z18" s="170" t="s">
        <v>51</v>
      </c>
      <c r="AA18" s="3"/>
      <c r="AB18" s="3"/>
      <c r="AC18" s="3"/>
    </row>
    <row r="19" spans="2:36">
      <c r="B19" s="239" t="s">
        <v>57</v>
      </c>
      <c r="C19" s="240" t="s">
        <v>58</v>
      </c>
      <c r="D19" s="241" t="s">
        <v>59</v>
      </c>
      <c r="E19" s="242">
        <v>2000</v>
      </c>
      <c r="F19" s="242"/>
      <c r="G19" s="243"/>
      <c r="H19" s="243">
        <v>1789</v>
      </c>
      <c r="I19" s="243"/>
      <c r="J19" s="243"/>
      <c r="K19" s="243"/>
      <c r="L19" s="243"/>
      <c r="M19"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178900</v>
      </c>
      <c r="N19" s="244">
        <v>1700</v>
      </c>
      <c r="O19" s="174" cm="1">
        <f t="array" ref="O19">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2325.7000000000003</v>
      </c>
      <c r="P19" s="94">
        <f>IF(Table_ECM_S01[[#This Row],[Total Annual Utility Savings using Default Utility rates 
($)]]=0,"",(Table_ECM_S01[[#This Row],[Cost to Install Measures ($)]]-Table_ECM_S01[[#This Row],[Incentives &amp; Rebates ($)]])/Table_ECM_S01[[#This Row],[Total Annual Utility Savings using Default Utility rates 
($)]])</f>
        <v>0.85995614223674588</v>
      </c>
      <c r="Q19" s="245" t="b">
        <v>1</v>
      </c>
      <c r="R19" s="246">
        <v>2025</v>
      </c>
      <c r="S19" s="247" t="s">
        <v>60</v>
      </c>
      <c r="T19" s="163"/>
      <c r="U19" s="254" t="s">
        <v>57</v>
      </c>
      <c r="V19" s="186">
        <f>IF(Table_SummaryByScope_S01[[#This Row],[Scope Name]]="","",SUMIFS(Table_ECM_S01[Cost to Install Measures ($)],Table_ECM_S01[Scope Name],Table_SummaryByScope_S01[[#This Row],[Scope Name]]))</f>
        <v>8720</v>
      </c>
      <c r="W19" s="186">
        <f>IF(Table_SummaryByScope_S01[[#This Row],[Scope Name]]="","",SUMIFS(Table_ECM_S01[Incentives &amp; Rebates ($)],Table_ECM_S01[Scope Name],Table_SummaryByScope_S01[[#This Row],[Scope Name]]))</f>
        <v>0</v>
      </c>
      <c r="X19" s="216">
        <f>IF(Table_SummaryByScope_S01[[#This Row],[Scope Name]]="","",SUMIFS(Table_ECM_S01[Total Annual Energy Savings
(kBtu)],Table_ECM_S01[Scope Name],Table_SummaryByScope_S01[[#This Row],[Scope Name]]))</f>
        <v>519520.64399999997</v>
      </c>
      <c r="Y19" s="186">
        <f>IF(Table_SummaryByScope_S01[[#This Row],[Scope Name]]="","",SUMIFS(Table_ECM_S01[Total Annual Utility Savings using Default Utility rates 
($)],Table_ECM_S01[Scope Name],Table_SummaryByScope_S01[[#This Row],[Scope Name]]))</f>
        <v>7070.0000000000009</v>
      </c>
      <c r="Z19" s="187">
        <f>IF(OR(Table_SummaryByScope_S01[[#This Row],[Scope Name]]="",Table_SummaryByScope_S01[[#This Row],[Annual Utility Savings
($)]]=0),"",(Table_SummaryByScope_S01[[#This Row],[Cost to Install Measures ($)]]-Table_SummaryByScope_S01[[#This Row],[Incentives &amp; Rebates ($)]])/Table_SummaryByScope_S01[[#This Row],[Annual Utility Savings
($)]])</f>
        <v>1.2333804809052331</v>
      </c>
      <c r="AJ19" s="4"/>
    </row>
    <row r="20" spans="2:36">
      <c r="B20" s="239" t="s">
        <v>57</v>
      </c>
      <c r="C20" s="248" t="s">
        <v>61</v>
      </c>
      <c r="D20" s="241" t="s">
        <v>62</v>
      </c>
      <c r="E20" s="249">
        <v>2500</v>
      </c>
      <c r="F20" s="249"/>
      <c r="G20" s="243"/>
      <c r="H20" s="243">
        <v>1797</v>
      </c>
      <c r="I20" s="243"/>
      <c r="J20" s="243"/>
      <c r="K20" s="243"/>
      <c r="L20" s="243"/>
      <c r="M20"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179700</v>
      </c>
      <c r="N20" s="244">
        <v>1707</v>
      </c>
      <c r="O20" s="174" cm="1">
        <f t="array" ref="O20">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2336.1</v>
      </c>
      <c r="P20" s="95">
        <f>IF(Table_ECM_S01[[#This Row],[Total Annual Utility Savings using Default Utility rates 
($)]]=0,"",(Table_ECM_S01[[#This Row],[Cost to Install Measures ($)]]-Table_ECM_S01[[#This Row],[Incentives &amp; Rebates ($)]])/Table_ECM_S01[[#This Row],[Total Annual Utility Savings using Default Utility rates 
($)]])</f>
        <v>1.0701596678224392</v>
      </c>
      <c r="Q20" s="245" t="b">
        <v>1</v>
      </c>
      <c r="R20" s="250">
        <v>2025</v>
      </c>
      <c r="S20" s="251" t="s">
        <v>60</v>
      </c>
      <c r="T20" s="163"/>
      <c r="U20" s="254" t="s">
        <v>63</v>
      </c>
      <c r="V20" s="186">
        <f>IF(Table_SummaryByScope_S01[[#This Row],[Scope Name]]="","",SUMIFS(Table_ECM_S01[Cost to Install Measures ($)],Table_ECM_S01[Scope Name],Table_SummaryByScope_S01[[#This Row],[Scope Name]]))</f>
        <v>317800</v>
      </c>
      <c r="W20" s="186">
        <f>IF(Table_SummaryByScope_S01[[#This Row],[Scope Name]]="","",SUMIFS(Table_ECM_S01[Incentives &amp; Rebates ($)],Table_ECM_S01[Scope Name],Table_SummaryByScope_S01[[#This Row],[Scope Name]]))</f>
        <v>150000</v>
      </c>
      <c r="X20" s="216">
        <f>IF(Table_SummaryByScope_S01[[#This Row],[Scope Name]]="","",SUMIFS(Table_ECM_S01[Total Annual Energy Savings
(kBtu)],Table_ECM_S01[Scope Name],Table_SummaryByScope_S01[[#This Row],[Scope Name]]))</f>
        <v>998038.75600000005</v>
      </c>
      <c r="Y20" s="188">
        <f>IF(Table_SummaryByScope_S01[[#This Row],[Scope Name]]="","",SUMIFS(Table_ECM_S01[Total Annual Utility Savings using Default Utility rates 
($)],Table_ECM_S01[Scope Name],Table_SummaryByScope_S01[[#This Row],[Scope Name]]))</f>
        <v>58022.3</v>
      </c>
      <c r="Z20" s="187">
        <f>IF(OR(Table_SummaryByScope_S01[[#This Row],[Scope Name]]="",Table_SummaryByScope_S01[[#This Row],[Annual Utility Savings
($)]]=0),"",(Table_SummaryByScope_S01[[#This Row],[Cost to Install Measures ($)]]-Table_SummaryByScope_S01[[#This Row],[Incentives &amp; Rebates ($)]])/Table_SummaryByScope_S01[[#This Row],[Annual Utility Savings
($)]])</f>
        <v>2.891991527395501</v>
      </c>
    </row>
    <row r="21" spans="2:36">
      <c r="B21" s="239" t="s">
        <v>57</v>
      </c>
      <c r="C21" s="248" t="s">
        <v>64</v>
      </c>
      <c r="D21" s="241" t="s">
        <v>65</v>
      </c>
      <c r="E21" s="249">
        <v>3500</v>
      </c>
      <c r="F21" s="249"/>
      <c r="G21" s="243">
        <v>0</v>
      </c>
      <c r="H21" s="243">
        <v>1567</v>
      </c>
      <c r="I21" s="243"/>
      <c r="J21" s="243"/>
      <c r="K21" s="243"/>
      <c r="L21" s="243"/>
      <c r="M21"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156700</v>
      </c>
      <c r="N21" s="244">
        <v>1489</v>
      </c>
      <c r="O21" s="174" cm="1">
        <f t="array" ref="O21">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2037.1000000000001</v>
      </c>
      <c r="P21" s="95">
        <f>IF(Table_ECM_S01[[#This Row],[Total Annual Utility Savings using Default Utility rates 
($)]]=0,"",(Table_ECM_S01[[#This Row],[Cost to Install Measures ($)]]-Table_ECM_S01[[#This Row],[Incentives &amp; Rebates ($)]])/Table_ECM_S01[[#This Row],[Total Annual Utility Savings using Default Utility rates 
($)]])</f>
        <v>1.7181287123852533</v>
      </c>
      <c r="Q21" s="245" t="b">
        <v>1</v>
      </c>
      <c r="R21" s="250">
        <v>2025</v>
      </c>
      <c r="S21" s="251" t="s">
        <v>60</v>
      </c>
      <c r="T21" s="163"/>
      <c r="U21" s="254" t="s">
        <v>66</v>
      </c>
      <c r="V21" s="186">
        <f>IF(Table_SummaryByScope_S01[[#This Row],[Scope Name]]="","",SUMIFS(Table_ECM_S01[Cost to Install Measures ($)],Table_ECM_S01[Scope Name],Table_SummaryByScope_S01[[#This Row],[Scope Name]]))</f>
        <v>178866</v>
      </c>
      <c r="W21" s="186">
        <f>IF(Table_SummaryByScope_S01[[#This Row],[Scope Name]]="","",SUMIFS(Table_ECM_S01[Incentives &amp; Rebates ($)],Table_ECM_S01[Scope Name],Table_SummaryByScope_S01[[#This Row],[Scope Name]]))</f>
        <v>1500</v>
      </c>
      <c r="X21" s="216">
        <f>IF(Table_SummaryByScope_S01[[#This Row],[Scope Name]]="","",SUMIFS(Table_ECM_S01[Total Annual Energy Savings
(kBtu)],Table_ECM_S01[Scope Name],Table_SummaryByScope_S01[[#This Row],[Scope Name]]))</f>
        <v>305762.27600000001</v>
      </c>
      <c r="Y21" s="188">
        <f>IF(Table_SummaryByScope_S01[[#This Row],[Scope Name]]="","",SUMIFS(Table_ECM_S01[Total Annual Utility Savings using Default Utility rates 
($)],Table_ECM_S01[Scope Name],Table_SummaryByScope_S01[[#This Row],[Scope Name]]))</f>
        <v>5553</v>
      </c>
      <c r="Z21" s="187">
        <f>IF(OR(Table_SummaryByScope_S01[[#This Row],[Scope Name]]="",Table_SummaryByScope_S01[[#This Row],[Annual Utility Savings
($)]]=0),"",(Table_SummaryByScope_S01[[#This Row],[Cost to Install Measures ($)]]-Table_SummaryByScope_S01[[#This Row],[Incentives &amp; Rebates ($)]])/Table_SummaryByScope_S01[[#This Row],[Annual Utility Savings
($)]])</f>
        <v>31.940572663425176</v>
      </c>
    </row>
    <row r="22" spans="2:36">
      <c r="B22" s="239" t="s">
        <v>57</v>
      </c>
      <c r="C22" s="248" t="s">
        <v>67</v>
      </c>
      <c r="D22" s="241" t="s">
        <v>68</v>
      </c>
      <c r="E22" s="249">
        <v>720</v>
      </c>
      <c r="F22" s="249"/>
      <c r="G22" s="243">
        <v>1237</v>
      </c>
      <c r="H22" s="243">
        <v>0</v>
      </c>
      <c r="I22" s="243"/>
      <c r="J22" s="243"/>
      <c r="K22" s="243"/>
      <c r="L22" s="243"/>
      <c r="M22"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4220.6440000000002</v>
      </c>
      <c r="N22" s="244">
        <v>235</v>
      </c>
      <c r="O22" s="174" cm="1">
        <f t="array" ref="O22">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371.09999999999997</v>
      </c>
      <c r="P22" s="95">
        <f>IF(Table_ECM_S01[[#This Row],[Total Annual Utility Savings using Default Utility rates 
($)]]=0,"",(Table_ECM_S01[[#This Row],[Cost to Install Measures ($)]]-Table_ECM_S01[[#This Row],[Incentives &amp; Rebates ($)]])/Table_ECM_S01[[#This Row],[Total Annual Utility Savings using Default Utility rates 
($)]])</f>
        <v>1.9401778496362168</v>
      </c>
      <c r="Q22" s="245" t="b">
        <v>1</v>
      </c>
      <c r="R22" s="250">
        <v>2025</v>
      </c>
      <c r="S22" s="251" t="s">
        <v>60</v>
      </c>
      <c r="T22" s="163"/>
      <c r="U22" s="254" t="s">
        <v>69</v>
      </c>
      <c r="V22" s="186">
        <f>IF(Table_SummaryByScope_S01[[#This Row],[Scope Name]]="","",SUMIFS(Table_ECM_S01[Cost to Install Measures ($)],Table_ECM_S01[Scope Name],Table_SummaryByScope_S01[[#This Row],[Scope Name]]))</f>
        <v>481394</v>
      </c>
      <c r="W22" s="186">
        <f>IF(Table_SummaryByScope_S01[[#This Row],[Scope Name]]="","",SUMIFS(Table_ECM_S01[Incentives &amp; Rebates ($)],Table_ECM_S01[Scope Name],Table_SummaryByScope_S01[[#This Row],[Scope Name]]))</f>
        <v>0</v>
      </c>
      <c r="X22" s="216">
        <f>IF(Table_SummaryByScope_S01[[#This Row],[Scope Name]]="","",SUMIFS(Table_ECM_S01[Total Annual Energy Savings
(kBtu)],Table_ECM_S01[Scope Name],Table_SummaryByScope_S01[[#This Row],[Scope Name]]))</f>
        <v>1138080.952</v>
      </c>
      <c r="Y22" s="188">
        <f>IF(Table_SummaryByScope_S01[[#This Row],[Scope Name]]="","",SUMIFS(Table_ECM_S01[Total Annual Utility Savings using Default Utility rates 
($)],Table_ECM_S01[Scope Name],Table_SummaryByScope_S01[[#This Row],[Scope Name]]))</f>
        <v>-29419.599999999995</v>
      </c>
      <c r="Z22" s="187">
        <f>IF(OR(Table_SummaryByScope_S01[[#This Row],[Scope Name]]="",Table_SummaryByScope_S01[[#This Row],[Annual Utility Savings
($)]]=0),"",(Table_SummaryByScope_S01[[#This Row],[Cost to Install Measures ($)]]-Table_SummaryByScope_S01[[#This Row],[Incentives &amp; Rebates ($)]])/Table_SummaryByScope_S01[[#This Row],[Annual Utility Savings
($)]])</f>
        <v>-16.363036886973312</v>
      </c>
    </row>
    <row r="23" spans="2:36">
      <c r="B23" s="239" t="s">
        <v>63</v>
      </c>
      <c r="C23" s="248" t="s">
        <v>70</v>
      </c>
      <c r="D23" s="241" t="s">
        <v>71</v>
      </c>
      <c r="E23" s="249">
        <v>2655</v>
      </c>
      <c r="F23" s="249"/>
      <c r="G23" s="243">
        <v>3456</v>
      </c>
      <c r="H23" s="243"/>
      <c r="I23" s="243"/>
      <c r="J23" s="243"/>
      <c r="K23" s="243"/>
      <c r="L23" s="243"/>
      <c r="M23"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11791.871999999999</v>
      </c>
      <c r="N23" s="244">
        <v>657</v>
      </c>
      <c r="O23" s="174" cm="1">
        <f t="array" ref="O23">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1036.8</v>
      </c>
      <c r="P23" s="95">
        <f>IF(Table_ECM_S01[[#This Row],[Total Annual Utility Savings using Default Utility rates 
($)]]=0,"",(Table_ECM_S01[[#This Row],[Cost to Install Measures ($)]]-Table_ECM_S01[[#This Row],[Incentives &amp; Rebates ($)]])/Table_ECM_S01[[#This Row],[Total Annual Utility Savings using Default Utility rates 
($)]])</f>
        <v>2.5607638888888888</v>
      </c>
      <c r="Q23" s="245" t="b">
        <v>1</v>
      </c>
      <c r="R23" s="250">
        <v>2025</v>
      </c>
      <c r="S23" s="251" t="s">
        <v>60</v>
      </c>
      <c r="T23" s="163"/>
      <c r="U23" s="254"/>
      <c r="V23" s="186" t="str">
        <f>IF(Table_SummaryByScope_S01[[#This Row],[Scope Name]]="","",SUMIFS(Table_ECM_S01[Cost to Install Measures ($)],Table_ECM_S01[Scope Name],Table_SummaryByScope_S01[[#This Row],[Scope Name]]))</f>
        <v/>
      </c>
      <c r="W23" s="186" t="str">
        <f>IF(Table_SummaryByScope_S01[[#This Row],[Scope Name]]="","",SUMIFS(Table_ECM_S01[Incentives &amp; Rebates ($)],Table_ECM_S01[Scope Name],Table_SummaryByScope_S01[[#This Row],[Scope Name]]))</f>
        <v/>
      </c>
      <c r="X23" s="216" t="str">
        <f>IF(Table_SummaryByScope_S01[[#This Row],[Scope Name]]="","",SUMIFS(Table_ECM_S01[Total Annual Energy Savings
(kBtu)],Table_ECM_S01[Scope Name],Table_SummaryByScope_S01[[#This Row],[Scope Name]]))</f>
        <v/>
      </c>
      <c r="Y23" s="188" t="str">
        <f>IF(Table_SummaryByScope_S01[[#This Row],[Scope Name]]="","",SUMIFS(Table_ECM_S01[Total Annual Utility Savings using Default Utility rates 
($)],Table_ECM_S01[Scope Name],Table_SummaryByScope_S01[[#This Row],[Scope Name]]))</f>
        <v/>
      </c>
      <c r="Z23"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24" spans="2:36">
      <c r="B24" s="239" t="s">
        <v>63</v>
      </c>
      <c r="C24" s="248" t="s">
        <v>72</v>
      </c>
      <c r="D24" s="241" t="s">
        <v>73</v>
      </c>
      <c r="E24" s="249">
        <v>250950</v>
      </c>
      <c r="F24" s="249">
        <v>150000</v>
      </c>
      <c r="G24" s="243">
        <v>172732</v>
      </c>
      <c r="H24" s="243"/>
      <c r="I24" s="243"/>
      <c r="J24" s="243"/>
      <c r="K24" s="243"/>
      <c r="L24" s="243"/>
      <c r="M24"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589361.58400000003</v>
      </c>
      <c r="N24" s="244">
        <v>29924</v>
      </c>
      <c r="O24" s="174" cm="1">
        <f t="array" ref="O24">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51819.6</v>
      </c>
      <c r="P24" s="95">
        <f>IF(Table_ECM_S01[[#This Row],[Total Annual Utility Savings using Default Utility rates 
($)]]=0,"",(Table_ECM_S01[[#This Row],[Cost to Install Measures ($)]]-Table_ECM_S01[[#This Row],[Incentives &amp; Rebates ($)]])/Table_ECM_S01[[#This Row],[Total Annual Utility Savings using Default Utility rates 
($)]])</f>
        <v>1.9481045781904918</v>
      </c>
      <c r="Q24" s="245" t="b">
        <v>1</v>
      </c>
      <c r="R24" s="250">
        <v>2025</v>
      </c>
      <c r="S24" s="251" t="s">
        <v>74</v>
      </c>
      <c r="T24" s="163"/>
      <c r="U24" s="254"/>
      <c r="V24" s="186" t="str">
        <f>IF(Table_SummaryByScope_S01[[#This Row],[Scope Name]]="","",SUMIFS(Table_ECM_S01[Cost to Install Measures ($)],Table_ECM_S01[Scope Name],Table_SummaryByScope_S01[[#This Row],[Scope Name]]))</f>
        <v/>
      </c>
      <c r="W24" s="186" t="str">
        <f>IF(Table_SummaryByScope_S01[[#This Row],[Scope Name]]="","",SUMIFS(Table_ECM_S01[Incentives &amp; Rebates ($)],Table_ECM_S01[Scope Name],Table_SummaryByScope_S01[[#This Row],[Scope Name]]))</f>
        <v/>
      </c>
      <c r="X24" s="216" t="str">
        <f>IF(Table_SummaryByScope_S01[[#This Row],[Scope Name]]="","",SUMIFS(Table_ECM_S01[Total Annual Energy Savings
(kBtu)],Table_ECM_S01[Scope Name],Table_SummaryByScope_S01[[#This Row],[Scope Name]]))</f>
        <v/>
      </c>
      <c r="Y24" s="188" t="str">
        <f>IF(Table_SummaryByScope_S01[[#This Row],[Scope Name]]="","",SUMIFS(Table_ECM_S01[Total Annual Utility Savings using Default Utility rates 
($)],Table_ECM_S01[Scope Name],Table_SummaryByScope_S01[[#This Row],[Scope Name]]))</f>
        <v/>
      </c>
      <c r="Z24"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25" spans="2:36">
      <c r="B25" s="239" t="s">
        <v>63</v>
      </c>
      <c r="C25" s="248" t="s">
        <v>75</v>
      </c>
      <c r="D25" s="241" t="s">
        <v>76</v>
      </c>
      <c r="E25" s="249">
        <v>42900</v>
      </c>
      <c r="F25" s="249"/>
      <c r="G25" s="243">
        <v>0</v>
      </c>
      <c r="H25" s="243">
        <v>2662</v>
      </c>
      <c r="I25" s="243"/>
      <c r="J25" s="243"/>
      <c r="K25" s="243"/>
      <c r="L25" s="243"/>
      <c r="M25"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266200</v>
      </c>
      <c r="N25" s="244">
        <v>2529</v>
      </c>
      <c r="O25" s="174" cm="1">
        <f t="array" ref="O25">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3460.6</v>
      </c>
      <c r="P25" s="95">
        <f>IF(Table_ECM_S01[[#This Row],[Total Annual Utility Savings using Default Utility rates 
($)]]=0,"",(Table_ECM_S01[[#This Row],[Cost to Install Measures ($)]]-Table_ECM_S01[[#This Row],[Incentives &amp; Rebates ($)]])/Table_ECM_S01[[#This Row],[Total Annual Utility Savings using Default Utility rates 
($)]])</f>
        <v>12.396694214876034</v>
      </c>
      <c r="Q25" s="245" t="b">
        <v>1</v>
      </c>
      <c r="R25" s="250">
        <v>2027</v>
      </c>
      <c r="S25" s="251"/>
      <c r="T25" s="163"/>
      <c r="U25" s="254"/>
      <c r="V25" s="186" t="str">
        <f>IF(Table_SummaryByScope_S01[[#This Row],[Scope Name]]="","",SUMIFS(Table_ECM_S01[Cost to Install Measures ($)],Table_ECM_S01[Scope Name],Table_SummaryByScope_S01[[#This Row],[Scope Name]]))</f>
        <v/>
      </c>
      <c r="W25" s="186" t="str">
        <f>IF(Table_SummaryByScope_S01[[#This Row],[Scope Name]]="","",SUMIFS(Table_ECM_S01[Incentives &amp; Rebates ($)],Table_ECM_S01[Scope Name],Table_SummaryByScope_S01[[#This Row],[Scope Name]]))</f>
        <v/>
      </c>
      <c r="X25" s="216" t="str">
        <f>IF(Table_SummaryByScope_S01[[#This Row],[Scope Name]]="","",SUMIFS(Table_ECM_S01[Total Annual Energy Savings
(kBtu)],Table_ECM_S01[Scope Name],Table_SummaryByScope_S01[[#This Row],[Scope Name]]))</f>
        <v/>
      </c>
      <c r="Y25" s="188" t="str">
        <f>IF(Table_SummaryByScope_S01[[#This Row],[Scope Name]]="","",SUMIFS(Table_ECM_S01[Total Annual Utility Savings using Default Utility rates 
($)],Table_ECM_S01[Scope Name],Table_SummaryByScope_S01[[#This Row],[Scope Name]]))</f>
        <v/>
      </c>
      <c r="Z25"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26" spans="2:36">
      <c r="B26" s="239" t="s">
        <v>63</v>
      </c>
      <c r="C26" s="248" t="s">
        <v>77</v>
      </c>
      <c r="D26" s="241" t="s">
        <v>78</v>
      </c>
      <c r="E26" s="249">
        <v>21050</v>
      </c>
      <c r="F26" s="249"/>
      <c r="G26" s="243"/>
      <c r="H26" s="243">
        <v>1300</v>
      </c>
      <c r="I26" s="243"/>
      <c r="J26" s="243"/>
      <c r="K26" s="243"/>
      <c r="L26" s="243"/>
      <c r="M26"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130000</v>
      </c>
      <c r="N26" s="244">
        <v>1027</v>
      </c>
      <c r="O26" s="174" cm="1">
        <f t="array" ref="O26">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1690</v>
      </c>
      <c r="P26" s="95">
        <f>IF(Table_ECM_S01[[#This Row],[Total Annual Utility Savings using Default Utility rates 
($)]]=0,"",(Table_ECM_S01[[#This Row],[Cost to Install Measures ($)]]-Table_ECM_S01[[#This Row],[Incentives &amp; Rebates ($)]])/Table_ECM_S01[[#This Row],[Total Annual Utility Savings using Default Utility rates 
($)]])</f>
        <v>12.455621301775148</v>
      </c>
      <c r="Q26" s="245" t="b">
        <v>1</v>
      </c>
      <c r="R26" s="250">
        <v>2027</v>
      </c>
      <c r="S26" s="252"/>
      <c r="T26" s="163"/>
      <c r="U26" s="254"/>
      <c r="V26" s="186" t="str">
        <f>IF(Table_SummaryByScope_S01[[#This Row],[Scope Name]]="","",SUMIFS(Table_ECM_S01[Cost to Install Measures ($)],Table_ECM_S01[Scope Name],Table_SummaryByScope_S01[[#This Row],[Scope Name]]))</f>
        <v/>
      </c>
      <c r="W26" s="186" t="str">
        <f>IF(Table_SummaryByScope_S01[[#This Row],[Scope Name]]="","",SUMIFS(Table_ECM_S01[Incentives &amp; Rebates ($)],Table_ECM_S01[Scope Name],Table_SummaryByScope_S01[[#This Row],[Scope Name]]))</f>
        <v/>
      </c>
      <c r="X26" s="216" t="str">
        <f>IF(Table_SummaryByScope_S01[[#This Row],[Scope Name]]="","",SUMIFS(Table_ECM_S01[Total Annual Energy Savings
(kBtu)],Table_ECM_S01[Scope Name],Table_SummaryByScope_S01[[#This Row],[Scope Name]]))</f>
        <v/>
      </c>
      <c r="Y26" s="188" t="str">
        <f>IF(Table_SummaryByScope_S01[[#This Row],[Scope Name]]="","",SUMIFS(Table_ECM_S01[Total Annual Utility Savings using Default Utility rates 
($)],Table_ECM_S01[Scope Name],Table_SummaryByScope_S01[[#This Row],[Scope Name]]))</f>
        <v/>
      </c>
      <c r="Z26"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27" spans="2:36">
      <c r="B27" s="239" t="s">
        <v>63</v>
      </c>
      <c r="C27" s="248" t="s">
        <v>79</v>
      </c>
      <c r="D27" s="241" t="s">
        <v>80</v>
      </c>
      <c r="E27" s="249">
        <v>245</v>
      </c>
      <c r="F27" s="249"/>
      <c r="G27" s="243">
        <v>25</v>
      </c>
      <c r="H27" s="243">
        <v>6</v>
      </c>
      <c r="I27" s="243"/>
      <c r="J27" s="243"/>
      <c r="K27" s="243"/>
      <c r="L27" s="243"/>
      <c r="M27"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685.3</v>
      </c>
      <c r="N27" s="244">
        <v>12</v>
      </c>
      <c r="O27" s="174" cm="1">
        <f t="array" ref="O27">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15.3</v>
      </c>
      <c r="P27" s="95">
        <f>IF(Table_ECM_S01[[#This Row],[Total Annual Utility Savings using Default Utility rates 
($)]]=0,"",(Table_ECM_S01[[#This Row],[Cost to Install Measures ($)]]-Table_ECM_S01[[#This Row],[Incentives &amp; Rebates ($)]])/Table_ECM_S01[[#This Row],[Total Annual Utility Savings using Default Utility rates 
($)]])</f>
        <v>16.013071895424837</v>
      </c>
      <c r="Q27" s="245" t="b">
        <v>1</v>
      </c>
      <c r="R27" s="250">
        <v>2027</v>
      </c>
      <c r="S27" s="252"/>
      <c r="T27" s="163"/>
      <c r="U27" s="254"/>
      <c r="V27" s="186" t="str">
        <f>IF(Table_SummaryByScope_S01[[#This Row],[Scope Name]]="","",SUMIFS(Table_ECM_S01[Cost to Install Measures ($)],Table_ECM_S01[Scope Name],Table_SummaryByScope_S01[[#This Row],[Scope Name]]))</f>
        <v/>
      </c>
      <c r="W27" s="186" t="str">
        <f>IF(Table_SummaryByScope_S01[[#This Row],[Scope Name]]="","",SUMIFS(Table_ECM_S01[Incentives &amp; Rebates ($)],Table_ECM_S01[Scope Name],Table_SummaryByScope_S01[[#This Row],[Scope Name]]))</f>
        <v/>
      </c>
      <c r="X27" s="216" t="str">
        <f>IF(Table_SummaryByScope_S01[[#This Row],[Scope Name]]="","",SUMIFS(Table_ECM_S01[Total Annual Energy Savings
(kBtu)],Table_ECM_S01[Scope Name],Table_SummaryByScope_S01[[#This Row],[Scope Name]]))</f>
        <v/>
      </c>
      <c r="Y27" s="188" t="str">
        <f>IF(Table_SummaryByScope_S01[[#This Row],[Scope Name]]="","",SUMIFS(Table_ECM_S01[Total Annual Utility Savings using Default Utility rates 
($)],Table_ECM_S01[Scope Name],Table_SummaryByScope_S01[[#This Row],[Scope Name]]))</f>
        <v/>
      </c>
      <c r="Z27"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28" spans="2:36">
      <c r="B28" s="239" t="s">
        <v>66</v>
      </c>
      <c r="C28" s="248" t="s">
        <v>81</v>
      </c>
      <c r="D28" s="241" t="s">
        <v>82</v>
      </c>
      <c r="E28" s="249">
        <v>27200</v>
      </c>
      <c r="F28" s="249"/>
      <c r="G28" s="243">
        <v>5283</v>
      </c>
      <c r="H28" s="243"/>
      <c r="I28" s="243"/>
      <c r="J28" s="243"/>
      <c r="K28" s="243"/>
      <c r="L28" s="243"/>
      <c r="M28"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18025.596000000001</v>
      </c>
      <c r="N28" s="244">
        <v>1124</v>
      </c>
      <c r="O28" s="174" cm="1">
        <f t="array" ref="O28">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1584.8999999999999</v>
      </c>
      <c r="P28" s="95">
        <f>IF(Table_ECM_S01[[#This Row],[Total Annual Utility Savings using Default Utility rates 
($)]]=0,"",(Table_ECM_S01[[#This Row],[Cost to Install Measures ($)]]-Table_ECM_S01[[#This Row],[Incentives &amp; Rebates ($)]])/Table_ECM_S01[[#This Row],[Total Annual Utility Savings using Default Utility rates 
($)]])</f>
        <v>17.161966054640672</v>
      </c>
      <c r="Q28" s="245" t="b">
        <v>1</v>
      </c>
      <c r="R28" s="250">
        <v>2030</v>
      </c>
      <c r="S28" s="252"/>
      <c r="T28" s="163"/>
      <c r="U28" s="254"/>
      <c r="V28" s="186" t="str">
        <f>IF(Table_SummaryByScope_S01[[#This Row],[Scope Name]]="","",SUMIFS(Table_ECM_S01[Cost to Install Measures ($)],Table_ECM_S01[Scope Name],Table_SummaryByScope_S01[[#This Row],[Scope Name]]))</f>
        <v/>
      </c>
      <c r="W28" s="186" t="str">
        <f>IF(Table_SummaryByScope_S01[[#This Row],[Scope Name]]="","",SUMIFS(Table_ECM_S01[Incentives &amp; Rebates ($)],Table_ECM_S01[Scope Name],Table_SummaryByScope_S01[[#This Row],[Scope Name]]))</f>
        <v/>
      </c>
      <c r="X28" s="216" t="str">
        <f>IF(Table_SummaryByScope_S01[[#This Row],[Scope Name]]="","",SUMIFS(Table_ECM_S01[Total Annual Energy Savings
(kBtu)],Table_ECM_S01[Scope Name],Table_SummaryByScope_S01[[#This Row],[Scope Name]]))</f>
        <v/>
      </c>
      <c r="Y28" s="188" t="str">
        <f>IF(Table_SummaryByScope_S01[[#This Row],[Scope Name]]="","",SUMIFS(Table_ECM_S01[Total Annual Utility Savings using Default Utility rates 
($)],Table_ECM_S01[Scope Name],Table_SummaryByScope_S01[[#This Row],[Scope Name]]))</f>
        <v/>
      </c>
      <c r="Z28"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29" spans="2:36">
      <c r="B29" s="239" t="s">
        <v>66</v>
      </c>
      <c r="C29" s="248" t="s">
        <v>83</v>
      </c>
      <c r="D29" s="241" t="s">
        <v>84</v>
      </c>
      <c r="E29" s="249">
        <v>30294</v>
      </c>
      <c r="F29" s="249">
        <v>1500</v>
      </c>
      <c r="G29" s="243"/>
      <c r="H29" s="243">
        <v>1058</v>
      </c>
      <c r="I29" s="243"/>
      <c r="J29" s="243"/>
      <c r="K29" s="243"/>
      <c r="L29" s="243"/>
      <c r="M29"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105800</v>
      </c>
      <c r="N29" s="244">
        <v>1005</v>
      </c>
      <c r="O29" s="174" cm="1">
        <f t="array" ref="O29">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1375.4</v>
      </c>
      <c r="P29" s="95">
        <f>IF(Table_ECM_S01[[#This Row],[Total Annual Utility Savings using Default Utility rates 
($)]]=0,"",(Table_ECM_S01[[#This Row],[Cost to Install Measures ($)]]-Table_ECM_S01[[#This Row],[Incentives &amp; Rebates ($)]])/Table_ECM_S01[[#This Row],[Total Annual Utility Savings using Default Utility rates 
($)]])</f>
        <v>20.935000727061219</v>
      </c>
      <c r="Q29" s="245" t="b">
        <v>1</v>
      </c>
      <c r="R29" s="250">
        <v>2030</v>
      </c>
      <c r="S29" s="252"/>
      <c r="T29" s="163"/>
      <c r="U29" s="254"/>
      <c r="V29" s="186" t="str">
        <f>IF(Table_SummaryByScope_S01[[#This Row],[Scope Name]]="","",SUMIFS(Table_ECM_S01[Cost to Install Measures ($)],Table_ECM_S01[Scope Name],Table_SummaryByScope_S01[[#This Row],[Scope Name]]))</f>
        <v/>
      </c>
      <c r="W29" s="186" t="str">
        <f>IF(Table_SummaryByScope_S01[[#This Row],[Scope Name]]="","",SUMIFS(Table_ECM_S01[Incentives &amp; Rebates ($)],Table_ECM_S01[Scope Name],Table_SummaryByScope_S01[[#This Row],[Scope Name]]))</f>
        <v/>
      </c>
      <c r="X29" s="216" t="str">
        <f>IF(Table_SummaryByScope_S01[[#This Row],[Scope Name]]="","",SUMIFS(Table_ECM_S01[Total Annual Energy Savings
(kBtu)],Table_ECM_S01[Scope Name],Table_SummaryByScope_S01[[#This Row],[Scope Name]]))</f>
        <v/>
      </c>
      <c r="Y29" s="188" t="str">
        <f>IF(Table_SummaryByScope_S01[[#This Row],[Scope Name]]="","",SUMIFS(Table_ECM_S01[Total Annual Utility Savings using Default Utility rates 
($)],Table_ECM_S01[Scope Name],Table_SummaryByScope_S01[[#This Row],[Scope Name]]))</f>
        <v/>
      </c>
      <c r="Z29"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30" spans="2:36">
      <c r="B30" s="239" t="s">
        <v>66</v>
      </c>
      <c r="C30" s="248" t="s">
        <v>85</v>
      </c>
      <c r="D30" s="241" t="s">
        <v>86</v>
      </c>
      <c r="E30" s="249">
        <v>94200</v>
      </c>
      <c r="F30" s="249"/>
      <c r="G30" s="243">
        <v>652</v>
      </c>
      <c r="H30" s="243">
        <v>1437</v>
      </c>
      <c r="I30" s="243"/>
      <c r="J30" s="243"/>
      <c r="K30" s="243"/>
      <c r="L30" s="243"/>
      <c r="M30"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145924.62400000001</v>
      </c>
      <c r="N30" s="244">
        <v>1743</v>
      </c>
      <c r="O30" s="174" cm="1">
        <f t="array" ref="O30">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2063.7000000000003</v>
      </c>
      <c r="P30" s="95">
        <f>IF(Table_ECM_S01[[#This Row],[Total Annual Utility Savings using Default Utility rates 
($)]]=0,"",(Table_ECM_S01[[#This Row],[Cost to Install Measures ($)]]-Table_ECM_S01[[#This Row],[Incentives &amp; Rebates ($)]])/Table_ECM_S01[[#This Row],[Total Annual Utility Savings using Default Utility rates 
($)]])</f>
        <v>45.64616950138101</v>
      </c>
      <c r="Q30" s="245" t="b">
        <v>1</v>
      </c>
      <c r="R30" s="250">
        <v>2030</v>
      </c>
      <c r="S30" s="252"/>
      <c r="T30" s="163"/>
      <c r="U30" s="254"/>
      <c r="V30" s="186" t="str">
        <f>IF(Table_SummaryByScope_S01[[#This Row],[Scope Name]]="","",SUMIFS(Table_ECM_S01[Cost to Install Measures ($)],Table_ECM_S01[Scope Name],Table_SummaryByScope_S01[[#This Row],[Scope Name]]))</f>
        <v/>
      </c>
      <c r="W30" s="186" t="str">
        <f>IF(Table_SummaryByScope_S01[[#This Row],[Scope Name]]="","",SUMIFS(Table_ECM_S01[Incentives &amp; Rebates ($)],Table_ECM_S01[Scope Name],Table_SummaryByScope_S01[[#This Row],[Scope Name]]))</f>
        <v/>
      </c>
      <c r="X30" s="216" t="str">
        <f>IF(Table_SummaryByScope_S01[[#This Row],[Scope Name]]="","",SUMIFS(Table_ECM_S01[Total Annual Energy Savings
(kBtu)],Table_ECM_S01[Scope Name],Table_SummaryByScope_S01[[#This Row],[Scope Name]]))</f>
        <v/>
      </c>
      <c r="Y30" s="188" t="str">
        <f>IF(Table_SummaryByScope_S01[[#This Row],[Scope Name]]="","",SUMIFS(Table_ECM_S01[Total Annual Utility Savings using Default Utility rates 
($)],Table_ECM_S01[Scope Name],Table_SummaryByScope_S01[[#This Row],[Scope Name]]))</f>
        <v/>
      </c>
      <c r="Z30"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31" spans="2:36">
      <c r="B31" s="239" t="s">
        <v>66</v>
      </c>
      <c r="C31" s="248" t="s">
        <v>87</v>
      </c>
      <c r="D31" s="241" t="s">
        <v>88</v>
      </c>
      <c r="E31" s="249">
        <v>27172</v>
      </c>
      <c r="F31" s="249"/>
      <c r="G31" s="243">
        <v>238</v>
      </c>
      <c r="H31" s="243">
        <v>352</v>
      </c>
      <c r="I31" s="243"/>
      <c r="J31" s="243"/>
      <c r="K31" s="243"/>
      <c r="L31" s="243"/>
      <c r="M31"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36012.055999999997</v>
      </c>
      <c r="N31" s="244">
        <v>442</v>
      </c>
      <c r="O31" s="174" cm="1">
        <f t="array" ref="O31">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529</v>
      </c>
      <c r="P31" s="95">
        <f>IF(Table_ECM_S01[[#This Row],[Total Annual Utility Savings using Default Utility rates 
($)]]=0,"",(Table_ECM_S01[[#This Row],[Cost to Install Measures ($)]]-Table_ECM_S01[[#This Row],[Incentives &amp; Rebates ($)]])/Table_ECM_S01[[#This Row],[Total Annual Utility Savings using Default Utility rates 
($)]])</f>
        <v>51.364839319470697</v>
      </c>
      <c r="Q31" s="245" t="b">
        <v>1</v>
      </c>
      <c r="R31" s="250">
        <v>2030</v>
      </c>
      <c r="S31" s="252"/>
      <c r="T31" s="163"/>
      <c r="U31" s="254"/>
      <c r="V31" s="186" t="str">
        <f>IF(Table_SummaryByScope_S01[[#This Row],[Scope Name]]="","",SUMIFS(Table_ECM_S01[Cost to Install Measures ($)],Table_ECM_S01[Scope Name],Table_SummaryByScope_S01[[#This Row],[Scope Name]]))</f>
        <v/>
      </c>
      <c r="W31" s="186" t="str">
        <f>IF(Table_SummaryByScope_S01[[#This Row],[Scope Name]]="","",SUMIFS(Table_ECM_S01[Incentives &amp; Rebates ($)],Table_ECM_S01[Scope Name],Table_SummaryByScope_S01[[#This Row],[Scope Name]]))</f>
        <v/>
      </c>
      <c r="X31" s="216" t="str">
        <f>IF(Table_SummaryByScope_S01[[#This Row],[Scope Name]]="","",SUMIFS(Table_ECM_S01[Total Annual Energy Savings
(kBtu)],Table_ECM_S01[Scope Name],Table_SummaryByScope_S01[[#This Row],[Scope Name]]))</f>
        <v/>
      </c>
      <c r="Y31" s="188" t="str">
        <f>IF(Table_SummaryByScope_S01[[#This Row],[Scope Name]]="","",SUMIFS(Table_ECM_S01[Total Annual Utility Savings using Default Utility rates 
($)],Table_ECM_S01[Scope Name],Table_SummaryByScope_S01[[#This Row],[Scope Name]]))</f>
        <v/>
      </c>
      <c r="Z31"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32" spans="2:36">
      <c r="B32" s="239" t="s">
        <v>69</v>
      </c>
      <c r="C32" s="248" t="s">
        <v>89</v>
      </c>
      <c r="D32" s="241" t="s">
        <v>90</v>
      </c>
      <c r="E32" s="249">
        <v>327121</v>
      </c>
      <c r="F32" s="249">
        <v>0</v>
      </c>
      <c r="G32" s="243">
        <v>-124781</v>
      </c>
      <c r="H32" s="243">
        <v>11518</v>
      </c>
      <c r="I32" s="243"/>
      <c r="J32" s="243"/>
      <c r="K32" s="243"/>
      <c r="L32" s="243"/>
      <c r="M32"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726047.228</v>
      </c>
      <c r="N32" s="244">
        <v>-9597</v>
      </c>
      <c r="O32" s="174" cm="1">
        <f t="array" ref="O32">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-22460.899999999994</v>
      </c>
      <c r="P32" s="95">
        <f>IF(Table_ECM_S01[[#This Row],[Total Annual Utility Savings using Default Utility rates 
($)]]=0,"",(Table_ECM_S01[[#This Row],[Cost to Install Measures ($)]]-Table_ECM_S01[[#This Row],[Incentives &amp; Rebates ($)]])/Table_ECM_S01[[#This Row],[Total Annual Utility Savings using Default Utility rates 
($)]])</f>
        <v>-14.564020141668415</v>
      </c>
      <c r="Q32" s="245" t="b">
        <v>1</v>
      </c>
      <c r="R32" s="250">
        <v>2039</v>
      </c>
      <c r="S32" s="252" t="s">
        <v>91</v>
      </c>
      <c r="T32" s="163"/>
      <c r="U32" s="254"/>
      <c r="V32" s="186" t="str">
        <f>IF(Table_SummaryByScope_S01[[#This Row],[Scope Name]]="","",SUMIFS(Table_ECM_S01[Cost to Install Measures ($)],Table_ECM_S01[Scope Name],Table_SummaryByScope_S01[[#This Row],[Scope Name]]))</f>
        <v/>
      </c>
      <c r="W32" s="186" t="str">
        <f>IF(Table_SummaryByScope_S01[[#This Row],[Scope Name]]="","",SUMIFS(Table_ECM_S01[Incentives &amp; Rebates ($)],Table_ECM_S01[Scope Name],Table_SummaryByScope_S01[[#This Row],[Scope Name]]))</f>
        <v/>
      </c>
      <c r="X32" s="216" t="str">
        <f>IF(Table_SummaryByScope_S01[[#This Row],[Scope Name]]="","",SUMIFS(Table_ECM_S01[Total Annual Energy Savings
(kBtu)],Table_ECM_S01[Scope Name],Table_SummaryByScope_S01[[#This Row],[Scope Name]]))</f>
        <v/>
      </c>
      <c r="Y32" s="188" t="str">
        <f>IF(Table_SummaryByScope_S01[[#This Row],[Scope Name]]="","",SUMIFS(Table_ECM_S01[Total Annual Utility Savings using Default Utility rates 
($)],Table_ECM_S01[Scope Name],Table_SummaryByScope_S01[[#This Row],[Scope Name]]))</f>
        <v/>
      </c>
      <c r="Z32"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33" spans="2:36">
      <c r="B33" s="239" t="s">
        <v>69</v>
      </c>
      <c r="C33" s="248" t="s">
        <v>92</v>
      </c>
      <c r="D33" s="241" t="s">
        <v>93</v>
      </c>
      <c r="E33" s="249">
        <v>154273</v>
      </c>
      <c r="F33" s="249">
        <v>0</v>
      </c>
      <c r="G33" s="243">
        <v>-48173</v>
      </c>
      <c r="H33" s="243">
        <v>5764</v>
      </c>
      <c r="I33" s="243"/>
      <c r="J33" s="243"/>
      <c r="K33" s="243"/>
      <c r="L33" s="243"/>
      <c r="M33"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412033.72400000005</v>
      </c>
      <c r="N33" s="244">
        <v>-2655</v>
      </c>
      <c r="O33" s="174" cm="1">
        <f t="array" ref="O33">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-6958.7</v>
      </c>
      <c r="P33" s="95">
        <f>IF(Table_ECM_S01[[#This Row],[Total Annual Utility Savings using Default Utility rates 
($)]]=0,"",(Table_ECM_S01[[#This Row],[Cost to Install Measures ($)]]-Table_ECM_S01[[#This Row],[Incentives &amp; Rebates ($)]])/Table_ECM_S01[[#This Row],[Total Annual Utility Savings using Default Utility rates 
($)]])</f>
        <v>-22.169801830801731</v>
      </c>
      <c r="Q33" s="245" t="b">
        <v>1</v>
      </c>
      <c r="R33" s="250">
        <v>2039</v>
      </c>
      <c r="S33" s="252" t="s">
        <v>91</v>
      </c>
      <c r="T33" s="163"/>
      <c r="U33" s="254"/>
      <c r="V33" s="186" t="str">
        <f>IF(Table_SummaryByScope_S01[[#This Row],[Scope Name]]="","",SUMIFS(Table_ECM_S01[Cost to Install Measures ($)],Table_ECM_S01[Scope Name],Table_SummaryByScope_S01[[#This Row],[Scope Name]]))</f>
        <v/>
      </c>
      <c r="W33" s="186" t="str">
        <f>IF(Table_SummaryByScope_S01[[#This Row],[Scope Name]]="","",SUMIFS(Table_ECM_S01[Incentives &amp; Rebates ($)],Table_ECM_S01[Scope Name],Table_SummaryByScope_S01[[#This Row],[Scope Name]]))</f>
        <v/>
      </c>
      <c r="X33" s="216" t="str">
        <f>IF(Table_SummaryByScope_S01[[#This Row],[Scope Name]]="","",SUMIFS(Table_ECM_S01[Total Annual Energy Savings
(kBtu)],Table_ECM_S01[Scope Name],Table_SummaryByScope_S01[[#This Row],[Scope Name]]))</f>
        <v/>
      </c>
      <c r="Y33" s="188" t="str">
        <f>IF(Table_SummaryByScope_S01[[#This Row],[Scope Name]]="","",SUMIFS(Table_ECM_S01[Total Annual Utility Savings using Default Utility rates 
($)],Table_ECM_S01[Scope Name],Table_SummaryByScope_S01[[#This Row],[Scope Name]]))</f>
        <v/>
      </c>
      <c r="Z33"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34" spans="2:36">
      <c r="B34" s="239"/>
      <c r="C34" s="248"/>
      <c r="D34" s="241"/>
      <c r="E34" s="249"/>
      <c r="F34" s="249"/>
      <c r="G34" s="243"/>
      <c r="H34" s="243"/>
      <c r="I34" s="243"/>
      <c r="J34" s="243"/>
      <c r="K34" s="243"/>
      <c r="L34" s="243"/>
      <c r="M34"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N34" s="244">
        <v>0</v>
      </c>
      <c r="O34" s="174" cm="1">
        <f t="array" ref="O34">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0</v>
      </c>
      <c r="P34" s="95" t="str">
        <f>IF(Table_ECM_S01[[#This Row],[Total Annual Utility Savings using Default Utility rates 
($)]]=0,"",(Table_ECM_S01[[#This Row],[Cost to Install Measures ($)]]-Table_ECM_S01[[#This Row],[Incentives &amp; Rebates ($)]])/Table_ECM_S01[[#This Row],[Total Annual Utility Savings using Default Utility rates 
($)]])</f>
        <v/>
      </c>
      <c r="Q34" s="245" t="b">
        <v>0</v>
      </c>
      <c r="R34" s="250"/>
      <c r="S34" s="252"/>
      <c r="T34" s="163"/>
      <c r="U34" s="254"/>
      <c r="V34" s="186" t="str">
        <f>IF(Table_SummaryByScope_S01[[#This Row],[Scope Name]]="","",SUMIFS(Table_ECM_S01[Cost to Install Measures ($)],Table_ECM_S01[Scope Name],Table_SummaryByScope_S01[[#This Row],[Scope Name]]))</f>
        <v/>
      </c>
      <c r="W34" s="186" t="str">
        <f>IF(Table_SummaryByScope_S01[[#This Row],[Scope Name]]="","",SUMIFS(Table_ECM_S01[Incentives &amp; Rebates ($)],Table_ECM_S01[Scope Name],Table_SummaryByScope_S01[[#This Row],[Scope Name]]))</f>
        <v/>
      </c>
      <c r="X34" s="216" t="str">
        <f>IF(Table_SummaryByScope_S01[[#This Row],[Scope Name]]="","",SUMIFS(Table_ECM_S01[Total Annual Energy Savings
(kBtu)],Table_ECM_S01[Scope Name],Table_SummaryByScope_S01[[#This Row],[Scope Name]]))</f>
        <v/>
      </c>
      <c r="Y34" s="188" t="str">
        <f>IF(Table_SummaryByScope_S01[[#This Row],[Scope Name]]="","",SUMIFS(Table_ECM_S01[Total Annual Utility Savings using Default Utility rates 
($)],Table_ECM_S01[Scope Name],Table_SummaryByScope_S01[[#This Row],[Scope Name]]))</f>
        <v/>
      </c>
      <c r="Z34"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35" spans="2:36">
      <c r="B35" s="239"/>
      <c r="C35" s="248"/>
      <c r="D35" s="241"/>
      <c r="E35" s="249"/>
      <c r="F35" s="249"/>
      <c r="G35" s="243"/>
      <c r="H35" s="243"/>
      <c r="I35" s="243"/>
      <c r="J35" s="243"/>
      <c r="K35" s="243"/>
      <c r="L35" s="243"/>
      <c r="M35" s="96">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N35" s="244">
        <v>0</v>
      </c>
      <c r="O35" s="174" cm="1">
        <f t="array" ref="O35">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0</v>
      </c>
      <c r="P35" s="95" t="str">
        <f>IF(Table_ECM_S01[[#This Row],[Total Annual Utility Savings using Default Utility rates 
($)]]=0,"",(Table_ECM_S01[[#This Row],[Cost to Install Measures ($)]]-Table_ECM_S01[[#This Row],[Incentives &amp; Rebates ($)]])/Table_ECM_S01[[#This Row],[Total Annual Utility Savings using Default Utility rates 
($)]])</f>
        <v/>
      </c>
      <c r="Q35" s="245" t="b">
        <v>0</v>
      </c>
      <c r="R35" s="250"/>
      <c r="S35" s="252"/>
      <c r="T35" s="163"/>
      <c r="U35" s="254"/>
      <c r="V35" s="186" t="str">
        <f>IF(Table_SummaryByScope_S01[[#This Row],[Scope Name]]="","",SUMIFS(Table_ECM_S01[Cost to Install Measures ($)],Table_ECM_S01[Scope Name],Table_SummaryByScope_S01[[#This Row],[Scope Name]]))</f>
        <v/>
      </c>
      <c r="W35" s="186" t="str">
        <f>IF(Table_SummaryByScope_S01[[#This Row],[Scope Name]]="","",SUMIFS(Table_ECM_S01[Incentives &amp; Rebates ($)],Table_ECM_S01[Scope Name],Table_SummaryByScope_S01[[#This Row],[Scope Name]]))</f>
        <v/>
      </c>
      <c r="X35" s="216" t="str">
        <f>IF(Table_SummaryByScope_S01[[#This Row],[Scope Name]]="","",SUMIFS(Table_ECM_S01[Total Annual Energy Savings
(kBtu)],Table_ECM_S01[Scope Name],Table_SummaryByScope_S01[[#This Row],[Scope Name]]))</f>
        <v/>
      </c>
      <c r="Y35" s="188" t="str">
        <f>IF(Table_SummaryByScope_S01[[#This Row],[Scope Name]]="","",SUMIFS(Table_ECM_S01[Total Annual Utility Savings using Default Utility rates 
($)],Table_ECM_S01[Scope Name],Table_SummaryByScope_S01[[#This Row],[Scope Name]]))</f>
        <v/>
      </c>
      <c r="Z35"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36" spans="2:36">
      <c r="B36" s="239"/>
      <c r="C36" s="248"/>
      <c r="D36" s="241"/>
      <c r="E36" s="253"/>
      <c r="F36" s="253"/>
      <c r="G36" s="243"/>
      <c r="H36" s="243"/>
      <c r="I36" s="243"/>
      <c r="J36" s="243"/>
      <c r="K36" s="243"/>
      <c r="L36" s="243"/>
      <c r="M36" s="97">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N36" s="244">
        <v>0</v>
      </c>
      <c r="O36" s="174" cm="1">
        <f t="array" ref="O36">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0</v>
      </c>
      <c r="P36" s="95" t="str">
        <f>IF(Table_ECM_S01[[#This Row],[Total Annual Utility Savings using Default Utility rates 
($)]]=0,"",(Table_ECM_S01[[#This Row],[Cost to Install Measures ($)]]-Table_ECM_S01[[#This Row],[Incentives &amp; Rebates ($)]])/Table_ECM_S01[[#This Row],[Total Annual Utility Savings using Default Utility rates 
($)]])</f>
        <v/>
      </c>
      <c r="Q36" s="245" t="b">
        <v>0</v>
      </c>
      <c r="R36" s="250"/>
      <c r="S36" s="251"/>
      <c r="T36" s="163"/>
      <c r="U36" s="254"/>
      <c r="V36" s="186" t="str">
        <f>IF(Table_SummaryByScope_S01[[#This Row],[Scope Name]]="","",SUMIFS(Table_ECM_S01[Cost to Install Measures ($)],Table_ECM_S01[Scope Name],Table_SummaryByScope_S01[[#This Row],[Scope Name]]))</f>
        <v/>
      </c>
      <c r="W36" s="186" t="str">
        <f>IF(Table_SummaryByScope_S01[[#This Row],[Scope Name]]="","",SUMIFS(Table_ECM_S01[Incentives &amp; Rebates ($)],Table_ECM_S01[Scope Name],Table_SummaryByScope_S01[[#This Row],[Scope Name]]))</f>
        <v/>
      </c>
      <c r="X36" s="216" t="str">
        <f>IF(Table_SummaryByScope_S01[[#This Row],[Scope Name]]="","",SUMIFS(Table_ECM_S01[Total Annual Energy Savings
(kBtu)],Table_ECM_S01[Scope Name],Table_SummaryByScope_S01[[#This Row],[Scope Name]]))</f>
        <v/>
      </c>
      <c r="Y36" s="188" t="str">
        <f>IF(Table_SummaryByScope_S01[[#This Row],[Scope Name]]="","",SUMIFS(Table_ECM_S01[Total Annual Utility Savings using Default Utility rates 
($)],Table_ECM_S01[Scope Name],Table_SummaryByScope_S01[[#This Row],[Scope Name]]))</f>
        <v/>
      </c>
      <c r="Z36"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37" spans="2:36">
      <c r="B37" s="239"/>
      <c r="C37" s="248"/>
      <c r="D37" s="241"/>
      <c r="E37" s="253"/>
      <c r="F37" s="253"/>
      <c r="G37" s="243"/>
      <c r="H37" s="243"/>
      <c r="I37" s="243"/>
      <c r="J37" s="243"/>
      <c r="K37" s="243"/>
      <c r="L37" s="243"/>
      <c r="M37" s="97">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N37" s="244">
        <v>0</v>
      </c>
      <c r="O37" s="174" cm="1">
        <f t="array" ref="O37">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0</v>
      </c>
      <c r="P37" s="95" t="str">
        <f>IF(Table_ECM_S01[[#This Row],[Total Annual Utility Savings using Default Utility rates 
($)]]=0,"",(Table_ECM_S01[[#This Row],[Cost to Install Measures ($)]]-Table_ECM_S01[[#This Row],[Incentives &amp; Rebates ($)]])/Table_ECM_S01[[#This Row],[Total Annual Utility Savings using Default Utility rates 
($)]])</f>
        <v/>
      </c>
      <c r="Q37" s="245" t="b">
        <v>0</v>
      </c>
      <c r="R37" s="250"/>
      <c r="S37" s="251"/>
      <c r="T37" s="163"/>
      <c r="U37" s="254"/>
      <c r="V37" s="186" t="str">
        <f>IF(Table_SummaryByScope_S01[[#This Row],[Scope Name]]="","",SUMIFS(Table_ECM_S01[Cost to Install Measures ($)],Table_ECM_S01[Scope Name],Table_SummaryByScope_S01[[#This Row],[Scope Name]]))</f>
        <v/>
      </c>
      <c r="W37" s="186" t="str">
        <f>IF(Table_SummaryByScope_S01[[#This Row],[Scope Name]]="","",SUMIFS(Table_ECM_S01[Incentives &amp; Rebates ($)],Table_ECM_S01[Scope Name],Table_SummaryByScope_S01[[#This Row],[Scope Name]]))</f>
        <v/>
      </c>
      <c r="X37" s="216" t="str">
        <f>IF(Table_SummaryByScope_S01[[#This Row],[Scope Name]]="","",SUMIFS(Table_ECM_S01[Total Annual Energy Savings
(kBtu)],Table_ECM_S01[Scope Name],Table_SummaryByScope_S01[[#This Row],[Scope Name]]))</f>
        <v/>
      </c>
      <c r="Y37" s="188" t="str">
        <f>IF(Table_SummaryByScope_S01[[#This Row],[Scope Name]]="","",SUMIFS(Table_ECM_S01[Total Annual Utility Savings using Default Utility rates 
($)],Table_ECM_S01[Scope Name],Table_SummaryByScope_S01[[#This Row],[Scope Name]]))</f>
        <v/>
      </c>
      <c r="Z37"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38" spans="2:36">
      <c r="B38" s="239"/>
      <c r="C38" s="248"/>
      <c r="D38" s="241"/>
      <c r="E38" s="253"/>
      <c r="F38" s="253"/>
      <c r="G38" s="243"/>
      <c r="H38" s="243"/>
      <c r="I38" s="243"/>
      <c r="J38" s="243"/>
      <c r="K38" s="243"/>
      <c r="L38" s="243"/>
      <c r="M38" s="97">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N38" s="244">
        <v>0</v>
      </c>
      <c r="O38" s="174" cm="1">
        <f t="array" ref="O38">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0</v>
      </c>
      <c r="P38" s="95" t="str">
        <f>IF(Table_ECM_S01[[#This Row],[Total Annual Utility Savings using Default Utility rates 
($)]]=0,"",(Table_ECM_S01[[#This Row],[Cost to Install Measures ($)]]-Table_ECM_S01[[#This Row],[Incentives &amp; Rebates ($)]])/Table_ECM_S01[[#This Row],[Total Annual Utility Savings using Default Utility rates 
($)]])</f>
        <v/>
      </c>
      <c r="Q38" s="245" t="b">
        <v>0</v>
      </c>
      <c r="R38" s="250"/>
      <c r="S38" s="251"/>
      <c r="T38" s="163"/>
      <c r="U38" s="254"/>
      <c r="V38" s="186" t="str">
        <f>IF(Table_SummaryByScope_S01[[#This Row],[Scope Name]]="","",SUMIFS(Table_ECM_S01[Cost to Install Measures ($)],Table_ECM_S01[Scope Name],Table_SummaryByScope_S01[[#This Row],[Scope Name]]))</f>
        <v/>
      </c>
      <c r="W38" s="186" t="str">
        <f>IF(Table_SummaryByScope_S01[[#This Row],[Scope Name]]="","",SUMIFS(Table_ECM_S01[Incentives &amp; Rebates ($)],Table_ECM_S01[Scope Name],Table_SummaryByScope_S01[[#This Row],[Scope Name]]))</f>
        <v/>
      </c>
      <c r="X38" s="216" t="str">
        <f>IF(Table_SummaryByScope_S01[[#This Row],[Scope Name]]="","",SUMIFS(Table_ECM_S01[Total Annual Energy Savings
(kBtu)],Table_ECM_S01[Scope Name],Table_SummaryByScope_S01[[#This Row],[Scope Name]]))</f>
        <v/>
      </c>
      <c r="Y38" s="188" t="str">
        <f>IF(Table_SummaryByScope_S01[[#This Row],[Scope Name]]="","",SUMIFS(Table_ECM_S01[Total Annual Utility Savings using Default Utility rates 
($)],Table_ECM_S01[Scope Name],Table_SummaryByScope_S01[[#This Row],[Scope Name]]))</f>
        <v/>
      </c>
      <c r="Z38"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39" spans="2:36">
      <c r="B39" s="239"/>
      <c r="C39" s="248"/>
      <c r="D39" s="241"/>
      <c r="E39" s="253"/>
      <c r="F39" s="253"/>
      <c r="G39" s="243"/>
      <c r="H39" s="243"/>
      <c r="I39" s="243"/>
      <c r="J39" s="243"/>
      <c r="K39" s="243"/>
      <c r="L39" s="243"/>
      <c r="M39" s="97">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N39" s="244">
        <v>0</v>
      </c>
      <c r="O39" s="174" cm="1">
        <f t="array" ref="O39">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0</v>
      </c>
      <c r="P39" s="95" t="str">
        <f>IF(Table_ECM_S01[[#This Row],[Total Annual Utility Savings using Default Utility rates 
($)]]=0,"",(Table_ECM_S01[[#This Row],[Cost to Install Measures ($)]]-Table_ECM_S01[[#This Row],[Incentives &amp; Rebates ($)]])/Table_ECM_S01[[#This Row],[Total Annual Utility Savings using Default Utility rates 
($)]])</f>
        <v/>
      </c>
      <c r="Q39" s="245" t="b">
        <v>0</v>
      </c>
      <c r="R39" s="250"/>
      <c r="S39" s="251"/>
      <c r="T39" s="163"/>
      <c r="U39" s="254"/>
      <c r="V39" s="186" t="str">
        <f>IF(Table_SummaryByScope_S01[[#This Row],[Scope Name]]="","",SUMIFS(Table_ECM_S01[Cost to Install Measures ($)],Table_ECM_S01[Scope Name],Table_SummaryByScope_S01[[#This Row],[Scope Name]]))</f>
        <v/>
      </c>
      <c r="W39" s="186" t="str">
        <f>IF(Table_SummaryByScope_S01[[#This Row],[Scope Name]]="","",SUMIFS(Table_ECM_S01[Incentives &amp; Rebates ($)],Table_ECM_S01[Scope Name],Table_SummaryByScope_S01[[#This Row],[Scope Name]]))</f>
        <v/>
      </c>
      <c r="X39" s="216" t="str">
        <f>IF(Table_SummaryByScope_S01[[#This Row],[Scope Name]]="","",SUMIFS(Table_ECM_S01[Total Annual Energy Savings
(kBtu)],Table_ECM_S01[Scope Name],Table_SummaryByScope_S01[[#This Row],[Scope Name]]))</f>
        <v/>
      </c>
      <c r="Y39" s="188" t="str">
        <f>IF(Table_SummaryByScope_S01[[#This Row],[Scope Name]]="","",SUMIFS(Table_ECM_S01[Total Annual Utility Savings using Default Utility rates 
($)],Table_ECM_S01[Scope Name],Table_SummaryByScope_S01[[#This Row],[Scope Name]]))</f>
        <v/>
      </c>
      <c r="Z39"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40" spans="2:36">
      <c r="B40" s="239"/>
      <c r="C40" s="248"/>
      <c r="D40" s="241"/>
      <c r="E40" s="253"/>
      <c r="F40" s="253"/>
      <c r="G40" s="243"/>
      <c r="H40" s="243"/>
      <c r="I40" s="243"/>
      <c r="J40" s="243"/>
      <c r="K40" s="243"/>
      <c r="L40" s="243"/>
      <c r="M40" s="97">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N40" s="244">
        <v>0</v>
      </c>
      <c r="O40" s="174" cm="1">
        <f t="array" ref="O40">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0</v>
      </c>
      <c r="P40" s="95" t="str">
        <f>IF(Table_ECM_S01[[#This Row],[Total Annual Utility Savings using Default Utility rates 
($)]]=0,"",(Table_ECM_S01[[#This Row],[Cost to Install Measures ($)]]-Table_ECM_S01[[#This Row],[Incentives &amp; Rebates ($)]])/Table_ECM_S01[[#This Row],[Total Annual Utility Savings using Default Utility rates 
($)]])</f>
        <v/>
      </c>
      <c r="Q40" s="245" t="b">
        <v>0</v>
      </c>
      <c r="R40" s="250"/>
      <c r="S40" s="251"/>
      <c r="T40" s="163"/>
      <c r="U40" s="254"/>
      <c r="V40" s="186" t="str">
        <f>IF(Table_SummaryByScope_S01[[#This Row],[Scope Name]]="","",SUMIFS(Table_ECM_S01[Cost to Install Measures ($)],Table_ECM_S01[Scope Name],Table_SummaryByScope_S01[[#This Row],[Scope Name]]))</f>
        <v/>
      </c>
      <c r="W40" s="186" t="str">
        <f>IF(Table_SummaryByScope_S01[[#This Row],[Scope Name]]="","",SUMIFS(Table_ECM_S01[Incentives &amp; Rebates ($)],Table_ECM_S01[Scope Name],Table_SummaryByScope_S01[[#This Row],[Scope Name]]))</f>
        <v/>
      </c>
      <c r="X40" s="216" t="str">
        <f>IF(Table_SummaryByScope_S01[[#This Row],[Scope Name]]="","",SUMIFS(Table_ECM_S01[Total Annual Energy Savings
(kBtu)],Table_ECM_S01[Scope Name],Table_SummaryByScope_S01[[#This Row],[Scope Name]]))</f>
        <v/>
      </c>
      <c r="Y40" s="188" t="str">
        <f>IF(Table_SummaryByScope_S01[[#This Row],[Scope Name]]="","",SUMIFS(Table_ECM_S01[Total Annual Utility Savings using Default Utility rates 
($)],Table_ECM_S01[Scope Name],Table_SummaryByScope_S01[[#This Row],[Scope Name]]))</f>
        <v/>
      </c>
      <c r="Z40"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41" spans="2:36">
      <c r="B41" s="239"/>
      <c r="C41" s="248"/>
      <c r="D41" s="241"/>
      <c r="E41" s="253"/>
      <c r="F41" s="253"/>
      <c r="G41" s="243"/>
      <c r="H41" s="243"/>
      <c r="I41" s="243"/>
      <c r="J41" s="243"/>
      <c r="K41" s="243"/>
      <c r="L41" s="243"/>
      <c r="M41" s="97">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N41" s="244">
        <v>0</v>
      </c>
      <c r="O41" s="174" cm="1">
        <f t="array" ref="O41">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0</v>
      </c>
      <c r="P41" s="95" t="str">
        <f>IF(Table_ECM_S01[[#This Row],[Total Annual Utility Savings using Default Utility rates 
($)]]=0,"",(Table_ECM_S01[[#This Row],[Cost to Install Measures ($)]]-Table_ECM_S01[[#This Row],[Incentives &amp; Rebates ($)]])/Table_ECM_S01[[#This Row],[Total Annual Utility Savings using Default Utility rates 
($)]])</f>
        <v/>
      </c>
      <c r="Q41" s="245" t="b">
        <v>0</v>
      </c>
      <c r="R41" s="250"/>
      <c r="S41" s="251"/>
      <c r="T41" s="163"/>
      <c r="U41" s="254"/>
      <c r="V41" s="186" t="str">
        <f>IF(Table_SummaryByScope_S01[[#This Row],[Scope Name]]="","",SUMIFS(Table_ECM_S01[Cost to Install Measures ($)],Table_ECM_S01[Scope Name],Table_SummaryByScope_S01[[#This Row],[Scope Name]]))</f>
        <v/>
      </c>
      <c r="W41" s="186" t="str">
        <f>IF(Table_SummaryByScope_S01[[#This Row],[Scope Name]]="","",SUMIFS(Table_ECM_S01[Incentives &amp; Rebates ($)],Table_ECM_S01[Scope Name],Table_SummaryByScope_S01[[#This Row],[Scope Name]]))</f>
        <v/>
      </c>
      <c r="X41" s="216" t="str">
        <f>IF(Table_SummaryByScope_S01[[#This Row],[Scope Name]]="","",SUMIFS(Table_ECM_S01[Total Annual Energy Savings
(kBtu)],Table_ECM_S01[Scope Name],Table_SummaryByScope_S01[[#This Row],[Scope Name]]))</f>
        <v/>
      </c>
      <c r="Y41" s="188" t="str">
        <f>IF(Table_SummaryByScope_S01[[#This Row],[Scope Name]]="","",SUMIFS(Table_ECM_S01[Total Annual Utility Savings using Default Utility rates 
($)],Table_ECM_S01[Scope Name],Table_SummaryByScope_S01[[#This Row],[Scope Name]]))</f>
        <v/>
      </c>
      <c r="Z41"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42" spans="2:36">
      <c r="B42" s="239"/>
      <c r="C42" s="248"/>
      <c r="D42" s="241"/>
      <c r="E42" s="253"/>
      <c r="F42" s="253"/>
      <c r="G42" s="243"/>
      <c r="H42" s="243"/>
      <c r="I42" s="243"/>
      <c r="J42" s="243"/>
      <c r="K42" s="243"/>
      <c r="L42" s="243"/>
      <c r="M42" s="97">
        <f>SUM(Table_ECM_S01[[#This Row],[Annual Electricity Savings
(kWh)]]*3.412+Table_ECM_S01[[#This Row],[Annual Natural Gas Savings
(therm)]]*100+Table_ECM_S01[[#This Row],[Annual District Steam Savings
(Mlb for ConEd, klb for others)]]*1194+Table_ECM_S01[[#This Row],[Annual Fuel Oil'#2 Savings
(Gallon)]]*138+Table_ECM_S01[[#This Row],[Annual Other Fuel 1 Savings
(kBtu)]]+Table_ECM_S01[[#This Row],[Annual Other Fuel 2 Savings
(kBtu)]])</f>
        <v>0</v>
      </c>
      <c r="N42" s="244">
        <v>0</v>
      </c>
      <c r="O42" s="174" cm="1">
        <f t="array" ref="O42">SUMPRODUCT(Table_ECM_S01[[#This Row],[Annual Electricity Savings
(kWh)]:[Annual Fuel Oil'#2 Savings
(Gallon)]],TRANSPOSE($W$7:$W$10)+
IF(Table_UtilityInputS1[Annual Other Fuel 1
(kBtu)]="",0,Table_UtilityInputS1[Annual Other Fuel 1
(kBtu)]*$W$11)+
IF(Table_UtilityInputS1[Annual Other Fuel 2
(kBtu)]="",0,Table_UtilityInputS1[Annual Other Fuel 2
(kBtu)]*$W$12))</f>
        <v>0</v>
      </c>
      <c r="P42" s="95" t="str">
        <f>IF(Table_ECM_S01[[#This Row],[Total Annual Utility Savings using Default Utility rates 
($)]]=0,"",(Table_ECM_S01[[#This Row],[Cost to Install Measures ($)]]-Table_ECM_S01[[#This Row],[Incentives &amp; Rebates ($)]])/Table_ECM_S01[[#This Row],[Total Annual Utility Savings using Default Utility rates 
($)]])</f>
        <v/>
      </c>
      <c r="Q42" s="245" t="b">
        <v>0</v>
      </c>
      <c r="R42" s="250"/>
      <c r="S42" s="251"/>
      <c r="T42" s="163"/>
      <c r="U42" s="254"/>
      <c r="V42" s="186" t="str">
        <f>IF(Table_SummaryByScope_S01[[#This Row],[Scope Name]]="","",SUMIFS(Table_ECM_S01[Cost to Install Measures ($)],Table_ECM_S01[Scope Name],Table_SummaryByScope_S01[[#This Row],[Scope Name]]))</f>
        <v/>
      </c>
      <c r="W42" s="186" t="str">
        <f>IF(Table_SummaryByScope_S01[[#This Row],[Scope Name]]="","",SUMIFS(Table_ECM_S01[Incentives &amp; Rebates ($)],Table_ECM_S01[Scope Name],Table_SummaryByScope_S01[[#This Row],[Scope Name]]))</f>
        <v/>
      </c>
      <c r="X42" s="216" t="str">
        <f>IF(Table_SummaryByScope_S01[[#This Row],[Scope Name]]="","",SUMIFS(Table_ECM_S01[Total Annual Energy Savings
(kBtu)],Table_ECM_S01[Scope Name],Table_SummaryByScope_S01[[#This Row],[Scope Name]]))</f>
        <v/>
      </c>
      <c r="Y42" s="188" t="str">
        <f>IF(Table_SummaryByScope_S01[[#This Row],[Scope Name]]="","",SUMIFS(Table_ECM_S01[Total Annual Utility Savings using Default Utility rates 
($)],Table_ECM_S01[Scope Name],Table_SummaryByScope_S01[[#This Row],[Scope Name]]))</f>
        <v/>
      </c>
      <c r="Z42" s="187" t="str">
        <f>IF(OR(Table_SummaryByScope_S01[[#This Row],[Scope Name]]="",Table_SummaryByScope_S01[[#This Row],[Annual Utility Savings
($)]]=0),"",(Table_SummaryByScope_S01[[#This Row],[Cost to Install Measures ($)]]-Table_SummaryByScope_S01[[#This Row],[Incentives &amp; Rebates ($)]])/Table_SummaryByScope_S01[[#This Row],[Annual Utility Savings
($)]])</f>
        <v/>
      </c>
    </row>
    <row r="43" spans="2:36">
      <c r="G43" s="6"/>
      <c r="H43" s="7"/>
      <c r="I43" s="7"/>
      <c r="J43" s="7"/>
      <c r="K43" s="7"/>
      <c r="L43" s="8"/>
      <c r="R43"/>
      <c r="S43"/>
      <c r="T43"/>
      <c r="U43"/>
      <c r="V43"/>
      <c r="W43"/>
      <c r="X43"/>
      <c r="Y43"/>
      <c r="Z43"/>
    </row>
    <row r="44" spans="2:36" collapsed="1">
      <c r="E44"/>
      <c r="F44"/>
      <c r="G44"/>
      <c r="H44"/>
      <c r="I44"/>
      <c r="J44"/>
      <c r="K44"/>
      <c r="L44"/>
      <c r="M44"/>
      <c r="N44"/>
      <c r="O44"/>
      <c r="P44"/>
      <c r="Q44"/>
      <c r="R44"/>
      <c r="S44"/>
      <c r="T44"/>
      <c r="U44"/>
      <c r="V44"/>
      <c r="W44"/>
      <c r="X44"/>
      <c r="Y44"/>
      <c r="Z44"/>
    </row>
    <row r="45" spans="2:36" ht="45" hidden="1" customHeight="1" outlineLevel="1">
      <c r="C45" s="2" t="s">
        <v>128</v>
      </c>
      <c r="E45"/>
      <c r="F45"/>
      <c r="G45"/>
      <c r="H45"/>
      <c r="I45"/>
      <c r="J45"/>
      <c r="K45"/>
      <c r="L45"/>
      <c r="M45"/>
      <c r="N45"/>
      <c r="O45"/>
      <c r="P45"/>
      <c r="Q45"/>
      <c r="R45"/>
      <c r="S45"/>
      <c r="T45"/>
      <c r="U45"/>
      <c r="V45"/>
      <c r="W45"/>
      <c r="X45"/>
      <c r="Y45"/>
      <c r="Z45"/>
    </row>
    <row r="46" spans="2:36" s="25" customFormat="1" ht="18" hidden="1" customHeight="1" outlineLevel="1">
      <c r="N46" s="25" t="s">
        <v>129</v>
      </c>
      <c r="O46" s="25" t="s">
        <v>130</v>
      </c>
      <c r="P46" s="25" t="s">
        <v>131</v>
      </c>
      <c r="Q46" s="25" t="s">
        <v>132</v>
      </c>
      <c r="R46" s="25">
        <f>$L$8</f>
        <v>0</v>
      </c>
      <c r="S46" s="25">
        <f>$M$8</f>
        <v>0</v>
      </c>
    </row>
    <row r="47" spans="2:36" s="3" customFormat="1" ht="72.75" hidden="1" customHeight="1" outlineLevel="1">
      <c r="B47" s="30"/>
      <c r="C47" s="9" t="s">
        <v>133</v>
      </c>
      <c r="D47" s="9" t="s">
        <v>134</v>
      </c>
      <c r="E47" s="22" t="s">
        <v>135</v>
      </c>
      <c r="F47" s="22" t="s">
        <v>136</v>
      </c>
      <c r="G47" s="22" t="s">
        <v>137</v>
      </c>
      <c r="H47" s="22" t="s">
        <v>138</v>
      </c>
      <c r="I47" s="22" t="s">
        <v>139</v>
      </c>
      <c r="J47" s="22" t="s">
        <v>140</v>
      </c>
      <c r="K47" s="23" t="s">
        <v>141</v>
      </c>
      <c r="L47" s="24" t="s">
        <v>142</v>
      </c>
      <c r="M47" s="17" t="s">
        <v>143</v>
      </c>
      <c r="N47" s="9" t="s">
        <v>144</v>
      </c>
      <c r="O47" s="9" t="s">
        <v>145</v>
      </c>
      <c r="P47" s="9" t="s">
        <v>146</v>
      </c>
      <c r="Q47" s="9" t="s">
        <v>147</v>
      </c>
      <c r="R47" s="9" t="s">
        <v>148</v>
      </c>
      <c r="S47" s="9" t="s">
        <v>149</v>
      </c>
      <c r="T47" s="9" t="s">
        <v>150</v>
      </c>
      <c r="U47" s="9" t="s">
        <v>151</v>
      </c>
      <c r="V47" s="9" t="s">
        <v>152</v>
      </c>
      <c r="W47" s="9" t="s">
        <v>153</v>
      </c>
      <c r="X47" s="9" t="s">
        <v>154</v>
      </c>
      <c r="Y47" s="9" t="s">
        <v>155</v>
      </c>
      <c r="Z47" s="9" t="s">
        <v>156</v>
      </c>
      <c r="AA47" s="9" t="s">
        <v>157</v>
      </c>
      <c r="AB47" s="9" t="s">
        <v>358</v>
      </c>
      <c r="AC47" s="9" t="s">
        <v>158</v>
      </c>
      <c r="AD47" s="18" t="s">
        <v>159</v>
      </c>
      <c r="AE47" s="12" t="s">
        <v>359</v>
      </c>
      <c r="AF47" s="12" t="s">
        <v>161</v>
      </c>
      <c r="AG47" s="9" t="s">
        <v>162</v>
      </c>
      <c r="AH47" s="9" t="s">
        <v>163</v>
      </c>
      <c r="AI47" s="9" t="s">
        <v>164</v>
      </c>
      <c r="AJ47" s="9" t="s">
        <v>165</v>
      </c>
    </row>
    <row r="48" spans="2:36" hidden="1" outlineLevel="1">
      <c r="B48" s="11" t="s">
        <v>166</v>
      </c>
      <c r="C48" s="98">
        <v>0</v>
      </c>
      <c r="D48" s="99">
        <f>IF(BaseYr+Table_Perf_S01[[#This Row],['#]]&gt;EndYr,NA(),BaseYr+Table_Perf_S01[[#This Row],['#]])</f>
        <v>2024</v>
      </c>
      <c r="E48" s="100" cm="1">
        <f t="array" ref="E48">MAX(0,IF(Table_Perf_S01[[#This Row],[Year]]=BaseYr,IFERROR(Table_UtilityInputS1[Annual Electricity 
(kWh)]*3.412,0),
(E47-3.412*SUMIFS(Table_ECM_S01[Annual Electricity Savings
(kWh)],Table_ECM_S01[When will the measure installation be complete and operational?],Table_Perf_S01[[#This Row],[Year]],Table_ECM_S01[Would you like to Include this measure in the decarbonization pathway?],TRUE))))</f>
        <v>1981136.8559999999</v>
      </c>
      <c r="F48" s="100" cm="1">
        <f t="array" ref="F48">MAX(0,IF(Table_Perf_S01[[#This Row],[Year]]=BaseYr,IFERROR(Table_UtilityInputS1[Annual Natural Gas  
(therm)]*100,0),
(F47-100*SUMIFS(Table_ECM_S01[Annual Natural Gas Savings
(therm)],Table_ECM_S01[When will the measure installation be complete and operational?],Table_Perf_S01[[#This Row],[Year]],Table_ECM_S01[Would you like to Include this measure in the decarbonization pathway?],TRUE))))</f>
        <v>4338700</v>
      </c>
      <c r="G48" s="100" cm="1">
        <f t="array" ref="G48">MAX(0,IF(Table_Perf_S01[[#This Row],[Year]]=BaseYr,IFERROR(Table_UtilityInputS1[Annual Fuel Oil'#2
(Gallon)]*138,0),
(G47-138*SUMIFS(Table_ECM_S01[Annual Fuel Oil'#2 Savings
(Gallon)],Table_ECM_S01[When will the measure installation be complete and operational?],Table_Perf_S01[[#This Row],[Year]],Table_ECM_S01[Would you like to Include this measure in the decarbonization pathway?],TRUE))))</f>
        <v>0</v>
      </c>
      <c r="H48" s="100" cm="1">
        <f t="array" ref="H48">MAX(0,IF(Table_Perf_S01[[#This Row],[Year]]=BaseYr,IFERROR(Table_UtilityInputS1[Annual District Steam  
(Mlb for ConEd, kLb for others)]*1194,0),
(H47-1194*SUMIFS(Table_ECM_S01[Annual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48" s="100" cm="1">
        <f t="array" ref="I48">MAX(0,IF(Table_Perf_S01[[#This Row],[Year]]=BaseYr,IFERROR(Table_UtilityInputS1[Annual Other Fuel 1
(kBtu)],0),
(I47-SUMIFS(Table_ECM_S01[Annual Other Fuel 1 Savings
(kBtu)],Table_ECM_S01[When will the measure installation be complete and operational?],Table_Perf_S01[[#This Row],[Year]],Table_ECM_S01[Would you like to Include this measure in the decarbonization pathway?],TRUE))))</f>
        <v>0</v>
      </c>
      <c r="J48" s="100" cm="1">
        <f t="array" ref="J48">MAX(0,IF(Table_Perf_S01[[#This Row],[Year]]=BaseYr,IFERROR(Table_UtilityInputS1[Annual Other Fuel 2
(kBtu)],0),
(J47-SUMIFS(Table_ECM_S01[Annual Other Fuel 2 Savings
(kBtu)],Table_ECM_S01[When will the measure installation be complete and operational?],Table_Perf_S01[[#This Row],[Year]],Table_ECM_S01[Would you like to Include this measure in the decarbonization pathway?],TRUE))))</f>
        <v>0</v>
      </c>
      <c r="K48" s="101">
        <f>-SUMIFS(Table_ECM_S01[Cost to Install Measures ($)],Table_ECM_S01[When will the measure installation be complete and operational?],Table_Perf_S01[[#This Row],[Year]],Table_ECM_S01[Would you like to Include this measure in the decarbonization pathway?],TRUE)</f>
        <v>0</v>
      </c>
      <c r="L48" s="102" cm="1">
        <f t="array" ref="L48">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0</v>
      </c>
      <c r="M48" s="103"/>
      <c r="N48" s="100" cm="1">
        <f t="array" ref="N48">Table_Perf_S01[[#This Row],[Electricity (kBtu)]]*INDEX(Table_UtilityDecarb[Carbon Intensity (tCO2e/kBtu)],MATCH(N$46&amp;Table_Perf_S01[[#This Row],[Year]],Table_UtilityDecarb[Fuel Type]&amp;Table_UtilityDecarb[Year],0))</f>
        <v>167.78231775599994</v>
      </c>
      <c r="O48" s="100">
        <f>Table_Perf_S01[[#This Row],[Natural Gas (kBtu)]]*INDEX(Table_UtilityDecarb[Carbon Intensity (tCO2e/kBtu)],MATCH(O$46,Table_UtilityDecarb[Fuel Type],0))</f>
        <v>230.42835700000001</v>
      </c>
      <c r="P48" s="100">
        <f>Table_Perf_S01[[#This Row],[Fuel Oil'#2 (kBtu)]]*INDEX(Table_UtilityDecarb[Carbon Intensity (tCO2e/kBtu)],MATCH(P$46,Table_UtilityDecarb[Fuel Type],0))</f>
        <v>0</v>
      </c>
      <c r="Q48" s="100" cm="1">
        <f t="array" ref="Q48">Table_Perf_S01[[#This Row],[District Steam (kBtu)]]*INDEX(Table_UtilityDecarb[Carbon Intensity (tCO2e/kBtu)],MATCH(Q$46&amp;Table_Perf_S01[[#This Row],[Year]],Table_UtilityDecarb[Fuel Type]&amp;Table_UtilityDecarb[Year],0))</f>
        <v>0</v>
      </c>
      <c r="R48" s="100" cm="1">
        <f t="array" ref="R48">IF(OR(Table_UtilityInputS1[Annual Other Fuel 1
(kBtu)]="",NOT(ISNUMBER(Table_UtilityInputS1[Annual Other Fuel 1
(kBtu)]))),0,Table_Perf_S01[[#This Row],[Other Fuel 1 (kBtu)]]*INDEX(Table_UtilityDecarb[Carbon Intensity (tCO2e/kBtu)],MATCH(R$46,Table_UtilityDecarb[Fuel Type],0)))</f>
        <v>0</v>
      </c>
      <c r="S48" s="100" cm="1">
        <f t="array" ref="S48">IF(OR(Table_UtilityInputS1[Annual Other Fuel 2
(kBtu)]="",NOT(ISNUMBER(Table_UtilityInputS1[Annual Other Fuel 2
(kBtu)]))),0,Table_Perf_S01[[#This Row],[Other Fuel 2 (kBtu)]]*INDEX(Table_UtilityDecarb[Carbon Intensity (tCO2e/kBtu)],MATCH(S$46,Table_UtilityDecarb[Fuel Type],0)))</f>
        <v>0</v>
      </c>
      <c r="T48" s="100">
        <f>IF(Table_Perf_S01[[#This Row],[Year]]&gt;2050,NA(),_xlfn.AGGREGATE(9,6,Table_Perf_S01[[#This Row],[LL97 Electricity (tCO2e)]:[LL97 Other Fuel 2 (tCO2e)]]))</f>
        <v>398.21067475599995</v>
      </c>
      <c r="U48" s="100" t="e">
        <f>IF(Table_Perf_S01[[#This Row],[Year]]&lt;2035,NA(),INDEX(Table_LimitsCalc_Sample1[Total Limits (tCO2e)],MATCH(Table_Perf_S01[[#This Row],[Year]],Table_LimitsCalc_Sample1[Year],0)))</f>
        <v>#N/A</v>
      </c>
      <c r="V48" s="100" cm="1">
        <f t="array" ref="V48">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398.21067475599995</v>
      </c>
      <c r="W48" s="100" t="e">
        <f>IF(Table_Perf_S01[[#This Row],[LL97 Emissions Limit (tCO2e)]]="",0,MAX(0,Table_Perf_S01[[#This Row],[LL97 Business-As-Usual Emissions]]-Table_Perf_S01[[#This Row],[LL97 Emissions Limit (tCO2e)]]))</f>
        <v>#N/A</v>
      </c>
      <c r="X48" s="100" t="e">
        <f>IF(Table_Perf_S01[[#This Row],[LL97 Emissions Limit (tCO2e)]]="",0,MAX(0,Table_Perf_S01[[#This Row],[LL97 Emissions After Measures]]-Table_Perf_S01[[#This Row],[LL97 Emissions Limit (tCO2e)]]))</f>
        <v>#N/A</v>
      </c>
      <c r="Y48" s="100">
        <f>Table_Perf_S01[[#This Row],[LL97 Business-As-Usual Emissions]]-Table_Perf_S01[[#This Row],[LL97 Emissions After Measures]]</f>
        <v>0</v>
      </c>
      <c r="Z48" s="102" t="e">
        <f>IF(Table_Perf_S01[[#This Row],[Year]]&lt;2024,"Not in enforcement period",IF(Table_Perf_S01[[#This Row],[LL97 Excess Emissions After Measures]]=0,"Compliant","Not-Compliant"))</f>
        <v>#N/A</v>
      </c>
      <c r="AA48" s="104">
        <f>IFERROR(-268*Table_Perf_S01[[#This Row],[LL97 Excess Emissions After Measures]],0)</f>
        <v>0</v>
      </c>
      <c r="AB48" s="102">
        <f>IFERROR(268*MIN(Table_Perf_S01[[#This Row],[LL97 BAU Excess Emissions]],Table_Perf_S01[[#This Row],[LL97 Emissions Reduced by Measures]]),0)</f>
        <v>0</v>
      </c>
      <c r="AC48" s="105">
        <f>IF(OR(Table_Perf_S01[[#This Row],[Year]]&lt;2024,Table_Perf_S01[[#This Row],[Year]]&gt;2050,ISERROR(Table_Perf_S01[[#This Row],[LL97 Adjusted Penalty After Measures]])),"",Table_Perf_S01[[#This Row],[LL97 Adjusted Penalty After Measures]])</f>
        <v>0</v>
      </c>
      <c r="AD48" s="102">
        <f>IF(Table_Perf_S01[[#This Row],[Year]]&gt;2050,NA(),_xlfn.AGGREGATE(9,6,Table_Perf_S01[[#This Row],[Measure Cost ($)]],Table_Perf_S01[[#This Row],[Utility Savings ($)]],Table_Perf_S01[[#This Row],[LL97 Penalty Avoided by Measures ($)]]))</f>
        <v>0</v>
      </c>
      <c r="AE48" s="102">
        <f>SUM($AD$48:AD48)</f>
        <v>0</v>
      </c>
      <c r="AF48" s="102">
        <f>IF(Table_Perf_S01[[#This Row],[Year]]&gt;2050,NA(),_xlfn.AGGREGATE(9,6,Table_Perf_S01[[#This Row],[Measure Cost ($)]],Table_Perf_S01[[#This Row],[LL97 Adjusted Penalty After Measures]]))</f>
        <v>0</v>
      </c>
      <c r="AG48" s="106">
        <f>Table_Perf_S01[[#This Row],[Year]]</f>
        <v>2024</v>
      </c>
      <c r="AH48" s="99">
        <f>COUNTIFS(Table_ECM_S01[When will the measure installation be complete and operational?],"&lt;="&amp;Table_Perf_S01[[#This Row],[Yr]],Table_ECM_S01[Would you like to Include this measure in the decarbonization pathway?],TRUE)</f>
        <v>0</v>
      </c>
      <c r="AI48" s="99" t="str">
        <f>IF(Table_Perf_S01[[#This Row],[Measure Qty]]=AH47,"",_xlfn.CONCAT(Table_Perf_S01[[#This Row],[Measure Qty]], " Measures Done"))</f>
        <v>0 Measures Done</v>
      </c>
      <c r="AJ48" s="107">
        <f>IF(Table_Perf_S01[[#This Row],[Measure Label]]="",NA(),Table_Perf_S01[[#This Row],[LL97 Emissions After Measures]])</f>
        <v>398.21067475599995</v>
      </c>
    </row>
    <row r="49" spans="3:36" hidden="1" outlineLevel="1">
      <c r="C49" s="98">
        <v>1</v>
      </c>
      <c r="D49" s="108">
        <f>IF(BaseYr+Table_Perf_S01[[#This Row],['#]]&gt;EndYr,NA(),BaseYr+Table_Perf_S01[[#This Row],['#]])</f>
        <v>2025</v>
      </c>
      <c r="E49" s="100" cm="1">
        <f t="array" ref="E49">MAX(0,IF(Table_Perf_S01[[#This Row],[Year]]=BaseYr,IFERROR(Table_UtilityInputS1[Annual Electricity 
(kWh)]*3.412,0),
(E48-3.412*SUMIFS(Table_ECM_S01[Annual Electricity Savings
(kWh)],Table_ECM_S01[When will the measure installation be complete and operational?],Table_Perf_S01[[#This Row],[Year]],Table_ECM_S01[Would you like to Include this measure in the decarbonization pathway?],TRUE))))</f>
        <v>1375762.7560000001</v>
      </c>
      <c r="F49" s="100" cm="1">
        <f t="array" ref="F49">MAX(0,IF(Table_Perf_S01[[#This Row],[Year]]=BaseYr,IFERROR(Table_UtilityInputS1[Annual Natural Gas  
(therm)]*100,0),
(F48-100*SUMIFS(Table_ECM_S01[Annual Natural Gas Savings
(therm)],Table_ECM_S01[When will the measure installation be complete and operational?],Table_Perf_S01[[#This Row],[Year]],Table_ECM_S01[Would you like to Include this measure in the decarbonization pathway?],TRUE))))</f>
        <v>3823400</v>
      </c>
      <c r="G49" s="100" cm="1">
        <f t="array" ref="G49">MAX(0,IF(Table_Perf_S01[[#This Row],[Year]]=BaseYr,IFERROR(Table_UtilityInputS1[Annual Fuel Oil'#2
(Gallon)]*138,0),
(G48-138*SUMIFS(Table_ECM_S01[Annual Fuel Oil'#2 Savings
(Gallon)],Table_ECM_S01[When will the measure installation be complete and operational?],Table_Perf_S01[[#This Row],[Year]],Table_ECM_S01[Would you like to Include this measure in the decarbonization pathway?],TRUE))))</f>
        <v>0</v>
      </c>
      <c r="H49" s="100" cm="1">
        <f t="array" ref="H49">MAX(0,IF(Table_Perf_S01[[#This Row],[Year]]=BaseYr,IFERROR(Table_UtilityInputS1[Annual District Steam  
(Mlb for ConEd, kLb for others)]*1194,0),
(H48-1194*SUMIFS(Table_ECM_S01[Annual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49" s="100" cm="1">
        <f t="array" ref="I49">MAX(0,IF(Table_Perf_S01[[#This Row],[Year]]=BaseYr,IFERROR(Table_UtilityInputS1[Annual Other Fuel 1
(kBtu)],0),
(I48-SUMIFS(Table_ECM_S01[Annual Other Fuel 1 Savings
(kBtu)],Table_ECM_S01[When will the measure installation be complete and operational?],Table_Perf_S01[[#This Row],[Year]],Table_ECM_S01[Would you like to Include this measure in the decarbonization pathway?],TRUE))))</f>
        <v>0</v>
      </c>
      <c r="J49" s="100" cm="1">
        <f t="array" ref="J49">MAX(0,IF(Table_Perf_S01[[#This Row],[Year]]=BaseYr,IFERROR(Table_UtilityInputS1[Annual Other Fuel 2
(kBtu)],0),
(J48-SUMIFS(Table_ECM_S01[Annual Other Fuel 2 Savings
(kBtu)],Table_ECM_S01[When will the measure installation be complete and operational?],Table_Perf_S01[[#This Row],[Year]],Table_ECM_S01[Would you like to Include this measure in the decarbonization pathway?],TRUE))))</f>
        <v>0</v>
      </c>
      <c r="K49" s="101">
        <f>-SUMIFS(Table_ECM_S01[Cost to Install Measures ($)],Table_ECM_S01[When will the measure installation be complete and operational?],Table_Perf_S01[[#This Row],[Year]],Table_ECM_S01[Would you like to Include this measure in the decarbonization pathway?],TRUE)</f>
        <v>-262325</v>
      </c>
      <c r="L49" s="102" cm="1">
        <f t="array" ref="L49">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35712</v>
      </c>
      <c r="M49" s="103"/>
      <c r="N49" s="100" cm="1">
        <f t="array" ref="N49">Table_Perf_S01[[#This Row],[Electricity (kBtu)]]*INDEX(Table_UtilityDecarb[Carbon Intensity (tCO2e/kBtu)],MATCH(N$46&amp;Table_Perf_S01[[#This Row],[Year]],Table_UtilityDecarb[Fuel Type]&amp;Table_UtilityDecarb[Year],0))</f>
        <v>116.51323490599997</v>
      </c>
      <c r="O49" s="100">
        <f>Table_Perf_S01[[#This Row],[Natural Gas (kBtu)]]*INDEX(Table_UtilityDecarb[Carbon Intensity (tCO2e/kBtu)],MATCH(O$46,Table_UtilityDecarb[Fuel Type],0))</f>
        <v>203.06077399999998</v>
      </c>
      <c r="P49" s="100">
        <f>Table_Perf_S01[[#This Row],[Fuel Oil'#2 (kBtu)]]*INDEX(Table_UtilityDecarb[Carbon Intensity (tCO2e/kBtu)],MATCH(P$46,Table_UtilityDecarb[Fuel Type],0))</f>
        <v>0</v>
      </c>
      <c r="Q49" s="100" cm="1">
        <f t="array" ref="Q49">Table_Perf_S01[[#This Row],[District Steam (kBtu)]]*INDEX(Table_UtilityDecarb[Carbon Intensity (tCO2e/kBtu)],MATCH(Q$46&amp;Table_Perf_S01[[#This Row],[Year]],Table_UtilityDecarb[Fuel Type]&amp;Table_UtilityDecarb[Year],0))</f>
        <v>0</v>
      </c>
      <c r="R49" s="100" cm="1">
        <f t="array" ref="R49">IF(OR(Table_UtilityInputS1[Annual Other Fuel 1
(kBtu)]="",NOT(ISNUMBER(Table_UtilityInputS1[Annual Other Fuel 1
(kBtu)]))),0,Table_Perf_S01[[#This Row],[Other Fuel 1 (kBtu)]]*INDEX(Table_UtilityDecarb[Carbon Intensity (tCO2e/kBtu)],MATCH(R$46,Table_UtilityDecarb[Fuel Type],0)))</f>
        <v>0</v>
      </c>
      <c r="S49" s="100" cm="1">
        <f t="array" ref="S49">IF(OR(Table_UtilityInputS1[Annual Other Fuel 2
(kBtu)]="",NOT(ISNUMBER(Table_UtilityInputS1[Annual Other Fuel 2
(kBtu)]))),0,Table_Perf_S01[[#This Row],[Other Fuel 2 (kBtu)]]*INDEX(Table_UtilityDecarb[Carbon Intensity (tCO2e/kBtu)],MATCH(S$46,Table_UtilityDecarb[Fuel Type],0)))</f>
        <v>0</v>
      </c>
      <c r="T49" s="100">
        <f>IF(Table_Perf_S01[[#This Row],[Year]]&gt;2050,NA(),_xlfn.AGGREGATE(9,6,Table_Perf_S01[[#This Row],[LL97 Electricity (tCO2e)]:[LL97 Other Fuel 2 (tCO2e)]]))</f>
        <v>319.57400890599996</v>
      </c>
      <c r="U49" s="100" t="e">
        <f>IF(Table_Perf_S01[[#This Row],[Year]]&lt;2035,NA(),INDEX(Table_LimitsCalc_Sample1[Total Limits (tCO2e)],MATCH(Table_Perf_S01[[#This Row],[Year]],Table_LimitsCalc_Sample1[Year],0)))</f>
        <v>#N/A</v>
      </c>
      <c r="V49" s="100" cm="1">
        <f t="array" ref="V49">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398.21067475599995</v>
      </c>
      <c r="W49" s="100" t="e">
        <f>IF(Table_Perf_S01[[#This Row],[LL97 Emissions Limit (tCO2e)]]="",0,MAX(0,Table_Perf_S01[[#This Row],[LL97 Business-As-Usual Emissions]]-Table_Perf_S01[[#This Row],[LL97 Emissions Limit (tCO2e)]]))</f>
        <v>#N/A</v>
      </c>
      <c r="X49" s="100" t="e">
        <f>IF(Table_Perf_S01[[#This Row],[LL97 Emissions Limit (tCO2e)]]="",0,MAX(0,Table_Perf_S01[[#This Row],[LL97 Emissions After Measures]]-Table_Perf_S01[[#This Row],[LL97 Emissions Limit (tCO2e)]]))</f>
        <v>#N/A</v>
      </c>
      <c r="Y49" s="100">
        <f>Table_Perf_S01[[#This Row],[LL97 Business-As-Usual Emissions]]-Table_Perf_S01[[#This Row],[LL97 Emissions After Measures]]</f>
        <v>78.636665849999986</v>
      </c>
      <c r="Z49" s="102" t="e">
        <f>IF(Table_Perf_S01[[#This Row],[Year]]&lt;2024,"Not in enforcement period",IF(Table_Perf_S01[[#This Row],[LL97 Excess Emissions After Measures]]=0,"Compliant","Not-Compliant"))</f>
        <v>#N/A</v>
      </c>
      <c r="AA49" s="104">
        <f>IFERROR(-268*Table_Perf_S01[[#This Row],[LL97 Excess Emissions After Measures]],0)</f>
        <v>0</v>
      </c>
      <c r="AB49" s="102">
        <f>IFERROR(268*MIN(Table_Perf_S01[[#This Row],[LL97 BAU Excess Emissions]],Table_Perf_S01[[#This Row],[LL97 Emissions Reduced by Measures]]),0)</f>
        <v>0</v>
      </c>
      <c r="AC49" s="105">
        <f>IF(OR(Table_Perf_S01[[#This Row],[Year]]&lt;2024,Table_Perf_S01[[#This Row],[Year]]&gt;2050,ISERROR(Table_Perf_S01[[#This Row],[LL97 Adjusted Penalty After Measures]])),"",Table_Perf_S01[[#This Row],[LL97 Adjusted Penalty After Measures]])</f>
        <v>0</v>
      </c>
      <c r="AD49" s="102">
        <f>IF(Table_Perf_S01[[#This Row],[Year]]&gt;2050,NA(),_xlfn.AGGREGATE(9,6,Table_Perf_S01[[#This Row],[Measure Cost ($)]],Table_Perf_S01[[#This Row],[Utility Savings ($)]],Table_Perf_S01[[#This Row],[LL97 Penalty Avoided by Measures ($)]]))</f>
        <v>-226613</v>
      </c>
      <c r="AE49" s="102">
        <f>SUM($AD$48:AD49)</f>
        <v>-226613</v>
      </c>
      <c r="AF49" s="102">
        <f>IF(Table_Perf_S01[[#This Row],[Year]]&gt;2050,NA(),_xlfn.AGGREGATE(9,6,Table_Perf_S01[[#This Row],[Measure Cost ($)]],Table_Perf_S01[[#This Row],[LL97 Adjusted Penalty After Measures]]))</f>
        <v>-262325</v>
      </c>
      <c r="AG49" s="106">
        <f>Table_Perf_S01[[#This Row],[Year]]</f>
        <v>2025</v>
      </c>
      <c r="AH49" s="99">
        <f>COUNTIFS(Table_ECM_S01[When will the measure installation be complete and operational?],"&lt;="&amp;Table_Perf_S01[[#This Row],[Yr]],Table_ECM_S01[Would you like to Include this measure in the decarbonization pathway?],TRUE)</f>
        <v>6</v>
      </c>
      <c r="AI49" s="99" t="str">
        <f>IF(Table_Perf_S01[[#This Row],[Measure Qty]]=AH48,"",_xlfn.CONCAT(Table_Perf_S01[[#This Row],[Measure Qty]], " Measures Done"))</f>
        <v>6 Measures Done</v>
      </c>
      <c r="AJ49" s="107">
        <f>IF(Table_Perf_S01[[#This Row],[Measure Label]]="",NA(),Table_Perf_S01[[#This Row],[LL97 Emissions After Measures]])</f>
        <v>319.57400890599996</v>
      </c>
    </row>
    <row r="50" spans="3:36" hidden="1" outlineLevel="1">
      <c r="C50" s="98">
        <v>2</v>
      </c>
      <c r="D50" s="108">
        <f>IF(BaseYr+Table_Perf_S01[[#This Row],['#]]&gt;EndYr,NA(),BaseYr+Table_Perf_S01[[#This Row],['#]])</f>
        <v>2026</v>
      </c>
      <c r="E50" s="100" cm="1">
        <f t="array" ref="E50">MAX(0,IF(Table_Perf_S01[[#This Row],[Year]]=BaseYr,IFERROR(Table_UtilityInputS1[Annual Electricity 
(kWh)]*3.412,0),
(E49-3.412*SUMIFS(Table_ECM_S01[Annual Electricity Savings
(kWh)],Table_ECM_S01[When will the measure installation be complete and operational?],Table_Perf_S01[[#This Row],[Year]],Table_ECM_S01[Would you like to Include this measure in the decarbonization pathway?],TRUE))))</f>
        <v>1375762.7560000001</v>
      </c>
      <c r="F50" s="100" cm="1">
        <f t="array" ref="F50">MAX(0,IF(Table_Perf_S01[[#This Row],[Year]]=BaseYr,IFERROR(Table_UtilityInputS1[Annual Natural Gas  
(therm)]*100,0),
(F49-100*SUMIFS(Table_ECM_S01[Annual Natural Gas Savings
(therm)],Table_ECM_S01[When will the measure installation be complete and operational?],Table_Perf_S01[[#This Row],[Year]],Table_ECM_S01[Would you like to Include this measure in the decarbonization pathway?],TRUE))))</f>
        <v>3823400</v>
      </c>
      <c r="G50" s="100" cm="1">
        <f t="array" ref="G50">MAX(0,IF(Table_Perf_S01[[#This Row],[Year]]=BaseYr,IFERROR(Table_UtilityInputS1[Annual Fuel Oil'#2
(Gallon)]*138,0),
(G49-138*SUMIFS(Table_ECM_S01[Annual Fuel Oil'#2 Savings
(Gallon)],Table_ECM_S01[When will the measure installation be complete and operational?],Table_Perf_S01[[#This Row],[Year]],Table_ECM_S01[Would you like to Include this measure in the decarbonization pathway?],TRUE))))</f>
        <v>0</v>
      </c>
      <c r="H50" s="100" cm="1">
        <f t="array" ref="H50">MAX(0,IF(Table_Perf_S01[[#This Row],[Year]]=BaseYr,IFERROR(Table_UtilityInputS1[Annual District Steam  
(Mlb for ConEd, kLb for others)]*1194,0),
(H49-1194*SUMIFS(Table_ECM_S01[Annual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50" s="100" cm="1">
        <f t="array" ref="I50">MAX(0,IF(Table_Perf_S01[[#This Row],[Year]]=BaseYr,IFERROR(Table_UtilityInputS1[Annual Other Fuel 1
(kBtu)],0),
(I49-SUMIFS(Table_ECM_S01[Annual Other Fuel 1 Savings
(kBtu)],Table_ECM_S01[When will the measure installation be complete and operational?],Table_Perf_S01[[#This Row],[Year]],Table_ECM_S01[Would you like to Include this measure in the decarbonization pathway?],TRUE))))</f>
        <v>0</v>
      </c>
      <c r="J50" s="100" cm="1">
        <f t="array" ref="J50">MAX(0,IF(Table_Perf_S01[[#This Row],[Year]]=BaseYr,IFERROR(Table_UtilityInputS1[Annual Other Fuel 2
(kBtu)],0),
(J49-SUMIFS(Table_ECM_S01[Annual Other Fuel 2 Savings
(kBtu)],Table_ECM_S01[When will the measure installation be complete and operational?],Table_Perf_S01[[#This Row],[Year]],Table_ECM_S01[Would you like to Include this measure in the decarbonization pathway?],TRUE))))</f>
        <v>0</v>
      </c>
      <c r="K50" s="101">
        <f>-SUMIFS(Table_ECM_S01[Cost to Install Measures ($)],Table_ECM_S01[When will the measure installation be complete and operational?],Table_Perf_S01[[#This Row],[Year]],Table_ECM_S01[Would you like to Include this measure in the decarbonization pathway?],TRUE)</f>
        <v>0</v>
      </c>
      <c r="L50" s="102" cm="1">
        <f t="array" ref="L50">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35712</v>
      </c>
      <c r="M50" s="103"/>
      <c r="N50" s="100" cm="1">
        <f t="array" ref="N50">Table_Perf_S01[[#This Row],[Electricity (kBtu)]]*INDEX(Table_UtilityDecarb[Carbon Intensity (tCO2e/kBtu)],MATCH(N$46&amp;Table_Perf_S01[[#This Row],[Year]],Table_UtilityDecarb[Fuel Type]&amp;Table_UtilityDecarb[Year],0))</f>
        <v>116.51323490599997</v>
      </c>
      <c r="O50" s="100">
        <f>Table_Perf_S01[[#This Row],[Natural Gas (kBtu)]]*INDEX(Table_UtilityDecarb[Carbon Intensity (tCO2e/kBtu)],MATCH(O$46,Table_UtilityDecarb[Fuel Type],0))</f>
        <v>203.06077399999998</v>
      </c>
      <c r="P50" s="100">
        <f>Table_Perf_S01[[#This Row],[Fuel Oil'#2 (kBtu)]]*INDEX(Table_UtilityDecarb[Carbon Intensity (tCO2e/kBtu)],MATCH(P$46,Table_UtilityDecarb[Fuel Type],0))</f>
        <v>0</v>
      </c>
      <c r="Q50" s="100" cm="1">
        <f t="array" ref="Q50">Table_Perf_S01[[#This Row],[District Steam (kBtu)]]*INDEX(Table_UtilityDecarb[Carbon Intensity (tCO2e/kBtu)],MATCH(Q$46&amp;Table_Perf_S01[[#This Row],[Year]],Table_UtilityDecarb[Fuel Type]&amp;Table_UtilityDecarb[Year],0))</f>
        <v>0</v>
      </c>
      <c r="R50" s="100" cm="1">
        <f t="array" ref="R50">IF(OR(Table_UtilityInputS1[Annual Other Fuel 1
(kBtu)]="",NOT(ISNUMBER(Table_UtilityInputS1[Annual Other Fuel 1
(kBtu)]))),0,Table_Perf_S01[[#This Row],[Other Fuel 1 (kBtu)]]*INDEX(Table_UtilityDecarb[Carbon Intensity (tCO2e/kBtu)],MATCH(R$46,Table_UtilityDecarb[Fuel Type],0)))</f>
        <v>0</v>
      </c>
      <c r="S50" s="100" cm="1">
        <f t="array" ref="S50">IF(OR(Table_UtilityInputS1[Annual Other Fuel 2
(kBtu)]="",NOT(ISNUMBER(Table_UtilityInputS1[Annual Other Fuel 2
(kBtu)]))),0,Table_Perf_S01[[#This Row],[Other Fuel 2 (kBtu)]]*INDEX(Table_UtilityDecarb[Carbon Intensity (tCO2e/kBtu)],MATCH(S$46,Table_UtilityDecarb[Fuel Type],0)))</f>
        <v>0</v>
      </c>
      <c r="T50" s="100">
        <f>IF(Table_Perf_S01[[#This Row],[Year]]&gt;2050,NA(),_xlfn.AGGREGATE(9,6,Table_Perf_S01[[#This Row],[LL97 Electricity (tCO2e)]:[LL97 Other Fuel 2 (tCO2e)]]))</f>
        <v>319.57400890599996</v>
      </c>
      <c r="U50" s="100" t="e">
        <f>IF(Table_Perf_S01[[#This Row],[Year]]&lt;2035,NA(),INDEX(Table_LimitsCalc_Sample1[Total Limits (tCO2e)],MATCH(Table_Perf_S01[[#This Row],[Year]],Table_LimitsCalc_Sample1[Year],0)))</f>
        <v>#N/A</v>
      </c>
      <c r="V50" s="100" cm="1">
        <f t="array" ref="V50">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398.21067475599995</v>
      </c>
      <c r="W50" s="100" t="e">
        <f>IF(Table_Perf_S01[[#This Row],[LL97 Emissions Limit (tCO2e)]]="",0,MAX(0,Table_Perf_S01[[#This Row],[LL97 Business-As-Usual Emissions]]-Table_Perf_S01[[#This Row],[LL97 Emissions Limit (tCO2e)]]))</f>
        <v>#N/A</v>
      </c>
      <c r="X50" s="100" t="e">
        <f>IF(Table_Perf_S01[[#This Row],[LL97 Emissions Limit (tCO2e)]]="",0,MAX(0,Table_Perf_S01[[#This Row],[LL97 Emissions After Measures]]-Table_Perf_S01[[#This Row],[LL97 Emissions Limit (tCO2e)]]))</f>
        <v>#N/A</v>
      </c>
      <c r="Y50" s="100">
        <f>Table_Perf_S01[[#This Row],[LL97 Business-As-Usual Emissions]]-Table_Perf_S01[[#This Row],[LL97 Emissions After Measures]]</f>
        <v>78.636665849999986</v>
      </c>
      <c r="Z50" s="102" t="e">
        <f>IF(Table_Perf_S01[[#This Row],[Year]]&lt;2024,"Not in enforcement period",IF(Table_Perf_S01[[#This Row],[LL97 Excess Emissions After Measures]]=0,"Compliant","Not-Compliant"))</f>
        <v>#N/A</v>
      </c>
      <c r="AA50" s="104">
        <f>IFERROR(-268*Table_Perf_S01[[#This Row],[LL97 Excess Emissions After Measures]],0)</f>
        <v>0</v>
      </c>
      <c r="AB50" s="102">
        <f>IFERROR(268*MIN(Table_Perf_S01[[#This Row],[LL97 BAU Excess Emissions]],Table_Perf_S01[[#This Row],[LL97 Emissions Reduced by Measures]]),0)</f>
        <v>0</v>
      </c>
      <c r="AC50" s="105">
        <f>IF(OR(Table_Perf_S01[[#This Row],[Year]]&lt;2024,Table_Perf_S01[[#This Row],[Year]]&gt;2050,ISERROR(Table_Perf_S01[[#This Row],[LL97 Adjusted Penalty After Measures]])),"",Table_Perf_S01[[#This Row],[LL97 Adjusted Penalty After Measures]])</f>
        <v>0</v>
      </c>
      <c r="AD50" s="102">
        <f>IF(Table_Perf_S01[[#This Row],[Year]]&gt;2050,NA(),_xlfn.AGGREGATE(9,6,Table_Perf_S01[[#This Row],[Measure Cost ($)]],Table_Perf_S01[[#This Row],[Utility Savings ($)]],Table_Perf_S01[[#This Row],[LL97 Penalty Avoided by Measures ($)]]))</f>
        <v>35712</v>
      </c>
      <c r="AE50" s="102">
        <f>SUM($AD$48:AD50)</f>
        <v>-190901</v>
      </c>
      <c r="AF50" s="102">
        <f>IF(Table_Perf_S01[[#This Row],[Year]]&gt;2050,NA(),_xlfn.AGGREGATE(9,6,Table_Perf_S01[[#This Row],[Measure Cost ($)]],Table_Perf_S01[[#This Row],[LL97 Adjusted Penalty After Measures]]))</f>
        <v>0</v>
      </c>
      <c r="AG50" s="106">
        <f>Table_Perf_S01[[#This Row],[Year]]</f>
        <v>2026</v>
      </c>
      <c r="AH50" s="99">
        <f>COUNTIFS(Table_ECM_S01[When will the measure installation be complete and operational?],"&lt;="&amp;Table_Perf_S01[[#This Row],[Yr]],Table_ECM_S01[Would you like to Include this measure in the decarbonization pathway?],TRUE)</f>
        <v>6</v>
      </c>
      <c r="AI50" s="99" t="str">
        <f>IF(Table_Perf_S01[[#This Row],[Measure Qty]]=AH49,"",_xlfn.CONCAT(Table_Perf_S01[[#This Row],[Measure Qty]], " Measures Done"))</f>
        <v/>
      </c>
      <c r="AJ50" s="107" t="e">
        <f>IF(Table_Perf_S01[[#This Row],[Measure Label]]="",NA(),Table_Perf_S01[[#This Row],[LL97 Emissions After Measures]])</f>
        <v>#N/A</v>
      </c>
    </row>
    <row r="51" spans="3:36" hidden="1" outlineLevel="1">
      <c r="C51" s="98">
        <v>3</v>
      </c>
      <c r="D51" s="108">
        <f>IF(BaseYr+Table_Perf_S01[[#This Row],['#]]&gt;EndYr,NA(),BaseYr+Table_Perf_S01[[#This Row],['#]])</f>
        <v>2027</v>
      </c>
      <c r="E51" s="100" cm="1">
        <f t="array" ref="E51">MAX(0,IF(Table_Perf_S01[[#This Row],[Year]]=BaseYr,IFERROR(Table_UtilityInputS1[Annual Electricity 
(kWh)]*3.412,0),
(E50-3.412*SUMIFS(Table_ECM_S01[Annual Electricity Savings
(kWh)],Table_ECM_S01[When will the measure installation be complete and operational?],Table_Perf_S01[[#This Row],[Year]],Table_ECM_S01[Would you like to Include this measure in the decarbonization pathway?],TRUE))))</f>
        <v>1375677.456</v>
      </c>
      <c r="F51" s="100" cm="1">
        <f t="array" ref="F51">MAX(0,IF(Table_Perf_S01[[#This Row],[Year]]=BaseYr,IFERROR(Table_UtilityInputS1[Annual Natural Gas  
(therm)]*100,0),
(F50-100*SUMIFS(Table_ECM_S01[Annual Natural Gas Savings
(therm)],Table_ECM_S01[When will the measure installation be complete and operational?],Table_Perf_S01[[#This Row],[Year]],Table_ECM_S01[Would you like to Include this measure in the decarbonization pathway?],TRUE))))</f>
        <v>3426600</v>
      </c>
      <c r="G51" s="100" cm="1">
        <f t="array" ref="G51">MAX(0,IF(Table_Perf_S01[[#This Row],[Year]]=BaseYr,IFERROR(Table_UtilityInputS1[Annual Fuel Oil'#2
(Gallon)]*138,0),
(G50-138*SUMIFS(Table_ECM_S01[Annual Fuel Oil'#2 Savings
(Gallon)],Table_ECM_S01[When will the measure installation be complete and operational?],Table_Perf_S01[[#This Row],[Year]],Table_ECM_S01[Would you like to Include this measure in the decarbonization pathway?],TRUE))))</f>
        <v>0</v>
      </c>
      <c r="H51" s="100" cm="1">
        <f t="array" ref="H51">MAX(0,IF(Table_Perf_S01[[#This Row],[Year]]=BaseYr,IFERROR(Table_UtilityInputS1[Annual District Steam  
(Mlb for ConEd, kLb for others)]*1194,0),
(H50-1194*SUMIFS(Table_ECM_S01[Annual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51" s="100" cm="1">
        <f t="array" ref="I51">MAX(0,IF(Table_Perf_S01[[#This Row],[Year]]=BaseYr,IFERROR(Table_UtilityInputS1[Annual Other Fuel 1
(kBtu)],0),
(I50-SUMIFS(Table_ECM_S01[Annual Other Fuel 1 Savings
(kBtu)],Table_ECM_S01[When will the measure installation be complete and operational?],Table_Perf_S01[[#This Row],[Year]],Table_ECM_S01[Would you like to Include this measure in the decarbonization pathway?],TRUE))))</f>
        <v>0</v>
      </c>
      <c r="J51" s="100" cm="1">
        <f t="array" ref="J51">MAX(0,IF(Table_Perf_S01[[#This Row],[Year]]=BaseYr,IFERROR(Table_UtilityInputS1[Annual Other Fuel 2
(kBtu)],0),
(J50-SUMIFS(Table_ECM_S01[Annual Other Fuel 2 Savings
(kBtu)],Table_ECM_S01[When will the measure installation be complete and operational?],Table_Perf_S01[[#This Row],[Year]],Table_ECM_S01[Would you like to Include this measure in the decarbonization pathway?],TRUE))))</f>
        <v>0</v>
      </c>
      <c r="K51" s="101">
        <f>-SUMIFS(Table_ECM_S01[Cost to Install Measures ($)],Table_ECM_S01[When will the measure installation be complete and operational?],Table_Perf_S01[[#This Row],[Year]],Table_ECM_S01[Would you like to Include this measure in the decarbonization pathway?],TRUE)</f>
        <v>-64195</v>
      </c>
      <c r="L51" s="102" cm="1">
        <f t="array" ref="L51">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39280</v>
      </c>
      <c r="M51" s="103"/>
      <c r="N51" s="100" cm="1">
        <f t="array" ref="N51">Table_Perf_S01[[#This Row],[Electricity (kBtu)]]*INDEX(Table_UtilityDecarb[Carbon Intensity (tCO2e/kBtu)],MATCH(N$46&amp;Table_Perf_S01[[#This Row],[Year]],Table_UtilityDecarb[Fuel Type]&amp;Table_UtilityDecarb[Year],0))</f>
        <v>116.50601085599996</v>
      </c>
      <c r="O51" s="100">
        <f>Table_Perf_S01[[#This Row],[Natural Gas (kBtu)]]*INDEX(Table_UtilityDecarb[Carbon Intensity (tCO2e/kBtu)],MATCH(O$46,Table_UtilityDecarb[Fuel Type],0))</f>
        <v>181.986726</v>
      </c>
      <c r="P51" s="100">
        <f>Table_Perf_S01[[#This Row],[Fuel Oil'#2 (kBtu)]]*INDEX(Table_UtilityDecarb[Carbon Intensity (tCO2e/kBtu)],MATCH(P$46,Table_UtilityDecarb[Fuel Type],0))</f>
        <v>0</v>
      </c>
      <c r="Q51" s="100" cm="1">
        <f t="array" ref="Q51">Table_Perf_S01[[#This Row],[District Steam (kBtu)]]*INDEX(Table_UtilityDecarb[Carbon Intensity (tCO2e/kBtu)],MATCH(Q$46&amp;Table_Perf_S01[[#This Row],[Year]],Table_UtilityDecarb[Fuel Type]&amp;Table_UtilityDecarb[Year],0))</f>
        <v>0</v>
      </c>
      <c r="R51" s="100" cm="1">
        <f t="array" ref="R51">IF(OR(Table_UtilityInputS1[Annual Other Fuel 1
(kBtu)]="",NOT(ISNUMBER(Table_UtilityInputS1[Annual Other Fuel 1
(kBtu)]))),0,Table_Perf_S01[[#This Row],[Other Fuel 1 (kBtu)]]*INDEX(Table_UtilityDecarb[Carbon Intensity (tCO2e/kBtu)],MATCH(R$46,Table_UtilityDecarb[Fuel Type],0)))</f>
        <v>0</v>
      </c>
      <c r="S51" s="100" cm="1">
        <f t="array" ref="S51">IF(OR(Table_UtilityInputS1[Annual Other Fuel 2
(kBtu)]="",NOT(ISNUMBER(Table_UtilityInputS1[Annual Other Fuel 2
(kBtu)]))),0,Table_Perf_S01[[#This Row],[Other Fuel 2 (kBtu)]]*INDEX(Table_UtilityDecarb[Carbon Intensity (tCO2e/kBtu)],MATCH(S$46,Table_UtilityDecarb[Fuel Type],0)))</f>
        <v>0</v>
      </c>
      <c r="T51" s="100">
        <f>IF(Table_Perf_S01[[#This Row],[Year]]&gt;2050,NA(),_xlfn.AGGREGATE(9,6,Table_Perf_S01[[#This Row],[LL97 Electricity (tCO2e)]:[LL97 Other Fuel 2 (tCO2e)]]))</f>
        <v>298.49273685599996</v>
      </c>
      <c r="U51" s="100" t="e">
        <f>IF(Table_Perf_S01[[#This Row],[Year]]&lt;2035,NA(),INDEX(Table_LimitsCalc_Sample1[Total Limits (tCO2e)],MATCH(Table_Perf_S01[[#This Row],[Year]],Table_LimitsCalc_Sample1[Year],0)))</f>
        <v>#N/A</v>
      </c>
      <c r="V51" s="100" cm="1">
        <f t="array" ref="V51">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398.21067475599995</v>
      </c>
      <c r="W51" s="100" t="e">
        <f>IF(Table_Perf_S01[[#This Row],[LL97 Emissions Limit (tCO2e)]]="",0,MAX(0,Table_Perf_S01[[#This Row],[LL97 Business-As-Usual Emissions]]-Table_Perf_S01[[#This Row],[LL97 Emissions Limit (tCO2e)]]))</f>
        <v>#N/A</v>
      </c>
      <c r="X51" s="100" t="e">
        <f>IF(Table_Perf_S01[[#This Row],[LL97 Emissions Limit (tCO2e)]]="",0,MAX(0,Table_Perf_S01[[#This Row],[LL97 Emissions After Measures]]-Table_Perf_S01[[#This Row],[LL97 Emissions Limit (tCO2e)]]))</f>
        <v>#N/A</v>
      </c>
      <c r="Y51" s="100">
        <f>Table_Perf_S01[[#This Row],[LL97 Business-As-Usual Emissions]]-Table_Perf_S01[[#This Row],[LL97 Emissions After Measures]]</f>
        <v>99.717937899999981</v>
      </c>
      <c r="Z51" s="102" t="e">
        <f>IF(Table_Perf_S01[[#This Row],[Year]]&lt;2024,"Not in enforcement period",IF(Table_Perf_S01[[#This Row],[LL97 Excess Emissions After Measures]]=0,"Compliant","Not-Compliant"))</f>
        <v>#N/A</v>
      </c>
      <c r="AA51" s="104">
        <f>IFERROR(-268*Table_Perf_S01[[#This Row],[LL97 Excess Emissions After Measures]],0)</f>
        <v>0</v>
      </c>
      <c r="AB51" s="102">
        <f>IFERROR(268*MIN(Table_Perf_S01[[#This Row],[LL97 BAU Excess Emissions]],Table_Perf_S01[[#This Row],[LL97 Emissions Reduced by Measures]]),0)</f>
        <v>0</v>
      </c>
      <c r="AC51" s="105">
        <f>IF(OR(Table_Perf_S01[[#This Row],[Year]]&lt;2024,Table_Perf_S01[[#This Row],[Year]]&gt;2050,ISERROR(Table_Perf_S01[[#This Row],[LL97 Adjusted Penalty After Measures]])),"",Table_Perf_S01[[#This Row],[LL97 Adjusted Penalty After Measures]])</f>
        <v>0</v>
      </c>
      <c r="AD51" s="102">
        <f>IF(Table_Perf_S01[[#This Row],[Year]]&gt;2050,NA(),_xlfn.AGGREGATE(9,6,Table_Perf_S01[[#This Row],[Measure Cost ($)]],Table_Perf_S01[[#This Row],[Utility Savings ($)]],Table_Perf_S01[[#This Row],[LL97 Penalty Avoided by Measures ($)]]))</f>
        <v>-24915</v>
      </c>
      <c r="AE51" s="102">
        <f>SUM($AD$48:AD51)</f>
        <v>-215816</v>
      </c>
      <c r="AF51" s="102">
        <f>IF(Table_Perf_S01[[#This Row],[Year]]&gt;2050,NA(),_xlfn.AGGREGATE(9,6,Table_Perf_S01[[#This Row],[Measure Cost ($)]],Table_Perf_S01[[#This Row],[LL97 Adjusted Penalty After Measures]]))</f>
        <v>-64195</v>
      </c>
      <c r="AG51" s="106">
        <f>Table_Perf_S01[[#This Row],[Year]]</f>
        <v>2027</v>
      </c>
      <c r="AH51" s="99">
        <f>COUNTIFS(Table_ECM_S01[When will the measure installation be complete and operational?],"&lt;="&amp;Table_Perf_S01[[#This Row],[Yr]],Table_ECM_S01[Would you like to Include this measure in the decarbonization pathway?],TRUE)</f>
        <v>9</v>
      </c>
      <c r="AI51" s="99" t="str">
        <f>IF(Table_Perf_S01[[#This Row],[Measure Qty]]=AH50,"",_xlfn.CONCAT(Table_Perf_S01[[#This Row],[Measure Qty]], " Measures Done"))</f>
        <v>9 Measures Done</v>
      </c>
      <c r="AJ51" s="107">
        <f>IF(Table_Perf_S01[[#This Row],[Measure Label]]="",NA(),Table_Perf_S01[[#This Row],[LL97 Emissions After Measures]])</f>
        <v>298.49273685599996</v>
      </c>
    </row>
    <row r="52" spans="3:36" hidden="1" outlineLevel="1">
      <c r="C52" s="98">
        <v>4</v>
      </c>
      <c r="D52" s="108">
        <f>IF(BaseYr+Table_Perf_S01[[#This Row],['#]]&gt;EndYr,NA(),BaseYr+Table_Perf_S01[[#This Row],['#]])</f>
        <v>2028</v>
      </c>
      <c r="E52" s="100" cm="1">
        <f t="array" ref="E52">MAX(0,IF(Table_Perf_S01[[#This Row],[Year]]=BaseYr,IFERROR(Table_UtilityInputS1[Annual Electricity 
(kWh)]*3.412,0),
(E51-3.412*SUMIFS(Table_ECM_S01[Annual Electricity Savings
(kWh)],Table_ECM_S01[When will the measure installation be complete and operational?],Table_Perf_S01[[#This Row],[Year]],Table_ECM_S01[Would you like to Include this measure in the decarbonization pathway?],TRUE))))</f>
        <v>1375677.456</v>
      </c>
      <c r="F52" s="100" cm="1">
        <f t="array" ref="F52">MAX(0,IF(Table_Perf_S01[[#This Row],[Year]]=BaseYr,IFERROR(Table_UtilityInputS1[Annual Natural Gas  
(therm)]*100,0),
(F51-100*SUMIFS(Table_ECM_S01[Annual Natural Gas Savings
(therm)],Table_ECM_S01[When will the measure installation be complete and operational?],Table_Perf_S01[[#This Row],[Year]],Table_ECM_S01[Would you like to Include this measure in the decarbonization pathway?],TRUE))))</f>
        <v>3426600</v>
      </c>
      <c r="G52" s="100" cm="1">
        <f t="array" ref="G52">MAX(0,IF(Table_Perf_S01[[#This Row],[Year]]=BaseYr,IFERROR(Table_UtilityInputS1[Annual Fuel Oil'#2
(Gallon)]*138,0),
(G51-138*SUMIFS(Table_ECM_S01[Annual Fuel Oil'#2 Savings
(Gallon)],Table_ECM_S01[When will the measure installation be complete and operational?],Table_Perf_S01[[#This Row],[Year]],Table_ECM_S01[Would you like to Include this measure in the decarbonization pathway?],TRUE))))</f>
        <v>0</v>
      </c>
      <c r="H52" s="100" cm="1">
        <f t="array" ref="H52">MAX(0,IF(Table_Perf_S01[[#This Row],[Year]]=BaseYr,IFERROR(Table_UtilityInputS1[Annual District Steam  
(Mlb for ConEd, kLb for others)]*1194,0),
(H51-1194*SUMIFS(Table_ECM_S01[Annual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52" s="100" cm="1">
        <f t="array" ref="I52">MAX(0,IF(Table_Perf_S01[[#This Row],[Year]]=BaseYr,IFERROR(Table_UtilityInputS1[Annual Other Fuel 1
(kBtu)],0),
(I51-SUMIFS(Table_ECM_S01[Annual Other Fuel 1 Savings
(kBtu)],Table_ECM_S01[When will the measure installation be complete and operational?],Table_Perf_S01[[#This Row],[Year]],Table_ECM_S01[Would you like to Include this measure in the decarbonization pathway?],TRUE))))</f>
        <v>0</v>
      </c>
      <c r="J52" s="100" cm="1">
        <f t="array" ref="J52">MAX(0,IF(Table_Perf_S01[[#This Row],[Year]]=BaseYr,IFERROR(Table_UtilityInputS1[Annual Other Fuel 2
(kBtu)],0),
(J51-SUMIFS(Table_ECM_S01[Annual Other Fuel 2 Savings
(kBtu)],Table_ECM_S01[When will the measure installation be complete and operational?],Table_Perf_S01[[#This Row],[Year]],Table_ECM_S01[Would you like to Include this measure in the decarbonization pathway?],TRUE))))</f>
        <v>0</v>
      </c>
      <c r="K52" s="101">
        <f>-SUMIFS(Table_ECM_S01[Cost to Install Measures ($)],Table_ECM_S01[When will the measure installation be complete and operational?],Table_Perf_S01[[#This Row],[Year]],Table_ECM_S01[Would you like to Include this measure in the decarbonization pathway?],TRUE)</f>
        <v>0</v>
      </c>
      <c r="L52" s="102" cm="1">
        <f t="array" ref="L52">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39280</v>
      </c>
      <c r="M52" s="103"/>
      <c r="N52" s="100" cm="1">
        <f t="array" ref="N52">Table_Perf_S01[[#This Row],[Electricity (kBtu)]]*INDEX(Table_UtilityDecarb[Carbon Intensity (tCO2e/kBtu)],MATCH(N$46&amp;Table_Perf_S01[[#This Row],[Year]],Table_UtilityDecarb[Fuel Type]&amp;Table_UtilityDecarb[Year],0))</f>
        <v>116.50601085599996</v>
      </c>
      <c r="O52" s="100">
        <f>Table_Perf_S01[[#This Row],[Natural Gas (kBtu)]]*INDEX(Table_UtilityDecarb[Carbon Intensity (tCO2e/kBtu)],MATCH(O$46,Table_UtilityDecarb[Fuel Type],0))</f>
        <v>181.986726</v>
      </c>
      <c r="P52" s="100">
        <f>Table_Perf_S01[[#This Row],[Fuel Oil'#2 (kBtu)]]*INDEX(Table_UtilityDecarb[Carbon Intensity (tCO2e/kBtu)],MATCH(P$46,Table_UtilityDecarb[Fuel Type],0))</f>
        <v>0</v>
      </c>
      <c r="Q52" s="100" cm="1">
        <f t="array" ref="Q52">Table_Perf_S01[[#This Row],[District Steam (kBtu)]]*INDEX(Table_UtilityDecarb[Carbon Intensity (tCO2e/kBtu)],MATCH(Q$46&amp;Table_Perf_S01[[#This Row],[Year]],Table_UtilityDecarb[Fuel Type]&amp;Table_UtilityDecarb[Year],0))</f>
        <v>0</v>
      </c>
      <c r="R52" s="100" cm="1">
        <f t="array" ref="R52">IF(OR(Table_UtilityInputS1[Annual Other Fuel 1
(kBtu)]="",NOT(ISNUMBER(Table_UtilityInputS1[Annual Other Fuel 1
(kBtu)]))),0,Table_Perf_S01[[#This Row],[Other Fuel 1 (kBtu)]]*INDEX(Table_UtilityDecarb[Carbon Intensity (tCO2e/kBtu)],MATCH(R$46,Table_UtilityDecarb[Fuel Type],0)))</f>
        <v>0</v>
      </c>
      <c r="S52" s="100" cm="1">
        <f t="array" ref="S52">IF(OR(Table_UtilityInputS1[Annual Other Fuel 2
(kBtu)]="",NOT(ISNUMBER(Table_UtilityInputS1[Annual Other Fuel 2
(kBtu)]))),0,Table_Perf_S01[[#This Row],[Other Fuel 2 (kBtu)]]*INDEX(Table_UtilityDecarb[Carbon Intensity (tCO2e/kBtu)],MATCH(S$46,Table_UtilityDecarb[Fuel Type],0)))</f>
        <v>0</v>
      </c>
      <c r="T52" s="100">
        <f>IF(Table_Perf_S01[[#This Row],[Year]]&gt;2050,NA(),_xlfn.AGGREGATE(9,6,Table_Perf_S01[[#This Row],[LL97 Electricity (tCO2e)]:[LL97 Other Fuel 2 (tCO2e)]]))</f>
        <v>298.49273685599996</v>
      </c>
      <c r="U52" s="100" t="e">
        <f>IF(Table_Perf_S01[[#This Row],[Year]]&lt;2035,NA(),INDEX(Table_LimitsCalc_Sample1[Total Limits (tCO2e)],MATCH(Table_Perf_S01[[#This Row],[Year]],Table_LimitsCalc_Sample1[Year],0)))</f>
        <v>#N/A</v>
      </c>
      <c r="V52" s="100" cm="1">
        <f t="array" ref="V52">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398.21067475599995</v>
      </c>
      <c r="W52" s="100" t="e">
        <f>IF(Table_Perf_S01[[#This Row],[LL97 Emissions Limit (tCO2e)]]="",0,MAX(0,Table_Perf_S01[[#This Row],[LL97 Business-As-Usual Emissions]]-Table_Perf_S01[[#This Row],[LL97 Emissions Limit (tCO2e)]]))</f>
        <v>#N/A</v>
      </c>
      <c r="X52" s="100" t="e">
        <f>IF(Table_Perf_S01[[#This Row],[LL97 Emissions Limit (tCO2e)]]="",0,MAX(0,Table_Perf_S01[[#This Row],[LL97 Emissions After Measures]]-Table_Perf_S01[[#This Row],[LL97 Emissions Limit (tCO2e)]]))</f>
        <v>#N/A</v>
      </c>
      <c r="Y52" s="100">
        <f>Table_Perf_S01[[#This Row],[LL97 Business-As-Usual Emissions]]-Table_Perf_S01[[#This Row],[LL97 Emissions After Measures]]</f>
        <v>99.717937899999981</v>
      </c>
      <c r="Z52" s="102" t="e">
        <f>IF(Table_Perf_S01[[#This Row],[Year]]&lt;2024,"Not in enforcement period",IF(Table_Perf_S01[[#This Row],[LL97 Excess Emissions After Measures]]=0,"Compliant","Not-Compliant"))</f>
        <v>#N/A</v>
      </c>
      <c r="AA52" s="104">
        <f>IFERROR(-268*Table_Perf_S01[[#This Row],[LL97 Excess Emissions After Measures]],0)</f>
        <v>0</v>
      </c>
      <c r="AB52" s="102">
        <f>IFERROR(268*MIN(Table_Perf_S01[[#This Row],[LL97 BAU Excess Emissions]],Table_Perf_S01[[#This Row],[LL97 Emissions Reduced by Measures]]),0)</f>
        <v>0</v>
      </c>
      <c r="AC52" s="105">
        <f>IF(OR(Table_Perf_S01[[#This Row],[Year]]&lt;2024,Table_Perf_S01[[#This Row],[Year]]&gt;2050,ISERROR(Table_Perf_S01[[#This Row],[LL97 Adjusted Penalty After Measures]])),"",Table_Perf_S01[[#This Row],[LL97 Adjusted Penalty After Measures]])</f>
        <v>0</v>
      </c>
      <c r="AD52" s="102">
        <f>IF(Table_Perf_S01[[#This Row],[Year]]&gt;2050,NA(),_xlfn.AGGREGATE(9,6,Table_Perf_S01[[#This Row],[Measure Cost ($)]],Table_Perf_S01[[#This Row],[Utility Savings ($)]],Table_Perf_S01[[#This Row],[LL97 Penalty Avoided by Measures ($)]]))</f>
        <v>39280</v>
      </c>
      <c r="AE52" s="102">
        <f>SUM($AD$48:AD52)</f>
        <v>-176536</v>
      </c>
      <c r="AF52" s="102">
        <f>IF(Table_Perf_S01[[#This Row],[Year]]&gt;2050,NA(),_xlfn.AGGREGATE(9,6,Table_Perf_S01[[#This Row],[Measure Cost ($)]],Table_Perf_S01[[#This Row],[LL97 Adjusted Penalty After Measures]]))</f>
        <v>0</v>
      </c>
      <c r="AG52" s="106">
        <f>Table_Perf_S01[[#This Row],[Year]]</f>
        <v>2028</v>
      </c>
      <c r="AH52" s="99">
        <f>COUNTIFS(Table_ECM_S01[When will the measure installation be complete and operational?],"&lt;="&amp;Table_Perf_S01[[#This Row],[Yr]],Table_ECM_S01[Would you like to Include this measure in the decarbonization pathway?],TRUE)</f>
        <v>9</v>
      </c>
      <c r="AI52" s="99" t="str">
        <f>IF(Table_Perf_S01[[#This Row],[Measure Qty]]=AH51,"",_xlfn.CONCAT(Table_Perf_S01[[#This Row],[Measure Qty]], " Measures Done"))</f>
        <v/>
      </c>
      <c r="AJ52" s="107" t="e">
        <f>IF(Table_Perf_S01[[#This Row],[Measure Label]]="",NA(),Table_Perf_S01[[#This Row],[LL97 Emissions After Measures]])</f>
        <v>#N/A</v>
      </c>
    </row>
    <row r="53" spans="3:36" hidden="1" outlineLevel="1">
      <c r="C53" s="98">
        <v>5</v>
      </c>
      <c r="D53" s="108">
        <f>IF(BaseYr+Table_Perf_S01[[#This Row],['#]]&gt;EndYr,NA(),BaseYr+Table_Perf_S01[[#This Row],['#]])</f>
        <v>2029</v>
      </c>
      <c r="E53" s="100" cm="1">
        <f t="array" ref="E53">MAX(0,IF(Table_Perf_S01[[#This Row],[Year]]=BaseYr,IFERROR(Table_UtilityInputS1[Annual Electricity 
(kWh)]*3.412,0),
(E52-3.412*SUMIFS(Table_ECM_S01[Annual Electricity Savings
(kWh)],Table_ECM_S01[When will the measure installation be complete and operational?],Table_Perf_S01[[#This Row],[Year]],Table_ECM_S01[Would you like to Include this measure in the decarbonization pathway?],TRUE))))</f>
        <v>1375677.456</v>
      </c>
      <c r="F53" s="100" cm="1">
        <f t="array" ref="F53">MAX(0,IF(Table_Perf_S01[[#This Row],[Year]]=BaseYr,IFERROR(Table_UtilityInputS1[Annual Natural Gas  
(therm)]*100,0),
(F52-100*SUMIFS(Table_ECM_S01[Annual Natural Gas Savings
(therm)],Table_ECM_S01[When will the measure installation be complete and operational?],Table_Perf_S01[[#This Row],[Year]],Table_ECM_S01[Would you like to Include this measure in the decarbonization pathway?],TRUE))))</f>
        <v>3426600</v>
      </c>
      <c r="G53" s="100" cm="1">
        <f t="array" ref="G53">MAX(0,IF(Table_Perf_S01[[#This Row],[Year]]=BaseYr,IFERROR(Table_UtilityInputS1[Annual Fuel Oil'#2
(Gallon)]*138,0),
(G52-138*SUMIFS(Table_ECM_S01[Annual Fuel Oil'#2 Savings
(Gallon)],Table_ECM_S01[When will the measure installation be complete and operational?],Table_Perf_S01[[#This Row],[Year]],Table_ECM_S01[Would you like to Include this measure in the decarbonization pathway?],TRUE))))</f>
        <v>0</v>
      </c>
      <c r="H53" s="100" cm="1">
        <f t="array" ref="H53">MAX(0,IF(Table_Perf_S01[[#This Row],[Year]]=BaseYr,IFERROR(Table_UtilityInputS1[Annual District Steam  
(Mlb for ConEd, kLb for others)]*1194,0),
(H52-1194*SUMIFS(Table_ECM_S01[Annual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53" s="100" cm="1">
        <f t="array" ref="I53">MAX(0,IF(Table_Perf_S01[[#This Row],[Year]]=BaseYr,IFERROR(Table_UtilityInputS1[Annual Other Fuel 1
(kBtu)],0),
(I52-SUMIFS(Table_ECM_S01[Annual Other Fuel 1 Savings
(kBtu)],Table_ECM_S01[When will the measure installation be complete and operational?],Table_Perf_S01[[#This Row],[Year]],Table_ECM_S01[Would you like to Include this measure in the decarbonization pathway?],TRUE))))</f>
        <v>0</v>
      </c>
      <c r="J53" s="100" cm="1">
        <f t="array" ref="J53">MAX(0,IF(Table_Perf_S01[[#This Row],[Year]]=BaseYr,IFERROR(Table_UtilityInputS1[Annual Other Fuel 2
(kBtu)],0),
(J52-SUMIFS(Table_ECM_S01[Annual Other Fuel 2 Savings
(kBtu)],Table_ECM_S01[When will the measure installation be complete and operational?],Table_Perf_S01[[#This Row],[Year]],Table_ECM_S01[Would you like to Include this measure in the decarbonization pathway?],TRUE))))</f>
        <v>0</v>
      </c>
      <c r="K53" s="101">
        <f>-SUMIFS(Table_ECM_S01[Cost to Install Measures ($)],Table_ECM_S01[When will the measure installation be complete and operational?],Table_Perf_S01[[#This Row],[Year]],Table_ECM_S01[Would you like to Include this measure in the decarbonization pathway?],TRUE)</f>
        <v>0</v>
      </c>
      <c r="L53" s="102" cm="1">
        <f t="array" ref="L53">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39280</v>
      </c>
      <c r="M53" s="103"/>
      <c r="N53" s="100" cm="1">
        <f t="array" ref="N53">Table_Perf_S01[[#This Row],[Electricity (kBtu)]]*INDEX(Table_UtilityDecarb[Carbon Intensity (tCO2e/kBtu)],MATCH(N$46&amp;Table_Perf_S01[[#This Row],[Year]],Table_UtilityDecarb[Fuel Type]&amp;Table_UtilityDecarb[Year],0))</f>
        <v>116.50601085599996</v>
      </c>
      <c r="O53" s="100">
        <f>Table_Perf_S01[[#This Row],[Natural Gas (kBtu)]]*INDEX(Table_UtilityDecarb[Carbon Intensity (tCO2e/kBtu)],MATCH(O$46,Table_UtilityDecarb[Fuel Type],0))</f>
        <v>181.986726</v>
      </c>
      <c r="P53" s="100">
        <f>Table_Perf_S01[[#This Row],[Fuel Oil'#2 (kBtu)]]*INDEX(Table_UtilityDecarb[Carbon Intensity (tCO2e/kBtu)],MATCH(P$46,Table_UtilityDecarb[Fuel Type],0))</f>
        <v>0</v>
      </c>
      <c r="Q53" s="100" cm="1">
        <f t="array" ref="Q53">Table_Perf_S01[[#This Row],[District Steam (kBtu)]]*INDEX(Table_UtilityDecarb[Carbon Intensity (tCO2e/kBtu)],MATCH(Q$46&amp;Table_Perf_S01[[#This Row],[Year]],Table_UtilityDecarb[Fuel Type]&amp;Table_UtilityDecarb[Year],0))</f>
        <v>0</v>
      </c>
      <c r="R53" s="100" cm="1">
        <f t="array" ref="R53">IF(OR(Table_UtilityInputS1[Annual Other Fuel 1
(kBtu)]="",NOT(ISNUMBER(Table_UtilityInputS1[Annual Other Fuel 1
(kBtu)]))),0,Table_Perf_S01[[#This Row],[Other Fuel 1 (kBtu)]]*INDEX(Table_UtilityDecarb[Carbon Intensity (tCO2e/kBtu)],MATCH(R$46,Table_UtilityDecarb[Fuel Type],0)))</f>
        <v>0</v>
      </c>
      <c r="S53" s="100" cm="1">
        <f t="array" ref="S53">IF(OR(Table_UtilityInputS1[Annual Other Fuel 2
(kBtu)]="",NOT(ISNUMBER(Table_UtilityInputS1[Annual Other Fuel 2
(kBtu)]))),0,Table_Perf_S01[[#This Row],[Other Fuel 2 (kBtu)]]*INDEX(Table_UtilityDecarb[Carbon Intensity (tCO2e/kBtu)],MATCH(S$46,Table_UtilityDecarb[Fuel Type],0)))</f>
        <v>0</v>
      </c>
      <c r="T53" s="100">
        <f>IF(Table_Perf_S01[[#This Row],[Year]]&gt;2050,NA(),_xlfn.AGGREGATE(9,6,Table_Perf_S01[[#This Row],[LL97 Electricity (tCO2e)]:[LL97 Other Fuel 2 (tCO2e)]]))</f>
        <v>298.49273685599996</v>
      </c>
      <c r="U53" s="100" t="e">
        <f>IF(Table_Perf_S01[[#This Row],[Year]]&lt;2035,NA(),INDEX(Table_LimitsCalc_Sample1[Total Limits (tCO2e)],MATCH(Table_Perf_S01[[#This Row],[Year]],Table_LimitsCalc_Sample1[Year],0)))</f>
        <v>#N/A</v>
      </c>
      <c r="V53" s="100" cm="1">
        <f t="array" ref="V53">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398.21067475599995</v>
      </c>
      <c r="W53" s="100" t="e">
        <f>IF(Table_Perf_S01[[#This Row],[LL97 Emissions Limit (tCO2e)]]="",0,MAX(0,Table_Perf_S01[[#This Row],[LL97 Business-As-Usual Emissions]]-Table_Perf_S01[[#This Row],[LL97 Emissions Limit (tCO2e)]]))</f>
        <v>#N/A</v>
      </c>
      <c r="X53" s="100" t="e">
        <f>IF(Table_Perf_S01[[#This Row],[LL97 Emissions Limit (tCO2e)]]="",0,MAX(0,Table_Perf_S01[[#This Row],[LL97 Emissions After Measures]]-Table_Perf_S01[[#This Row],[LL97 Emissions Limit (tCO2e)]]))</f>
        <v>#N/A</v>
      </c>
      <c r="Y53" s="100">
        <f>Table_Perf_S01[[#This Row],[LL97 Business-As-Usual Emissions]]-Table_Perf_S01[[#This Row],[LL97 Emissions After Measures]]</f>
        <v>99.717937899999981</v>
      </c>
      <c r="Z53" s="102" t="e">
        <f>IF(Table_Perf_S01[[#This Row],[Year]]&lt;2024,"Not in enforcement period",IF(Table_Perf_S01[[#This Row],[LL97 Excess Emissions After Measures]]=0,"Compliant","Not-Compliant"))</f>
        <v>#N/A</v>
      </c>
      <c r="AA53" s="104">
        <f>IFERROR(-268*Table_Perf_S01[[#This Row],[LL97 Excess Emissions After Measures]],0)</f>
        <v>0</v>
      </c>
      <c r="AB53" s="102">
        <f>IFERROR(268*MIN(Table_Perf_S01[[#This Row],[LL97 BAU Excess Emissions]],Table_Perf_S01[[#This Row],[LL97 Emissions Reduced by Measures]]),0)</f>
        <v>0</v>
      </c>
      <c r="AC53" s="105">
        <f>IF(OR(Table_Perf_S01[[#This Row],[Year]]&lt;2024,Table_Perf_S01[[#This Row],[Year]]&gt;2050,ISERROR(Table_Perf_S01[[#This Row],[LL97 Adjusted Penalty After Measures]])),"",Table_Perf_S01[[#This Row],[LL97 Adjusted Penalty After Measures]])</f>
        <v>0</v>
      </c>
      <c r="AD53" s="102">
        <f>IF(Table_Perf_S01[[#This Row],[Year]]&gt;2050,NA(),_xlfn.AGGREGATE(9,6,Table_Perf_S01[[#This Row],[Measure Cost ($)]],Table_Perf_S01[[#This Row],[Utility Savings ($)]],Table_Perf_S01[[#This Row],[LL97 Penalty Avoided by Measures ($)]]))</f>
        <v>39280</v>
      </c>
      <c r="AE53" s="102">
        <f>SUM($AD$48:AD53)</f>
        <v>-137256</v>
      </c>
      <c r="AF53" s="102">
        <f>IF(Table_Perf_S01[[#This Row],[Year]]&gt;2050,NA(),_xlfn.AGGREGATE(9,6,Table_Perf_S01[[#This Row],[Measure Cost ($)]],Table_Perf_S01[[#This Row],[LL97 Adjusted Penalty After Measures]]))</f>
        <v>0</v>
      </c>
      <c r="AG53" s="106">
        <f>Table_Perf_S01[[#This Row],[Year]]</f>
        <v>2029</v>
      </c>
      <c r="AH53" s="99">
        <f>COUNTIFS(Table_ECM_S01[When will the measure installation be complete and operational?],"&lt;="&amp;Table_Perf_S01[[#This Row],[Yr]],Table_ECM_S01[Would you like to Include this measure in the decarbonization pathway?],TRUE)</f>
        <v>9</v>
      </c>
      <c r="AI53" s="99" t="str">
        <f>IF(Table_Perf_S01[[#This Row],[Measure Qty]]=AH52,"",_xlfn.CONCAT(Table_Perf_S01[[#This Row],[Measure Qty]], " Measures Done"))</f>
        <v/>
      </c>
      <c r="AJ53" s="107" t="e">
        <f>IF(Table_Perf_S01[[#This Row],[Measure Label]]="",NA(),Table_Perf_S01[[#This Row],[LL97 Emissions After Measures]])</f>
        <v>#N/A</v>
      </c>
    </row>
    <row r="54" spans="3:36" hidden="1" outlineLevel="1">
      <c r="C54" s="98">
        <v>6</v>
      </c>
      <c r="D54" s="108">
        <f>IF(BaseYr+Table_Perf_S01[[#This Row],['#]]&gt;EndYr,NA(),BaseYr+Table_Perf_S01[[#This Row],['#]])</f>
        <v>2030</v>
      </c>
      <c r="E54" s="109" cm="1">
        <f t="array" ref="E54">MAX(0,IF(Table_Perf_S01[[#This Row],[Year]]=BaseYr,IFERROR(Table_UtilityInputS1[Annual Electricity 
(kWh)]*3.412,0),
(E53-3.412*SUMIFS(Table_ECM_S01[Annual Electricity Savings
(kWh)],Table_ECM_S01[When will the measure installation be complete and operational?],Table_Perf_S01[[#This Row],[Year]],Table_ECM_S01[Would you like to Include this measure in the decarbonization pathway?],TRUE))))</f>
        <v>1354615.18</v>
      </c>
      <c r="F54" s="109" cm="1">
        <f t="array" ref="F54">MAX(0,IF(Table_Perf_S01[[#This Row],[Year]]=BaseYr,IFERROR(Table_UtilityInputS1[Annual Natural Gas  
(therm)]*100,0),
(F53-100*SUMIFS(Table_ECM_S01[Annual Natural Gas Savings
(therm)],Table_ECM_S01[When will the measure installation be complete and operational?],Table_Perf_S01[[#This Row],[Year]],Table_ECM_S01[Would you like to Include this measure in the decarbonization pathway?],TRUE))))</f>
        <v>3141900</v>
      </c>
      <c r="G54" s="109" cm="1">
        <f t="array" ref="G54">MAX(0,IF(Table_Perf_S01[[#This Row],[Year]]=BaseYr,IFERROR(Table_UtilityInputS1[Annual Fuel Oil'#2
(Gallon)]*138,0),
(G53-138*SUMIFS(Table_ECM_S01[Annual Fuel Oil'#2 Savings
(Gallon)],Table_ECM_S01[When will the measure installation be complete and operational?],Table_Perf_S01[[#This Row],[Year]],Table_ECM_S01[Would you like to Include this measure in the decarbonization pathway?],TRUE))))</f>
        <v>0</v>
      </c>
      <c r="H54" s="109" cm="1">
        <f t="array" ref="H54">MAX(0,IF(Table_Perf_S01[[#This Row],[Year]]=BaseYr,IFERROR(Table_UtilityInputS1[Annual District Steam  
(Mlb for ConEd, kLb for others)]*1194,0),
(H53-1194*SUMIFS(Table_ECM_S01[Annual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54" s="109" cm="1">
        <f t="array" ref="I54">MAX(0,IF(Table_Perf_S01[[#This Row],[Year]]=BaseYr,IFERROR(Table_UtilityInputS1[Annual Other Fuel 1
(kBtu)],0),
(I53-SUMIFS(Table_ECM_S01[Annual Other Fuel 1 Savings
(kBtu)],Table_ECM_S01[When will the measure installation be complete and operational?],Table_Perf_S01[[#This Row],[Year]],Table_ECM_S01[Would you like to Include this measure in the decarbonization pathway?],TRUE))))</f>
        <v>0</v>
      </c>
      <c r="J54" s="110" cm="1">
        <f t="array" ref="J54">MAX(0,IF(Table_Perf_S01[[#This Row],[Year]]=BaseYr,IFERROR(Table_UtilityInputS1[Annual Other Fuel 2
(kBtu)],0),
(J53-SUMIFS(Table_ECM_S01[Annual Other Fuel 2 Savings
(kBtu)],Table_ECM_S01[When will the measure installation be complete and operational?],Table_Perf_S01[[#This Row],[Year]],Table_ECM_S01[Would you like to Include this measure in the decarbonization pathway?],TRUE))))</f>
        <v>0</v>
      </c>
      <c r="K54" s="101">
        <f>-SUMIFS(Table_ECM_S01[Cost to Install Measures ($)],Table_ECM_S01[When will the measure installation be complete and operational?],Table_Perf_S01[[#This Row],[Year]],Table_ECM_S01[Would you like to Include this measure in the decarbonization pathway?],TRUE)</f>
        <v>-178866</v>
      </c>
      <c r="L54" s="102" cm="1">
        <f t="array" ref="L54">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43594</v>
      </c>
      <c r="M54" s="103"/>
      <c r="N54" s="109" cm="1">
        <f t="array" ref="N54">Table_Perf_S01[[#This Row],[Electricity (kBtu)]]*INDEX(Table_UtilityDecarb[Carbon Intensity (tCO2e/kBtu)],MATCH(N$46&amp;Table_Perf_S01[[#This Row],[Year]],Table_UtilityDecarb[Fuel Type]&amp;Table_UtilityDecarb[Year],0))</f>
        <v>57.567174999999999</v>
      </c>
      <c r="O54" s="100">
        <f>Table_Perf_S01[[#This Row],[Natural Gas (kBtu)]]*INDEX(Table_UtilityDecarb[Carbon Intensity (tCO2e/kBtu)],MATCH(O$46,Table_UtilityDecarb[Fuel Type],0))</f>
        <v>166.866309</v>
      </c>
      <c r="P54" s="109">
        <f>Table_Perf_S01[[#This Row],[Fuel Oil'#2 (kBtu)]]*INDEX(Table_UtilityDecarb[Carbon Intensity (tCO2e/kBtu)],MATCH(P$46,Table_UtilityDecarb[Fuel Type],0))</f>
        <v>0</v>
      </c>
      <c r="Q54" s="109" cm="1">
        <f t="array" ref="Q54">Table_Perf_S01[[#This Row],[District Steam (kBtu)]]*INDEX(Table_UtilityDecarb[Carbon Intensity (tCO2e/kBtu)],MATCH(Q$46&amp;Table_Perf_S01[[#This Row],[Year]],Table_UtilityDecarb[Fuel Type]&amp;Table_UtilityDecarb[Year],0))</f>
        <v>0</v>
      </c>
      <c r="R54" s="109" cm="1">
        <f t="array" ref="R54">IF(OR(Table_UtilityInputS1[Annual Other Fuel 1
(kBtu)]="",NOT(ISNUMBER(Table_UtilityInputS1[Annual Other Fuel 1
(kBtu)]))),0,Table_Perf_S01[[#This Row],[Other Fuel 1 (kBtu)]]*INDEX(Table_UtilityDecarb[Carbon Intensity (tCO2e/kBtu)],MATCH(R$46,Table_UtilityDecarb[Fuel Type],0)))</f>
        <v>0</v>
      </c>
      <c r="S54" s="109" cm="1">
        <f t="array" ref="S54">IF(OR(Table_UtilityInputS1[Annual Other Fuel 2
(kBtu)]="",NOT(ISNUMBER(Table_UtilityInputS1[Annual Other Fuel 2
(kBtu)]))),0,Table_Perf_S01[[#This Row],[Other Fuel 2 (kBtu)]]*INDEX(Table_UtilityDecarb[Carbon Intensity (tCO2e/kBtu)],MATCH(S$46,Table_UtilityDecarb[Fuel Type],0)))</f>
        <v>0</v>
      </c>
      <c r="T54" s="100">
        <f>IF(Table_Perf_S01[[#This Row],[Year]]&gt;2050,NA(),_xlfn.AGGREGATE(9,6,Table_Perf_S01[[#This Row],[LL97 Electricity (tCO2e)]:[LL97 Other Fuel 2 (tCO2e)]]))</f>
        <v>224.43348399999999</v>
      </c>
      <c r="U54" s="100" t="e">
        <f>IF(Table_Perf_S01[[#This Row],[Year]]&lt;2035,NA(),INDEX(Table_LimitsCalc_Sample1[Total Limits (tCO2e)],MATCH(Table_Perf_S01[[#This Row],[Year]],Table_LimitsCalc_Sample1[Year],0)))</f>
        <v>#N/A</v>
      </c>
      <c r="V54" s="100" cm="1">
        <f t="array" ref="V54">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314.62086699999998</v>
      </c>
      <c r="W54" s="100" t="e">
        <f>IF(Table_Perf_S01[[#This Row],[LL97 Emissions Limit (tCO2e)]]="",0,MAX(0,Table_Perf_S01[[#This Row],[LL97 Business-As-Usual Emissions]]-Table_Perf_S01[[#This Row],[LL97 Emissions Limit (tCO2e)]]))</f>
        <v>#N/A</v>
      </c>
      <c r="X54" s="100" t="e">
        <f>IF(Table_Perf_S01[[#This Row],[LL97 Emissions Limit (tCO2e)]]="",0,MAX(0,Table_Perf_S01[[#This Row],[LL97 Emissions After Measures]]-Table_Perf_S01[[#This Row],[LL97 Emissions Limit (tCO2e)]]))</f>
        <v>#N/A</v>
      </c>
      <c r="Y54" s="100">
        <f>Table_Perf_S01[[#This Row],[LL97 Business-As-Usual Emissions]]-Table_Perf_S01[[#This Row],[LL97 Emissions After Measures]]</f>
        <v>90.187382999999983</v>
      </c>
      <c r="Z54" s="102" t="e">
        <f>IF(Table_Perf_S01[[#This Row],[Year]]&lt;2024,"Not in enforcement period",IF(Table_Perf_S01[[#This Row],[LL97 Excess Emissions After Measures]]=0,"Compliant","Not-Compliant"))</f>
        <v>#N/A</v>
      </c>
      <c r="AA54" s="104">
        <f>IFERROR(-268*Table_Perf_S01[[#This Row],[LL97 Excess Emissions After Measures]],0)</f>
        <v>0</v>
      </c>
      <c r="AB54" s="102">
        <f>IFERROR(268*MIN(Table_Perf_S01[[#This Row],[LL97 BAU Excess Emissions]],Table_Perf_S01[[#This Row],[LL97 Emissions Reduced by Measures]]),0)</f>
        <v>0</v>
      </c>
      <c r="AC54" s="105">
        <f>IF(OR(Table_Perf_S01[[#This Row],[Year]]&lt;2024,Table_Perf_S01[[#This Row],[Year]]&gt;2050,ISERROR(Table_Perf_S01[[#This Row],[LL97 Adjusted Penalty After Measures]])),"",Table_Perf_S01[[#This Row],[LL97 Adjusted Penalty After Measures]])</f>
        <v>0</v>
      </c>
      <c r="AD54" s="102">
        <f>IF(Table_Perf_S01[[#This Row],[Year]]&gt;2050,NA(),_xlfn.AGGREGATE(9,6,Table_Perf_S01[[#This Row],[Measure Cost ($)]],Table_Perf_S01[[#This Row],[Utility Savings ($)]],Table_Perf_S01[[#This Row],[LL97 Penalty Avoided by Measures ($)]]))</f>
        <v>-135272</v>
      </c>
      <c r="AE54" s="102">
        <f>SUM($AD$48:AD54)</f>
        <v>-272528</v>
      </c>
      <c r="AF54" s="102">
        <f>IF(Table_Perf_S01[[#This Row],[Year]]&gt;2050,NA(),_xlfn.AGGREGATE(9,6,Table_Perf_S01[[#This Row],[Measure Cost ($)]],Table_Perf_S01[[#This Row],[LL97 Adjusted Penalty After Measures]]))</f>
        <v>-178866</v>
      </c>
      <c r="AG54" s="106">
        <f>Table_Perf_S01[[#This Row],[Year]]</f>
        <v>2030</v>
      </c>
      <c r="AH54" s="99">
        <f>COUNTIFS(Table_ECM_S01[When will the measure installation be complete and operational?],"&lt;="&amp;Table_Perf_S01[[#This Row],[Yr]],Table_ECM_S01[Would you like to Include this measure in the decarbonization pathway?],TRUE)</f>
        <v>13</v>
      </c>
      <c r="AI54" s="99" t="str">
        <f>IF(Table_Perf_S01[[#This Row],[Measure Qty]]=AH53,"",_xlfn.CONCAT(Table_Perf_S01[[#This Row],[Measure Qty]], " Measures Done"))</f>
        <v>13 Measures Done</v>
      </c>
      <c r="AJ54" s="107">
        <f>IF(Table_Perf_S01[[#This Row],[Measure Label]]="",NA(),Table_Perf_S01[[#This Row],[LL97 Emissions After Measures]])</f>
        <v>224.43348399999999</v>
      </c>
    </row>
    <row r="55" spans="3:36" hidden="1" outlineLevel="1">
      <c r="C55" s="98">
        <v>7</v>
      </c>
      <c r="D55" s="108">
        <f>IF(BaseYr+Table_Perf_S01[[#This Row],['#]]&gt;EndYr,NA(),BaseYr+Table_Perf_S01[[#This Row],['#]])</f>
        <v>2031</v>
      </c>
      <c r="E55" s="109" cm="1">
        <f t="array" ref="E55">MAX(0,IF(Table_Perf_S01[[#This Row],[Year]]=BaseYr,IFERROR(Table_UtilityInputS1[Annual Electricity 
(kWh)]*3.412,0),
(E54-3.412*SUMIFS(Table_ECM_S01[Annual Electricity Savings
(kWh)],Table_ECM_S01[When will the measure installation be complete and operational?],Table_Perf_S01[[#This Row],[Year]],Table_ECM_S01[Would you like to Include this measure in the decarbonization pathway?],TRUE))))</f>
        <v>1354615.18</v>
      </c>
      <c r="F55" s="109" cm="1">
        <f t="array" ref="F55">MAX(0,IF(Table_Perf_S01[[#This Row],[Year]]=BaseYr,IFERROR(Table_UtilityInputS1[Annual Natural Gas  
(therm)]*100,0),
(F54-100*SUMIFS(Table_ECM_S01[Annual Natural Gas Savings
(therm)],Table_ECM_S01[When will the measure installation be complete and operational?],Table_Perf_S01[[#This Row],[Year]],Table_ECM_S01[Would you like to Include this measure in the decarbonization pathway?],TRUE))))</f>
        <v>3141900</v>
      </c>
      <c r="G55" s="109" cm="1">
        <f t="array" ref="G55">MAX(0,IF(Table_Perf_S01[[#This Row],[Year]]=BaseYr,IFERROR(Table_UtilityInputS1[Annual Fuel Oil'#2
(Gallon)]*138,0),
(G54-138*SUMIFS(Table_ECM_S01[Annual Fuel Oil'#2 Savings
(Gallon)],Table_ECM_S01[When will the measure installation be complete and operational?],Table_Perf_S01[[#This Row],[Year]],Table_ECM_S01[Would you like to Include this measure in the decarbonization pathway?],TRUE))))</f>
        <v>0</v>
      </c>
      <c r="H55" s="109" cm="1">
        <f t="array" ref="H55">MAX(0,IF(Table_Perf_S01[[#This Row],[Year]]=BaseYr,IFERROR(Table_UtilityInputS1[Annual District Steam  
(Mlb for ConEd, kLb for others)]*1194,0),
(H54-1194*SUMIFS(Table_ECM_S01[Annual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55" s="109" cm="1">
        <f t="array" ref="I55">MAX(0,IF(Table_Perf_S01[[#This Row],[Year]]=BaseYr,IFERROR(Table_UtilityInputS1[Annual Other Fuel 1
(kBtu)],0),
(I54-SUMIFS(Table_ECM_S01[Annual Other Fuel 1 Savings
(kBtu)],Table_ECM_S01[When will the measure installation be complete and operational?],Table_Perf_S01[[#This Row],[Year]],Table_ECM_S01[Would you like to Include this measure in the decarbonization pathway?],TRUE))))</f>
        <v>0</v>
      </c>
      <c r="J55" s="110" cm="1">
        <f t="array" ref="J55">MAX(0,IF(Table_Perf_S01[[#This Row],[Year]]=BaseYr,IFERROR(Table_UtilityInputS1[Annual Other Fuel 2
(kBtu)],0),
(J54-SUMIFS(Table_ECM_S01[Annual Other Fuel 2 Savings
(kBtu)],Table_ECM_S01[When will the measure installation be complete and operational?],Table_Perf_S01[[#This Row],[Year]],Table_ECM_S01[Would you like to Include this measure in the decarbonization pathway?],TRUE))))</f>
        <v>0</v>
      </c>
      <c r="K55" s="101">
        <f>-SUMIFS(Table_ECM_S01[Cost to Install Measures ($)],Table_ECM_S01[When will the measure installation be complete and operational?],Table_Perf_S01[[#This Row],[Year]],Table_ECM_S01[Would you like to Include this measure in the decarbonization pathway?],TRUE)</f>
        <v>0</v>
      </c>
      <c r="L55" s="102" cm="1">
        <f t="array" ref="L55">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43594</v>
      </c>
      <c r="M55" s="103"/>
      <c r="N55" s="100" cm="1">
        <f t="array" ref="N55">Table_Perf_S01[[#This Row],[Electricity (kBtu)]]*INDEX(Table_UtilityDecarb[Carbon Intensity (tCO2e/kBtu)],MATCH(N$46&amp;Table_Perf_S01[[#This Row],[Year]],Table_UtilityDecarb[Fuel Type]&amp;Table_UtilityDecarb[Year],0))</f>
        <v>57.567174999999999</v>
      </c>
      <c r="O55" s="100">
        <f>Table_Perf_S01[[#This Row],[Natural Gas (kBtu)]]*INDEX(Table_UtilityDecarb[Carbon Intensity (tCO2e/kBtu)],MATCH(O$46,Table_UtilityDecarb[Fuel Type],0))</f>
        <v>166.866309</v>
      </c>
      <c r="P55" s="100">
        <f>Table_Perf_S01[[#This Row],[Fuel Oil'#2 (kBtu)]]*INDEX(Table_UtilityDecarb[Carbon Intensity (tCO2e/kBtu)],MATCH(P$46,Table_UtilityDecarb[Fuel Type],0))</f>
        <v>0</v>
      </c>
      <c r="Q55" s="100" cm="1">
        <f t="array" ref="Q55">Table_Perf_S01[[#This Row],[District Steam (kBtu)]]*INDEX(Table_UtilityDecarb[Carbon Intensity (tCO2e/kBtu)],MATCH(Q$46&amp;Table_Perf_S01[[#This Row],[Year]],Table_UtilityDecarb[Fuel Type]&amp;Table_UtilityDecarb[Year],0))</f>
        <v>0</v>
      </c>
      <c r="R55" s="100" cm="1">
        <f t="array" ref="R55">IF(OR(Table_UtilityInputS1[Annual Other Fuel 1
(kBtu)]="",NOT(ISNUMBER(Table_UtilityInputS1[Annual Other Fuel 1
(kBtu)]))),0,Table_Perf_S01[[#This Row],[Other Fuel 1 (kBtu)]]*INDEX(Table_UtilityDecarb[Carbon Intensity (tCO2e/kBtu)],MATCH(R$46,Table_UtilityDecarb[Fuel Type],0)))</f>
        <v>0</v>
      </c>
      <c r="S55" s="100" cm="1">
        <f t="array" ref="S55">IF(OR(Table_UtilityInputS1[Annual Other Fuel 2
(kBtu)]="",NOT(ISNUMBER(Table_UtilityInputS1[Annual Other Fuel 2
(kBtu)]))),0,Table_Perf_S01[[#This Row],[Other Fuel 2 (kBtu)]]*INDEX(Table_UtilityDecarb[Carbon Intensity (tCO2e/kBtu)],MATCH(S$46,Table_UtilityDecarb[Fuel Type],0)))</f>
        <v>0</v>
      </c>
      <c r="T55" s="100">
        <f>IF(Table_Perf_S01[[#This Row],[Year]]&gt;2050,NA(),_xlfn.AGGREGATE(9,6,Table_Perf_S01[[#This Row],[LL97 Electricity (tCO2e)]:[LL97 Other Fuel 2 (tCO2e)]]))</f>
        <v>224.43348399999999</v>
      </c>
      <c r="U55" s="100" t="e">
        <f>IF(Table_Perf_S01[[#This Row],[Year]]&lt;2035,NA(),INDEX(Table_LimitsCalc_Sample1[Total Limits (tCO2e)],MATCH(Table_Perf_S01[[#This Row],[Year]],Table_LimitsCalc_Sample1[Year],0)))</f>
        <v>#N/A</v>
      </c>
      <c r="V55" s="100" cm="1">
        <f t="array" ref="V55">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314.62086699999998</v>
      </c>
      <c r="W55" s="100" t="e">
        <f>IF(Table_Perf_S01[[#This Row],[LL97 Emissions Limit (tCO2e)]]="",0,MAX(0,Table_Perf_S01[[#This Row],[LL97 Business-As-Usual Emissions]]-Table_Perf_S01[[#This Row],[LL97 Emissions Limit (tCO2e)]]))</f>
        <v>#N/A</v>
      </c>
      <c r="X55" s="100" t="e">
        <f>IF(Table_Perf_S01[[#This Row],[LL97 Emissions Limit (tCO2e)]]="",0,MAX(0,Table_Perf_S01[[#This Row],[LL97 Emissions After Measures]]-Table_Perf_S01[[#This Row],[LL97 Emissions Limit (tCO2e)]]))</f>
        <v>#N/A</v>
      </c>
      <c r="Y55" s="100">
        <f>Table_Perf_S01[[#This Row],[LL97 Business-As-Usual Emissions]]-Table_Perf_S01[[#This Row],[LL97 Emissions After Measures]]</f>
        <v>90.187382999999983</v>
      </c>
      <c r="Z55" s="102" t="e">
        <f>IF(Table_Perf_S01[[#This Row],[Year]]&lt;2024,"Not in enforcement period",IF(Table_Perf_S01[[#This Row],[LL97 Excess Emissions After Measures]]=0,"Compliant","Not-Compliant"))</f>
        <v>#N/A</v>
      </c>
      <c r="AA55" s="104">
        <f>IFERROR(-268*Table_Perf_S01[[#This Row],[LL97 Excess Emissions After Measures]],0)</f>
        <v>0</v>
      </c>
      <c r="AB55" s="102">
        <f>IFERROR(268*MIN(Table_Perf_S01[[#This Row],[LL97 BAU Excess Emissions]],Table_Perf_S01[[#This Row],[LL97 Emissions Reduced by Measures]]),0)</f>
        <v>0</v>
      </c>
      <c r="AC55" s="105">
        <f>IF(OR(Table_Perf_S01[[#This Row],[Year]]&lt;2024,Table_Perf_S01[[#This Row],[Year]]&gt;2050,ISERROR(Table_Perf_S01[[#This Row],[LL97 Adjusted Penalty After Measures]])),"",Table_Perf_S01[[#This Row],[LL97 Adjusted Penalty After Measures]])</f>
        <v>0</v>
      </c>
      <c r="AD55" s="102">
        <f>IF(Table_Perf_S01[[#This Row],[Year]]&gt;2050,NA(),_xlfn.AGGREGATE(9,6,Table_Perf_S01[[#This Row],[Measure Cost ($)]],Table_Perf_S01[[#This Row],[Utility Savings ($)]],Table_Perf_S01[[#This Row],[LL97 Penalty Avoided by Measures ($)]]))</f>
        <v>43594</v>
      </c>
      <c r="AE55" s="102">
        <f>SUM($AD$48:AD55)</f>
        <v>-228934</v>
      </c>
      <c r="AF55" s="102">
        <f>IF(Table_Perf_S01[[#This Row],[Year]]&gt;2050,NA(),_xlfn.AGGREGATE(9,6,Table_Perf_S01[[#This Row],[Measure Cost ($)]],Table_Perf_S01[[#This Row],[LL97 Adjusted Penalty After Measures]]))</f>
        <v>0</v>
      </c>
      <c r="AG55" s="111">
        <f>Table_Perf_S01[[#This Row],[Year]]</f>
        <v>2031</v>
      </c>
      <c r="AH55" s="99">
        <f>COUNTIFS(Table_ECM_S01[When will the measure installation be complete and operational?],"&lt;="&amp;Table_Perf_S01[[#This Row],[Yr]],Table_ECM_S01[Would you like to Include this measure in the decarbonization pathway?],TRUE)</f>
        <v>13</v>
      </c>
      <c r="AI55" s="99" t="str">
        <f>IF(Table_Perf_S01[[#This Row],[Measure Qty]]=AH54,"",_xlfn.CONCAT(Table_Perf_S01[[#This Row],[Measure Qty]], " Measures Done"))</f>
        <v/>
      </c>
      <c r="AJ55" s="107" t="e">
        <f>IF(Table_Perf_S01[[#This Row],[Measure Label]]="",NA(),Table_Perf_S01[[#This Row],[LL97 Emissions After Measures]])</f>
        <v>#N/A</v>
      </c>
    </row>
    <row r="56" spans="3:36" hidden="1" outlineLevel="1">
      <c r="C56" s="98">
        <v>8</v>
      </c>
      <c r="D56" s="108">
        <f>IF(BaseYr+Table_Perf_S01[[#This Row],['#]]&gt;EndYr,NA(),BaseYr+Table_Perf_S01[[#This Row],['#]])</f>
        <v>2032</v>
      </c>
      <c r="E56" s="109" cm="1">
        <f t="array" ref="E56">MAX(0,IF(Table_Perf_S01[[#This Row],[Year]]=BaseYr,IFERROR(Table_UtilityInputS1[Annual Electricity 
(kWh)]*3.412,0),
(E55-3.412*SUMIFS(Table_ECM_S01[Annual Electricity Savings
(kWh)],Table_ECM_S01[When will the measure installation be complete and operational?],Table_Perf_S01[[#This Row],[Year]],Table_ECM_S01[Would you like to Include this measure in the decarbonization pathway?],TRUE))))</f>
        <v>1354615.18</v>
      </c>
      <c r="F56" s="109" cm="1">
        <f t="array" ref="F56">MAX(0,IF(Table_Perf_S01[[#This Row],[Year]]=BaseYr,IFERROR(Table_UtilityInputS1[Annual Natural Gas  
(therm)]*100,0),
(F55-100*SUMIFS(Table_ECM_S01[Annual Natural Gas Savings
(therm)],Table_ECM_S01[When will the measure installation be complete and operational?],Table_Perf_S01[[#This Row],[Year]],Table_ECM_S01[Would you like to Include this measure in the decarbonization pathway?],TRUE))))</f>
        <v>3141900</v>
      </c>
      <c r="G56" s="109" cm="1">
        <f t="array" ref="G56">MAX(0,IF(Table_Perf_S01[[#This Row],[Year]]=BaseYr,IFERROR(Table_UtilityInputS1[Annual Fuel Oil'#2
(Gallon)]*138,0),
(G55-138*SUMIFS(Table_ECM_S01[Annual Fuel Oil'#2 Savings
(Gallon)],Table_ECM_S01[When will the measure installation be complete and operational?],Table_Perf_S01[[#This Row],[Year]],Table_ECM_S01[Would you like to Include this measure in the decarbonization pathway?],TRUE))))</f>
        <v>0</v>
      </c>
      <c r="H56" s="109" cm="1">
        <f t="array" ref="H56">MAX(0,IF(Table_Perf_S01[[#This Row],[Year]]=BaseYr,IFERROR(Table_UtilityInputS1[Annual District Steam  
(Mlb for ConEd, kLb for others)]*1194,0),
(H55-1194*SUMIFS(Table_ECM_S01[Annual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56" s="109" cm="1">
        <f t="array" ref="I56">MAX(0,IF(Table_Perf_S01[[#This Row],[Year]]=BaseYr,IFERROR(Table_UtilityInputS1[Annual Other Fuel 1
(kBtu)],0),
(I55-SUMIFS(Table_ECM_S01[Annual Other Fuel 1 Savings
(kBtu)],Table_ECM_S01[When will the measure installation be complete and operational?],Table_Perf_S01[[#This Row],[Year]],Table_ECM_S01[Would you like to Include this measure in the decarbonization pathway?],TRUE))))</f>
        <v>0</v>
      </c>
      <c r="J56" s="110" cm="1">
        <f t="array" ref="J56">MAX(0,IF(Table_Perf_S01[[#This Row],[Year]]=BaseYr,IFERROR(Table_UtilityInputS1[Annual Other Fuel 2
(kBtu)],0),
(J55-SUMIFS(Table_ECM_S01[Annual Other Fuel 2 Savings
(kBtu)],Table_ECM_S01[When will the measure installation be complete and operational?],Table_Perf_S01[[#This Row],[Year]],Table_ECM_S01[Would you like to Include this measure in the decarbonization pathway?],TRUE))))</f>
        <v>0</v>
      </c>
      <c r="K56" s="101">
        <f>-SUMIFS(Table_ECM_S01[Cost to Install Measures ($)],Table_ECM_S01[When will the measure installation be complete and operational?],Table_Perf_S01[[#This Row],[Year]],Table_ECM_S01[Would you like to Include this measure in the decarbonization pathway?],TRUE)</f>
        <v>0</v>
      </c>
      <c r="L56" s="102" cm="1">
        <f t="array" ref="L56">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43594</v>
      </c>
      <c r="M56" s="103"/>
      <c r="N56" s="100" cm="1">
        <f t="array" ref="N56">Table_Perf_S01[[#This Row],[Electricity (kBtu)]]*INDEX(Table_UtilityDecarb[Carbon Intensity (tCO2e/kBtu)],MATCH(N$46&amp;Table_Perf_S01[[#This Row],[Year]],Table_UtilityDecarb[Fuel Type]&amp;Table_UtilityDecarb[Year],0))</f>
        <v>57.567174999999999</v>
      </c>
      <c r="O56" s="100">
        <f>Table_Perf_S01[[#This Row],[Natural Gas (kBtu)]]*INDEX(Table_UtilityDecarb[Carbon Intensity (tCO2e/kBtu)],MATCH(O$46,Table_UtilityDecarb[Fuel Type],0))</f>
        <v>166.866309</v>
      </c>
      <c r="P56" s="100">
        <f>Table_Perf_S01[[#This Row],[Fuel Oil'#2 (kBtu)]]*INDEX(Table_UtilityDecarb[Carbon Intensity (tCO2e/kBtu)],MATCH(P$46,Table_UtilityDecarb[Fuel Type],0))</f>
        <v>0</v>
      </c>
      <c r="Q56" s="100" cm="1">
        <f t="array" ref="Q56">Table_Perf_S01[[#This Row],[District Steam (kBtu)]]*INDEX(Table_UtilityDecarb[Carbon Intensity (tCO2e/kBtu)],MATCH(Q$46&amp;Table_Perf_S01[[#This Row],[Year]],Table_UtilityDecarb[Fuel Type]&amp;Table_UtilityDecarb[Year],0))</f>
        <v>0</v>
      </c>
      <c r="R56" s="100" cm="1">
        <f t="array" ref="R56">IF(OR(Table_UtilityInputS1[Annual Other Fuel 1
(kBtu)]="",NOT(ISNUMBER(Table_UtilityInputS1[Annual Other Fuel 1
(kBtu)]))),0,Table_Perf_S01[[#This Row],[Other Fuel 1 (kBtu)]]*INDEX(Table_UtilityDecarb[Carbon Intensity (tCO2e/kBtu)],MATCH(R$46,Table_UtilityDecarb[Fuel Type],0)))</f>
        <v>0</v>
      </c>
      <c r="S56" s="100" cm="1">
        <f t="array" ref="S56">IF(OR(Table_UtilityInputS1[Annual Other Fuel 2
(kBtu)]="",NOT(ISNUMBER(Table_UtilityInputS1[Annual Other Fuel 2
(kBtu)]))),0,Table_Perf_S01[[#This Row],[Other Fuel 2 (kBtu)]]*INDEX(Table_UtilityDecarb[Carbon Intensity (tCO2e/kBtu)],MATCH(S$46,Table_UtilityDecarb[Fuel Type],0)))</f>
        <v>0</v>
      </c>
      <c r="T56" s="100">
        <f>IF(Table_Perf_S01[[#This Row],[Year]]&gt;2050,NA(),_xlfn.AGGREGATE(9,6,Table_Perf_S01[[#This Row],[LL97 Electricity (tCO2e)]:[LL97 Other Fuel 2 (tCO2e)]]))</f>
        <v>224.43348399999999</v>
      </c>
      <c r="U56" s="100" t="e">
        <f>IF(Table_Perf_S01[[#This Row],[Year]]&lt;2035,NA(),INDEX(Table_LimitsCalc_Sample1[Total Limits (tCO2e)],MATCH(Table_Perf_S01[[#This Row],[Year]],Table_LimitsCalc_Sample1[Year],0)))</f>
        <v>#N/A</v>
      </c>
      <c r="V56" s="100" cm="1">
        <f t="array" ref="V56">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314.62086699999998</v>
      </c>
      <c r="W56" s="100" t="e">
        <f>IF(Table_Perf_S01[[#This Row],[LL97 Emissions Limit (tCO2e)]]="",0,MAX(0,Table_Perf_S01[[#This Row],[LL97 Business-As-Usual Emissions]]-Table_Perf_S01[[#This Row],[LL97 Emissions Limit (tCO2e)]]))</f>
        <v>#N/A</v>
      </c>
      <c r="X56" s="100" t="e">
        <f>IF(Table_Perf_S01[[#This Row],[LL97 Emissions Limit (tCO2e)]]="",0,MAX(0,Table_Perf_S01[[#This Row],[LL97 Emissions After Measures]]-Table_Perf_S01[[#This Row],[LL97 Emissions Limit (tCO2e)]]))</f>
        <v>#N/A</v>
      </c>
      <c r="Y56" s="100">
        <f>Table_Perf_S01[[#This Row],[LL97 Business-As-Usual Emissions]]-Table_Perf_S01[[#This Row],[LL97 Emissions After Measures]]</f>
        <v>90.187382999999983</v>
      </c>
      <c r="Z56" s="102" t="e">
        <f>IF(Table_Perf_S01[[#This Row],[Year]]&lt;2024,"Not in enforcement period",IF(Table_Perf_S01[[#This Row],[LL97 Excess Emissions After Measures]]=0,"Compliant","Not-Compliant"))</f>
        <v>#N/A</v>
      </c>
      <c r="AA56" s="104">
        <f>IFERROR(-268*Table_Perf_S01[[#This Row],[LL97 Excess Emissions After Measures]],0)</f>
        <v>0</v>
      </c>
      <c r="AB56" s="102">
        <f>IFERROR(268*MIN(Table_Perf_S01[[#This Row],[LL97 BAU Excess Emissions]],Table_Perf_S01[[#This Row],[LL97 Emissions Reduced by Measures]]),0)</f>
        <v>0</v>
      </c>
      <c r="AC56" s="105">
        <f>IF(OR(Table_Perf_S01[[#This Row],[Year]]&lt;2024,Table_Perf_S01[[#This Row],[Year]]&gt;2050,ISERROR(Table_Perf_S01[[#This Row],[LL97 Adjusted Penalty After Measures]])),"",Table_Perf_S01[[#This Row],[LL97 Adjusted Penalty After Measures]])</f>
        <v>0</v>
      </c>
      <c r="AD56" s="102">
        <f>IF(Table_Perf_S01[[#This Row],[Year]]&gt;2050,NA(),_xlfn.AGGREGATE(9,6,Table_Perf_S01[[#This Row],[Measure Cost ($)]],Table_Perf_S01[[#This Row],[Utility Savings ($)]],Table_Perf_S01[[#This Row],[LL97 Penalty Avoided by Measures ($)]]))</f>
        <v>43594</v>
      </c>
      <c r="AE56" s="102">
        <f>SUM($AD$48:AD56)</f>
        <v>-185340</v>
      </c>
      <c r="AF56" s="102">
        <f>IF(Table_Perf_S01[[#This Row],[Year]]&gt;2050,NA(),_xlfn.AGGREGATE(9,6,Table_Perf_S01[[#This Row],[Measure Cost ($)]],Table_Perf_S01[[#This Row],[LL97 Adjusted Penalty After Measures]]))</f>
        <v>0</v>
      </c>
      <c r="AG56" s="106">
        <f>Table_Perf_S01[[#This Row],[Year]]</f>
        <v>2032</v>
      </c>
      <c r="AH56" s="99">
        <f>COUNTIFS(Table_ECM_S01[When will the measure installation be complete and operational?],"&lt;="&amp;Table_Perf_S01[[#This Row],[Yr]],Table_ECM_S01[Would you like to Include this measure in the decarbonization pathway?],TRUE)</f>
        <v>13</v>
      </c>
      <c r="AI56" s="99" t="str">
        <f>IF(Table_Perf_S01[[#This Row],[Measure Qty]]=AH55,"",_xlfn.CONCAT(Table_Perf_S01[[#This Row],[Measure Qty]], " Measures Done"))</f>
        <v/>
      </c>
      <c r="AJ56" s="107" t="e">
        <f>IF(Table_Perf_S01[[#This Row],[Measure Label]]="",NA(),Table_Perf_S01[[#This Row],[LL97 Emissions After Measures]])</f>
        <v>#N/A</v>
      </c>
    </row>
    <row r="57" spans="3:36" hidden="1" outlineLevel="1">
      <c r="C57" s="98">
        <v>9</v>
      </c>
      <c r="D57" s="108">
        <f>IF(BaseYr+Table_Perf_S01[[#This Row],['#]]&gt;EndYr,NA(),BaseYr+Table_Perf_S01[[#This Row],['#]])</f>
        <v>2033</v>
      </c>
      <c r="E57" s="109" cm="1">
        <f t="array" ref="E57">MAX(0,IF(Table_Perf_S01[[#This Row],[Year]]=BaseYr,IFERROR(Table_UtilityInputS1[Annual Electricity 
(kWh)]*3.412,0),
(E56-3.412*SUMIFS(Table_ECM_S01[Annual Electricity Savings
(kWh)],Table_ECM_S01[When will the measure installation be complete and operational?],Table_Perf_S01[[#This Row],[Year]],Table_ECM_S01[Would you like to Include this measure in the decarbonization pathway?],TRUE))))</f>
        <v>1354615.18</v>
      </c>
      <c r="F57" s="109" cm="1">
        <f t="array" ref="F57">MAX(0,IF(Table_Perf_S01[[#This Row],[Year]]=BaseYr,IFERROR(Table_UtilityInputS1[Annual Natural Gas  
(therm)]*100,0),
(F56-100*SUMIFS(Table_ECM_S01[Annual Natural Gas Savings
(therm)],Table_ECM_S01[When will the measure installation be complete and operational?],Table_Perf_S01[[#This Row],[Year]],Table_ECM_S01[Would you like to Include this measure in the decarbonization pathway?],TRUE))))</f>
        <v>3141900</v>
      </c>
      <c r="G57" s="109" cm="1">
        <f t="array" ref="G57">MAX(0,IF(Table_Perf_S01[[#This Row],[Year]]=BaseYr,IFERROR(Table_UtilityInputS1[Annual Fuel Oil'#2
(Gallon)]*138,0),
(G56-138*SUMIFS(Table_ECM_S01[Annual Fuel Oil'#2 Savings
(Gallon)],Table_ECM_S01[When will the measure installation be complete and operational?],Table_Perf_S01[[#This Row],[Year]],Table_ECM_S01[Would you like to Include this measure in the decarbonization pathway?],TRUE))))</f>
        <v>0</v>
      </c>
      <c r="H57" s="109" cm="1">
        <f t="array" ref="H57">MAX(0,IF(Table_Perf_S01[[#This Row],[Year]]=BaseYr,IFERROR(Table_UtilityInputS1[Annual District Steam  
(Mlb for ConEd, kLb for others)]*1194,0),
(H56-1194*SUMIFS(Table_ECM_S01[Annual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57" s="109" cm="1">
        <f t="array" ref="I57">MAX(0,IF(Table_Perf_S01[[#This Row],[Year]]=BaseYr,IFERROR(Table_UtilityInputS1[Annual Other Fuel 1
(kBtu)],0),
(I56-SUMIFS(Table_ECM_S01[Annual Other Fuel 1 Savings
(kBtu)],Table_ECM_S01[When will the measure installation be complete and operational?],Table_Perf_S01[[#This Row],[Year]],Table_ECM_S01[Would you like to Include this measure in the decarbonization pathway?],TRUE))))</f>
        <v>0</v>
      </c>
      <c r="J57" s="110" cm="1">
        <f t="array" ref="J57">MAX(0,IF(Table_Perf_S01[[#This Row],[Year]]=BaseYr,IFERROR(Table_UtilityInputS1[Annual Other Fuel 2
(kBtu)],0),
(J56-SUMIFS(Table_ECM_S01[Annual Other Fuel 2 Savings
(kBtu)],Table_ECM_S01[When will the measure installation be complete and operational?],Table_Perf_S01[[#This Row],[Year]],Table_ECM_S01[Would you like to Include this measure in the decarbonization pathway?],TRUE))))</f>
        <v>0</v>
      </c>
      <c r="K57" s="101">
        <f>-SUMIFS(Table_ECM_S01[Cost to Install Measures ($)],Table_ECM_S01[When will the measure installation be complete and operational?],Table_Perf_S01[[#This Row],[Year]],Table_ECM_S01[Would you like to Include this measure in the decarbonization pathway?],TRUE)</f>
        <v>0</v>
      </c>
      <c r="L57" s="102" cm="1">
        <f t="array" ref="L57">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43594</v>
      </c>
      <c r="M57" s="103"/>
      <c r="N57" s="100" cm="1">
        <f t="array" ref="N57">Table_Perf_S01[[#This Row],[Electricity (kBtu)]]*INDEX(Table_UtilityDecarb[Carbon Intensity (tCO2e/kBtu)],MATCH(N$46&amp;Table_Perf_S01[[#This Row],[Year]],Table_UtilityDecarb[Fuel Type]&amp;Table_UtilityDecarb[Year],0))</f>
        <v>57.567174999999999</v>
      </c>
      <c r="O57" s="100">
        <f>Table_Perf_S01[[#This Row],[Natural Gas (kBtu)]]*INDEX(Table_UtilityDecarb[Carbon Intensity (tCO2e/kBtu)],MATCH(O$46,Table_UtilityDecarb[Fuel Type],0))</f>
        <v>166.866309</v>
      </c>
      <c r="P57" s="100">
        <f>Table_Perf_S01[[#This Row],[Fuel Oil'#2 (kBtu)]]*INDEX(Table_UtilityDecarb[Carbon Intensity (tCO2e/kBtu)],MATCH(P$46,Table_UtilityDecarb[Fuel Type],0))</f>
        <v>0</v>
      </c>
      <c r="Q57" s="100" cm="1">
        <f t="array" ref="Q57">Table_Perf_S01[[#This Row],[District Steam (kBtu)]]*INDEX(Table_UtilityDecarb[Carbon Intensity (tCO2e/kBtu)],MATCH(Q$46&amp;Table_Perf_S01[[#This Row],[Year]],Table_UtilityDecarb[Fuel Type]&amp;Table_UtilityDecarb[Year],0))</f>
        <v>0</v>
      </c>
      <c r="R57" s="100" cm="1">
        <f t="array" ref="R57">IF(OR(Table_UtilityInputS1[Annual Other Fuel 1
(kBtu)]="",NOT(ISNUMBER(Table_UtilityInputS1[Annual Other Fuel 1
(kBtu)]))),0,Table_Perf_S01[[#This Row],[Other Fuel 1 (kBtu)]]*INDEX(Table_UtilityDecarb[Carbon Intensity (tCO2e/kBtu)],MATCH(R$46,Table_UtilityDecarb[Fuel Type],0)))</f>
        <v>0</v>
      </c>
      <c r="S57" s="100" cm="1">
        <f t="array" ref="S57">IF(OR(Table_UtilityInputS1[Annual Other Fuel 2
(kBtu)]="",NOT(ISNUMBER(Table_UtilityInputS1[Annual Other Fuel 2
(kBtu)]))),0,Table_Perf_S01[[#This Row],[Other Fuel 2 (kBtu)]]*INDEX(Table_UtilityDecarb[Carbon Intensity (tCO2e/kBtu)],MATCH(S$46,Table_UtilityDecarb[Fuel Type],0)))</f>
        <v>0</v>
      </c>
      <c r="T57" s="100">
        <f>IF(Table_Perf_S01[[#This Row],[Year]]&gt;2050,NA(),_xlfn.AGGREGATE(9,6,Table_Perf_S01[[#This Row],[LL97 Electricity (tCO2e)]:[LL97 Other Fuel 2 (tCO2e)]]))</f>
        <v>224.43348399999999</v>
      </c>
      <c r="U57" s="100" t="e">
        <f>IF(Table_Perf_S01[[#This Row],[Year]]&lt;2035,NA(),INDEX(Table_LimitsCalc_Sample1[Total Limits (tCO2e)],MATCH(Table_Perf_S01[[#This Row],[Year]],Table_LimitsCalc_Sample1[Year],0)))</f>
        <v>#N/A</v>
      </c>
      <c r="V57" s="100" cm="1">
        <f t="array" ref="V57">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314.62086699999998</v>
      </c>
      <c r="W57" s="100" t="e">
        <f>IF(Table_Perf_S01[[#This Row],[LL97 Emissions Limit (tCO2e)]]="",0,MAX(0,Table_Perf_S01[[#This Row],[LL97 Business-As-Usual Emissions]]-Table_Perf_S01[[#This Row],[LL97 Emissions Limit (tCO2e)]]))</f>
        <v>#N/A</v>
      </c>
      <c r="X57" s="100" t="e">
        <f>IF(Table_Perf_S01[[#This Row],[LL97 Emissions Limit (tCO2e)]]="",0,MAX(0,Table_Perf_S01[[#This Row],[LL97 Emissions After Measures]]-Table_Perf_S01[[#This Row],[LL97 Emissions Limit (tCO2e)]]))</f>
        <v>#N/A</v>
      </c>
      <c r="Y57" s="100">
        <f>Table_Perf_S01[[#This Row],[LL97 Business-As-Usual Emissions]]-Table_Perf_S01[[#This Row],[LL97 Emissions After Measures]]</f>
        <v>90.187382999999983</v>
      </c>
      <c r="Z57" s="102" t="e">
        <f>IF(Table_Perf_S01[[#This Row],[Year]]&lt;2024,"Not in enforcement period",IF(Table_Perf_S01[[#This Row],[LL97 Excess Emissions After Measures]]=0,"Compliant","Not-Compliant"))</f>
        <v>#N/A</v>
      </c>
      <c r="AA57" s="104">
        <f>IFERROR(-268*Table_Perf_S01[[#This Row],[LL97 Excess Emissions After Measures]],0)</f>
        <v>0</v>
      </c>
      <c r="AB57" s="102">
        <f>IFERROR(268*MIN(Table_Perf_S01[[#This Row],[LL97 BAU Excess Emissions]],Table_Perf_S01[[#This Row],[LL97 Emissions Reduced by Measures]]),0)</f>
        <v>0</v>
      </c>
      <c r="AC57" s="105">
        <f>IF(OR(Table_Perf_S01[[#This Row],[Year]]&lt;2024,Table_Perf_S01[[#This Row],[Year]]&gt;2050,ISERROR(Table_Perf_S01[[#This Row],[LL97 Adjusted Penalty After Measures]])),"",Table_Perf_S01[[#This Row],[LL97 Adjusted Penalty After Measures]])</f>
        <v>0</v>
      </c>
      <c r="AD57" s="102">
        <f>IF(Table_Perf_S01[[#This Row],[Year]]&gt;2050,NA(),_xlfn.AGGREGATE(9,6,Table_Perf_S01[[#This Row],[Measure Cost ($)]],Table_Perf_S01[[#This Row],[Utility Savings ($)]],Table_Perf_S01[[#This Row],[LL97 Penalty Avoided by Measures ($)]]))</f>
        <v>43594</v>
      </c>
      <c r="AE57" s="102">
        <f>SUM($AD$48:AD57)</f>
        <v>-141746</v>
      </c>
      <c r="AF57" s="102">
        <f>IF(Table_Perf_S01[[#This Row],[Year]]&gt;2050,NA(),_xlfn.AGGREGATE(9,6,Table_Perf_S01[[#This Row],[Measure Cost ($)]],Table_Perf_S01[[#This Row],[LL97 Adjusted Penalty After Measures]]))</f>
        <v>0</v>
      </c>
      <c r="AG57" s="106">
        <f>Table_Perf_S01[[#This Row],[Year]]</f>
        <v>2033</v>
      </c>
      <c r="AH57" s="99">
        <f>COUNTIFS(Table_ECM_S01[When will the measure installation be complete and operational?],"&lt;="&amp;Table_Perf_S01[[#This Row],[Yr]],Table_ECM_S01[Would you like to Include this measure in the decarbonization pathway?],TRUE)</f>
        <v>13</v>
      </c>
      <c r="AI57" s="99" t="str">
        <f>IF(Table_Perf_S01[[#This Row],[Measure Qty]]=AH56,"",_xlfn.CONCAT(Table_Perf_S01[[#This Row],[Measure Qty]], " Measures Done"))</f>
        <v/>
      </c>
      <c r="AJ57" s="107" t="e">
        <f>IF(Table_Perf_S01[[#This Row],[Measure Label]]="",NA(),Table_Perf_S01[[#This Row],[LL97 Emissions After Measures]])</f>
        <v>#N/A</v>
      </c>
    </row>
    <row r="58" spans="3:36" hidden="1" outlineLevel="1">
      <c r="C58" s="98">
        <v>10</v>
      </c>
      <c r="D58" s="108">
        <f>IF(BaseYr+Table_Perf_S01[[#This Row],['#]]&gt;EndYr,NA(),BaseYr+Table_Perf_S01[[#This Row],['#]])</f>
        <v>2034</v>
      </c>
      <c r="E58" s="109" cm="1">
        <f t="array" ref="E58">MAX(0,IF(Table_Perf_S01[[#This Row],[Year]]=BaseYr,IFERROR(Table_UtilityInputS1[Annual Electricity 
(kWh)]*3.412,0),
(E57-3.412*SUMIFS(Table_ECM_S01[Annual Electricity Savings
(kWh)],Table_ECM_S01[When will the measure installation be complete and operational?],Table_Perf_S01[[#This Row],[Year]],Table_ECM_S01[Would you like to Include this measure in the decarbonization pathway?],TRUE))))</f>
        <v>1354615.18</v>
      </c>
      <c r="F58" s="109" cm="1">
        <f t="array" ref="F58">MAX(0,IF(Table_Perf_S01[[#This Row],[Year]]=BaseYr,IFERROR(Table_UtilityInputS1[Annual Natural Gas  
(therm)]*100,0),
(F57-100*SUMIFS(Table_ECM_S01[Annual Natural Gas Savings
(therm)],Table_ECM_S01[When will the measure installation be complete and operational?],Table_Perf_S01[[#This Row],[Year]],Table_ECM_S01[Would you like to Include this measure in the decarbonization pathway?],TRUE))))</f>
        <v>3141900</v>
      </c>
      <c r="G58" s="109" cm="1">
        <f t="array" ref="G58">MAX(0,IF(Table_Perf_S01[[#This Row],[Year]]=BaseYr,IFERROR(Table_UtilityInputS1[Annual Fuel Oil'#2
(Gallon)]*138,0),
(G57-138*SUMIFS(Table_ECM_S01[Annual Fuel Oil'#2 Savings
(Gallon)],Table_ECM_S01[When will the measure installation be complete and operational?],Table_Perf_S01[[#This Row],[Year]],Table_ECM_S01[Would you like to Include this measure in the decarbonization pathway?],TRUE))))</f>
        <v>0</v>
      </c>
      <c r="H58" s="109" cm="1">
        <f t="array" ref="H58">MAX(0,IF(Table_Perf_S01[[#This Row],[Year]]=BaseYr,IFERROR(Table_UtilityInputS1[Annual District Steam  
(Mlb for ConEd, kLb for others)]*1194,0),
(H57-1194*SUMIFS(Table_ECM_S01[Annual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58" s="109" cm="1">
        <f t="array" ref="I58">MAX(0,IF(Table_Perf_S01[[#This Row],[Year]]=BaseYr,IFERROR(Table_UtilityInputS1[Annual Other Fuel 1
(kBtu)],0),
(I57-SUMIFS(Table_ECM_S01[Annual Other Fuel 1 Savings
(kBtu)],Table_ECM_S01[When will the measure installation be complete and operational?],Table_Perf_S01[[#This Row],[Year]],Table_ECM_S01[Would you like to Include this measure in the decarbonization pathway?],TRUE))))</f>
        <v>0</v>
      </c>
      <c r="J58" s="110" cm="1">
        <f t="array" ref="J58">MAX(0,IF(Table_Perf_S01[[#This Row],[Year]]=BaseYr,IFERROR(Table_UtilityInputS1[Annual Other Fuel 2
(kBtu)],0),
(J57-SUMIFS(Table_ECM_S01[Annual Other Fuel 2 Savings
(kBtu)],Table_ECM_S01[When will the measure installation be complete and operational?],Table_Perf_S01[[#This Row],[Year]],Table_ECM_S01[Would you like to Include this measure in the decarbonization pathway?],TRUE))))</f>
        <v>0</v>
      </c>
      <c r="K58" s="101">
        <f>-SUMIFS(Table_ECM_S01[Cost to Install Measures ($)],Table_ECM_S01[When will the measure installation be complete and operational?],Table_Perf_S01[[#This Row],[Year]],Table_ECM_S01[Would you like to Include this measure in the decarbonization pathway?],TRUE)</f>
        <v>0</v>
      </c>
      <c r="L58" s="102" cm="1">
        <f t="array" ref="L58">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43594</v>
      </c>
      <c r="M58" s="103"/>
      <c r="N58" s="100" cm="1">
        <f t="array" ref="N58">Table_Perf_S01[[#This Row],[Electricity (kBtu)]]*INDEX(Table_UtilityDecarb[Carbon Intensity (tCO2e/kBtu)],MATCH(N$46&amp;Table_Perf_S01[[#This Row],[Year]],Table_UtilityDecarb[Fuel Type]&amp;Table_UtilityDecarb[Year],0))</f>
        <v>57.567174999999999</v>
      </c>
      <c r="O58" s="100">
        <f>Table_Perf_S01[[#This Row],[Natural Gas (kBtu)]]*INDEX(Table_UtilityDecarb[Carbon Intensity (tCO2e/kBtu)],MATCH(O$46,Table_UtilityDecarb[Fuel Type],0))</f>
        <v>166.866309</v>
      </c>
      <c r="P58" s="100">
        <f>Table_Perf_S01[[#This Row],[Fuel Oil'#2 (kBtu)]]*INDEX(Table_UtilityDecarb[Carbon Intensity (tCO2e/kBtu)],MATCH(P$46,Table_UtilityDecarb[Fuel Type],0))</f>
        <v>0</v>
      </c>
      <c r="Q58" s="100" cm="1">
        <f t="array" ref="Q58">Table_Perf_S01[[#This Row],[District Steam (kBtu)]]*INDEX(Table_UtilityDecarb[Carbon Intensity (tCO2e/kBtu)],MATCH(Q$46&amp;Table_Perf_S01[[#This Row],[Year]],Table_UtilityDecarb[Fuel Type]&amp;Table_UtilityDecarb[Year],0))</f>
        <v>0</v>
      </c>
      <c r="R58" s="100" cm="1">
        <f t="array" ref="R58">IF(OR(Table_UtilityInputS1[Annual Other Fuel 1
(kBtu)]="",NOT(ISNUMBER(Table_UtilityInputS1[Annual Other Fuel 1
(kBtu)]))),0,Table_Perf_S01[[#This Row],[Other Fuel 1 (kBtu)]]*INDEX(Table_UtilityDecarb[Carbon Intensity (tCO2e/kBtu)],MATCH(R$46,Table_UtilityDecarb[Fuel Type],0)))</f>
        <v>0</v>
      </c>
      <c r="S58" s="100" cm="1">
        <f t="array" ref="S58">IF(OR(Table_UtilityInputS1[Annual Other Fuel 2
(kBtu)]="",NOT(ISNUMBER(Table_UtilityInputS1[Annual Other Fuel 2
(kBtu)]))),0,Table_Perf_S01[[#This Row],[Other Fuel 2 (kBtu)]]*INDEX(Table_UtilityDecarb[Carbon Intensity (tCO2e/kBtu)],MATCH(S$46,Table_UtilityDecarb[Fuel Type],0)))</f>
        <v>0</v>
      </c>
      <c r="T58" s="100">
        <f>IF(Table_Perf_S01[[#This Row],[Year]]&gt;2050,NA(),_xlfn.AGGREGATE(9,6,Table_Perf_S01[[#This Row],[LL97 Electricity (tCO2e)]:[LL97 Other Fuel 2 (tCO2e)]]))</f>
        <v>224.43348399999999</v>
      </c>
      <c r="U58" s="100" t="e">
        <f>IF(Table_Perf_S01[[#This Row],[Year]]&lt;2035,NA(),INDEX(Table_LimitsCalc_Sample1[Total Limits (tCO2e)],MATCH(Table_Perf_S01[[#This Row],[Year]],Table_LimitsCalc_Sample1[Year],0)))</f>
        <v>#N/A</v>
      </c>
      <c r="V58" s="100" cm="1">
        <f t="array" ref="V58">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314.62086699999998</v>
      </c>
      <c r="W58" s="100" t="e">
        <f>IF(Table_Perf_S01[[#This Row],[LL97 Emissions Limit (tCO2e)]]="",0,MAX(0,Table_Perf_S01[[#This Row],[LL97 Business-As-Usual Emissions]]-Table_Perf_S01[[#This Row],[LL97 Emissions Limit (tCO2e)]]))</f>
        <v>#N/A</v>
      </c>
      <c r="X58" s="100" t="e">
        <f>IF(Table_Perf_S01[[#This Row],[LL97 Emissions Limit (tCO2e)]]="",0,MAX(0,Table_Perf_S01[[#This Row],[LL97 Emissions After Measures]]-Table_Perf_S01[[#This Row],[LL97 Emissions Limit (tCO2e)]]))</f>
        <v>#N/A</v>
      </c>
      <c r="Y58" s="100">
        <f>Table_Perf_S01[[#This Row],[LL97 Business-As-Usual Emissions]]-Table_Perf_S01[[#This Row],[LL97 Emissions After Measures]]</f>
        <v>90.187382999999983</v>
      </c>
      <c r="Z58" s="102" t="e">
        <f>IF(Table_Perf_S01[[#This Row],[Year]]&lt;2024,"Not in enforcement period",IF(Table_Perf_S01[[#This Row],[LL97 Excess Emissions After Measures]]=0,"Compliant","Not-Compliant"))</f>
        <v>#N/A</v>
      </c>
      <c r="AA58" s="104">
        <f>IFERROR(-268*Table_Perf_S01[[#This Row],[LL97 Excess Emissions After Measures]],0)</f>
        <v>0</v>
      </c>
      <c r="AB58" s="102">
        <f>IFERROR(268*MIN(Table_Perf_S01[[#This Row],[LL97 BAU Excess Emissions]],Table_Perf_S01[[#This Row],[LL97 Emissions Reduced by Measures]]),0)</f>
        <v>0</v>
      </c>
      <c r="AC58" s="105">
        <f>IF(OR(Table_Perf_S01[[#This Row],[Year]]&lt;2024,Table_Perf_S01[[#This Row],[Year]]&gt;2050,ISERROR(Table_Perf_S01[[#This Row],[LL97 Adjusted Penalty After Measures]])),"",Table_Perf_S01[[#This Row],[LL97 Adjusted Penalty After Measures]])</f>
        <v>0</v>
      </c>
      <c r="AD58" s="102">
        <f>IF(Table_Perf_S01[[#This Row],[Year]]&gt;2050,NA(),_xlfn.AGGREGATE(9,6,Table_Perf_S01[[#This Row],[Measure Cost ($)]],Table_Perf_S01[[#This Row],[Utility Savings ($)]],Table_Perf_S01[[#This Row],[LL97 Penalty Avoided by Measures ($)]]))</f>
        <v>43594</v>
      </c>
      <c r="AE58" s="102">
        <f>SUM($AD$48:AD58)</f>
        <v>-98152</v>
      </c>
      <c r="AF58" s="102">
        <f>IF(Table_Perf_S01[[#This Row],[Year]]&gt;2050,NA(),_xlfn.AGGREGATE(9,6,Table_Perf_S01[[#This Row],[Measure Cost ($)]],Table_Perf_S01[[#This Row],[LL97 Adjusted Penalty After Measures]]))</f>
        <v>0</v>
      </c>
      <c r="AG58" s="106">
        <f>Table_Perf_S01[[#This Row],[Year]]</f>
        <v>2034</v>
      </c>
      <c r="AH58" s="99">
        <f>COUNTIFS(Table_ECM_S01[When will the measure installation be complete and operational?],"&lt;="&amp;Table_Perf_S01[[#This Row],[Yr]],Table_ECM_S01[Would you like to Include this measure in the decarbonization pathway?],TRUE)</f>
        <v>13</v>
      </c>
      <c r="AI58" s="99" t="str">
        <f>IF(Table_Perf_S01[[#This Row],[Measure Qty]]=AH57,"",_xlfn.CONCAT(Table_Perf_S01[[#This Row],[Measure Qty]], " Measures Done"))</f>
        <v/>
      </c>
      <c r="AJ58" s="107" t="e">
        <f>IF(Table_Perf_S01[[#This Row],[Measure Label]]="",NA(),Table_Perf_S01[[#This Row],[LL97 Emissions After Measures]])</f>
        <v>#N/A</v>
      </c>
    </row>
    <row r="59" spans="3:36" hidden="1" outlineLevel="1">
      <c r="C59" s="98">
        <v>11</v>
      </c>
      <c r="D59" s="108">
        <f>IF(BaseYr+Table_Perf_S01[[#This Row],['#]]&gt;EndYr,NA(),BaseYr+Table_Perf_S01[[#This Row],['#]])</f>
        <v>2035</v>
      </c>
      <c r="E59" s="109" cm="1">
        <f t="array" ref="E59">MAX(0,IF(Table_Perf_S01[[#This Row],[Year]]=BaseYr,IFERROR(Table_UtilityInputS1[Annual Electricity 
(kWh)]*3.412,0),
(E58-3.412*SUMIFS(Table_ECM_S01[Annual Electricity Savings
(kWh)],Table_ECM_S01[When will the measure installation be complete and operational?],Table_Perf_S01[[#This Row],[Year]],Table_ECM_S01[Would you like to Include this measure in the decarbonization pathway?],TRUE))))</f>
        <v>1354615.18</v>
      </c>
      <c r="F59" s="109" cm="1">
        <f t="array" ref="F59">MAX(0,IF(Table_Perf_S01[[#This Row],[Year]]=BaseYr,IFERROR(Table_UtilityInputS1[Annual Natural Gas  
(therm)]*100,0),
(F58-100*SUMIFS(Table_ECM_S01[Annual Natural Gas Savings
(therm)],Table_ECM_S01[When will the measure installation be complete and operational?],Table_Perf_S01[[#This Row],[Year]],Table_ECM_S01[Would you like to Include this measure in the decarbonization pathway?],TRUE))))</f>
        <v>3141900</v>
      </c>
      <c r="G59" s="109" cm="1">
        <f t="array" ref="G59">MAX(0,IF(Table_Perf_S01[[#This Row],[Year]]=BaseYr,IFERROR(Table_UtilityInputS1[Annual Fuel Oil'#2
(Gallon)]*138,0),
(G58-138*SUMIFS(Table_ECM_S01[Annual Fuel Oil'#2 Savings
(Gallon)],Table_ECM_S01[When will the measure installation be complete and operational?],Table_Perf_S01[[#This Row],[Year]],Table_ECM_S01[Would you like to Include this measure in the decarbonization pathway?],TRUE))))</f>
        <v>0</v>
      </c>
      <c r="H59" s="109" cm="1">
        <f t="array" ref="H59">MAX(0,IF(Table_Perf_S01[[#This Row],[Year]]=BaseYr,IFERROR(Table_UtilityInputS1[Annual District Steam  
(Mlb for ConEd, kLb for others)]*1194,0),
(H58-1194*SUMIFS(Table_ECM_S01[Annual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59" s="109" cm="1">
        <f t="array" ref="I59">MAX(0,IF(Table_Perf_S01[[#This Row],[Year]]=BaseYr,IFERROR(Table_UtilityInputS1[Annual Other Fuel 1
(kBtu)],0),
(I58-SUMIFS(Table_ECM_S01[Annual Other Fuel 1 Savings
(kBtu)],Table_ECM_S01[When will the measure installation be complete and operational?],Table_Perf_S01[[#This Row],[Year]],Table_ECM_S01[Would you like to Include this measure in the decarbonization pathway?],TRUE))))</f>
        <v>0</v>
      </c>
      <c r="J59" s="110" cm="1">
        <f t="array" ref="J59">MAX(0,IF(Table_Perf_S01[[#This Row],[Year]]=BaseYr,IFERROR(Table_UtilityInputS1[Annual Other Fuel 2
(kBtu)],0),
(J58-SUMIFS(Table_ECM_S01[Annual Other Fuel 2 Savings
(kBtu)],Table_ECM_S01[When will the measure installation be complete and operational?],Table_Perf_S01[[#This Row],[Year]],Table_ECM_S01[Would you like to Include this measure in the decarbonization pathway?],TRUE))))</f>
        <v>0</v>
      </c>
      <c r="K59" s="101">
        <f>-SUMIFS(Table_ECM_S01[Cost to Install Measures ($)],Table_ECM_S01[When will the measure installation be complete and operational?],Table_Perf_S01[[#This Row],[Year]],Table_ECM_S01[Would you like to Include this measure in the decarbonization pathway?],TRUE)</f>
        <v>0</v>
      </c>
      <c r="L59" s="102" cm="1">
        <f t="array" ref="L59">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43594</v>
      </c>
      <c r="M59" s="103"/>
      <c r="N59" s="100" cm="1">
        <f t="array" ref="N59">Table_Perf_S01[[#This Row],[Electricity (kBtu)]]*INDEX(Table_UtilityDecarb[Carbon Intensity (tCO2e/kBtu)],MATCH(N$46&amp;Table_Perf_S01[[#This Row],[Year]],Table_UtilityDecarb[Fuel Type]&amp;Table_UtilityDecarb[Year],0))</f>
        <v>43.175381249999994</v>
      </c>
      <c r="O59" s="100">
        <f>Table_Perf_S01[[#This Row],[Natural Gas (kBtu)]]*INDEX(Table_UtilityDecarb[Carbon Intensity (tCO2e/kBtu)],MATCH(O$46,Table_UtilityDecarb[Fuel Type],0))</f>
        <v>166.866309</v>
      </c>
      <c r="P59" s="100">
        <f>Table_Perf_S01[[#This Row],[Fuel Oil'#2 (kBtu)]]*INDEX(Table_UtilityDecarb[Carbon Intensity (tCO2e/kBtu)],MATCH(P$46,Table_UtilityDecarb[Fuel Type],0))</f>
        <v>0</v>
      </c>
      <c r="Q59" s="100" cm="1">
        <f t="array" ref="Q59">Table_Perf_S01[[#This Row],[District Steam (kBtu)]]*INDEX(Table_UtilityDecarb[Carbon Intensity (tCO2e/kBtu)],MATCH(Q$46&amp;Table_Perf_S01[[#This Row],[Year]],Table_UtilityDecarb[Fuel Type]&amp;Table_UtilityDecarb[Year],0))</f>
        <v>0</v>
      </c>
      <c r="R59" s="100" cm="1">
        <f t="array" ref="R59">IF(OR(Table_UtilityInputS1[Annual Other Fuel 1
(kBtu)]="",NOT(ISNUMBER(Table_UtilityInputS1[Annual Other Fuel 1
(kBtu)]))),0,Table_Perf_S01[[#This Row],[Other Fuel 1 (kBtu)]]*INDEX(Table_UtilityDecarb[Carbon Intensity (tCO2e/kBtu)],MATCH(R$46,Table_UtilityDecarb[Fuel Type],0)))</f>
        <v>0</v>
      </c>
      <c r="S59" s="100" cm="1">
        <f t="array" ref="S59">IF(OR(Table_UtilityInputS1[Annual Other Fuel 2
(kBtu)]="",NOT(ISNUMBER(Table_UtilityInputS1[Annual Other Fuel 2
(kBtu)]))),0,Table_Perf_S01[[#This Row],[Other Fuel 2 (kBtu)]]*INDEX(Table_UtilityDecarb[Carbon Intensity (tCO2e/kBtu)],MATCH(S$46,Table_UtilityDecarb[Fuel Type],0)))</f>
        <v>0</v>
      </c>
      <c r="T59" s="100">
        <f>IF(Table_Perf_S01[[#This Row],[Year]]&gt;2050,NA(),_xlfn.AGGREGATE(9,6,Table_Perf_S01[[#This Row],[LL97 Electricity (tCO2e)]:[LL97 Other Fuel 2 (tCO2e)]]))</f>
        <v>210.04169024999999</v>
      </c>
      <c r="U59" s="100">
        <f>IF(Table_Perf_S01[[#This Row],[Year]]&lt;2035,NA(),INDEX(Table_LimitsCalc_Sample1[Total Limits (tCO2e)],MATCH(Table_Perf_S01[[#This Row],[Year]],Table_LimitsCalc_Sample1[Year],0)))</f>
        <v>156.55219140000003</v>
      </c>
      <c r="V59" s="100" cm="1">
        <f t="array" ref="V59">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293.57273950000001</v>
      </c>
      <c r="W59" s="100">
        <f>IF(Table_Perf_S01[[#This Row],[LL97 Emissions Limit (tCO2e)]]="",0,MAX(0,Table_Perf_S01[[#This Row],[LL97 Business-As-Usual Emissions]]-Table_Perf_S01[[#This Row],[LL97 Emissions Limit (tCO2e)]]))</f>
        <v>137.02054809999998</v>
      </c>
      <c r="X59" s="100">
        <f>IF(Table_Perf_S01[[#This Row],[LL97 Emissions Limit (tCO2e)]]="",0,MAX(0,Table_Perf_S01[[#This Row],[LL97 Emissions After Measures]]-Table_Perf_S01[[#This Row],[LL97 Emissions Limit (tCO2e)]]))</f>
        <v>53.489498849999961</v>
      </c>
      <c r="Y59" s="100">
        <f>Table_Perf_S01[[#This Row],[LL97 Business-As-Usual Emissions]]-Table_Perf_S01[[#This Row],[LL97 Emissions After Measures]]</f>
        <v>83.531049250000024</v>
      </c>
      <c r="Z59" s="102" t="str">
        <f>IF(Table_Perf_S01[[#This Row],[Year]]&lt;2024,"Not in enforcement period",IF(Table_Perf_S01[[#This Row],[LL97 Excess Emissions After Measures]]=0,"Compliant","Not-Compliant"))</f>
        <v>Not-Compliant</v>
      </c>
      <c r="AA59" s="104">
        <f>IFERROR(-268*Table_Perf_S01[[#This Row],[LL97 Excess Emissions After Measures]],0)</f>
        <v>-14335.18569179999</v>
      </c>
      <c r="AB59" s="102">
        <f>IFERROR(268*MIN(Table_Perf_S01[[#This Row],[LL97 BAU Excess Emissions]],Table_Perf_S01[[#This Row],[LL97 Emissions Reduced by Measures]]),0)</f>
        <v>22386.321199000005</v>
      </c>
      <c r="AC59" s="105">
        <f>IF(OR(Table_Perf_S01[[#This Row],[Year]]&lt;2024,Table_Perf_S01[[#This Row],[Year]]&gt;2050,ISERROR(Table_Perf_S01[[#This Row],[LL97 Adjusted Penalty After Measures]])),"",Table_Perf_S01[[#This Row],[LL97 Adjusted Penalty After Measures]])</f>
        <v>-14335.18569179999</v>
      </c>
      <c r="AD59" s="102">
        <f>IF(Table_Perf_S01[[#This Row],[Year]]&gt;2050,NA(),_xlfn.AGGREGATE(9,6,Table_Perf_S01[[#This Row],[Measure Cost ($)]],Table_Perf_S01[[#This Row],[Utility Savings ($)]],Table_Perf_S01[[#This Row],[LL97 Penalty Avoided by Measures ($)]]))</f>
        <v>65980.321198999998</v>
      </c>
      <c r="AE59" s="102">
        <f>SUM($AD$48:AD59)</f>
        <v>-32171.678801000002</v>
      </c>
      <c r="AF59" s="102">
        <f>IF(Table_Perf_S01[[#This Row],[Year]]&gt;2050,NA(),_xlfn.AGGREGATE(9,6,Table_Perf_S01[[#This Row],[Measure Cost ($)]],Table_Perf_S01[[#This Row],[LL97 Adjusted Penalty After Measures]]))</f>
        <v>-14335.18569179999</v>
      </c>
      <c r="AG59" s="106">
        <f>Table_Perf_S01[[#This Row],[Year]]</f>
        <v>2035</v>
      </c>
      <c r="AH59" s="99">
        <f>COUNTIFS(Table_ECM_S01[When will the measure installation be complete and operational?],"&lt;="&amp;Table_Perf_S01[[#This Row],[Yr]],Table_ECM_S01[Would you like to Include this measure in the decarbonization pathway?],TRUE)</f>
        <v>13</v>
      </c>
      <c r="AI59" s="99" t="str">
        <f>IF(Table_Perf_S01[[#This Row],[Measure Qty]]=AH58,"",_xlfn.CONCAT(Table_Perf_S01[[#This Row],[Measure Qty]], " Measures Done"))</f>
        <v/>
      </c>
      <c r="AJ59" s="107" t="e">
        <f>IF(Table_Perf_S01[[#This Row],[Measure Label]]="",NA(),Table_Perf_S01[[#This Row],[LL97 Emissions After Measures]])</f>
        <v>#N/A</v>
      </c>
    </row>
    <row r="60" spans="3:36" hidden="1" outlineLevel="1">
      <c r="C60" s="98">
        <v>12</v>
      </c>
      <c r="D60" s="108">
        <f>IF(BaseYr+Table_Perf_S01[[#This Row],['#]]&gt;EndYr,NA(),BaseYr+Table_Perf_S01[[#This Row],['#]])</f>
        <v>2036</v>
      </c>
      <c r="E60" s="109" cm="1">
        <f t="array" ref="E60">MAX(0,IF(Table_Perf_S01[[#This Row],[Year]]=BaseYr,IFERROR(Table_UtilityInputS1[Annual Electricity 
(kWh)]*3.412,0),
(E59-3.412*SUMIFS(Table_ECM_S01[Annual Electricity Savings
(kWh)],Table_ECM_S01[When will the measure installation be complete and operational?],Table_Perf_S01[[#This Row],[Year]],Table_ECM_S01[Would you like to Include this measure in the decarbonization pathway?],TRUE))))</f>
        <v>1354615.18</v>
      </c>
      <c r="F60" s="109" cm="1">
        <f t="array" ref="F60">MAX(0,IF(Table_Perf_S01[[#This Row],[Year]]=BaseYr,IFERROR(Table_UtilityInputS1[Annual Natural Gas  
(therm)]*100,0),
(F59-100*SUMIFS(Table_ECM_S01[Annual Natural Gas Savings
(therm)],Table_ECM_S01[When will the measure installation be complete and operational?],Table_Perf_S01[[#This Row],[Year]],Table_ECM_S01[Would you like to Include this measure in the decarbonization pathway?],TRUE))))</f>
        <v>3141900</v>
      </c>
      <c r="G60" s="109" cm="1">
        <f t="array" ref="G60">MAX(0,IF(Table_Perf_S01[[#This Row],[Year]]=BaseYr,IFERROR(Table_UtilityInputS1[Annual Fuel Oil'#2
(Gallon)]*138,0),
(G59-138*SUMIFS(Table_ECM_S01[Annual Fuel Oil'#2 Savings
(Gallon)],Table_ECM_S01[When will the measure installation be complete and operational?],Table_Perf_S01[[#This Row],[Year]],Table_ECM_S01[Would you like to Include this measure in the decarbonization pathway?],TRUE))))</f>
        <v>0</v>
      </c>
      <c r="H60" s="109" cm="1">
        <f t="array" ref="H60">MAX(0,IF(Table_Perf_S01[[#This Row],[Year]]=BaseYr,IFERROR(Table_UtilityInputS1[Annual District Steam  
(Mlb for ConEd, kLb for others)]*1194,0),
(H59-1194*SUMIFS(Table_ECM_S01[Annual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60" s="109" cm="1">
        <f t="array" ref="I60">MAX(0,IF(Table_Perf_S01[[#This Row],[Year]]=BaseYr,IFERROR(Table_UtilityInputS1[Annual Other Fuel 1
(kBtu)],0),
(I59-SUMIFS(Table_ECM_S01[Annual Other Fuel 1 Savings
(kBtu)],Table_ECM_S01[When will the measure installation be complete and operational?],Table_Perf_S01[[#This Row],[Year]],Table_ECM_S01[Would you like to Include this measure in the decarbonization pathway?],TRUE))))</f>
        <v>0</v>
      </c>
      <c r="J60" s="110" cm="1">
        <f t="array" ref="J60">MAX(0,IF(Table_Perf_S01[[#This Row],[Year]]=BaseYr,IFERROR(Table_UtilityInputS1[Annual Other Fuel 2
(kBtu)],0),
(J59-SUMIFS(Table_ECM_S01[Annual Other Fuel 2 Savings
(kBtu)],Table_ECM_S01[When will the measure installation be complete and operational?],Table_Perf_S01[[#This Row],[Year]],Table_ECM_S01[Would you like to Include this measure in the decarbonization pathway?],TRUE))))</f>
        <v>0</v>
      </c>
      <c r="K60" s="101">
        <f>-SUMIFS(Table_ECM_S01[Cost to Install Measures ($)],Table_ECM_S01[When will the measure installation be complete and operational?],Table_Perf_S01[[#This Row],[Year]],Table_ECM_S01[Would you like to Include this measure in the decarbonization pathway?],TRUE)</f>
        <v>0</v>
      </c>
      <c r="L60" s="102" cm="1">
        <f t="array" ref="L60">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43594</v>
      </c>
      <c r="M60" s="103"/>
      <c r="N60" s="100" cm="1">
        <f t="array" ref="N60">Table_Perf_S01[[#This Row],[Electricity (kBtu)]]*INDEX(Table_UtilityDecarb[Carbon Intensity (tCO2e/kBtu)],MATCH(N$46&amp;Table_Perf_S01[[#This Row],[Year]],Table_UtilityDecarb[Fuel Type]&amp;Table_UtilityDecarb[Year],0))</f>
        <v>43.175381249999994</v>
      </c>
      <c r="O60" s="100">
        <f>Table_Perf_S01[[#This Row],[Natural Gas (kBtu)]]*INDEX(Table_UtilityDecarb[Carbon Intensity (tCO2e/kBtu)],MATCH(O$46,Table_UtilityDecarb[Fuel Type],0))</f>
        <v>166.866309</v>
      </c>
      <c r="P60" s="100">
        <f>Table_Perf_S01[[#This Row],[Fuel Oil'#2 (kBtu)]]*INDEX(Table_UtilityDecarb[Carbon Intensity (tCO2e/kBtu)],MATCH(P$46,Table_UtilityDecarb[Fuel Type],0))</f>
        <v>0</v>
      </c>
      <c r="Q60" s="100" cm="1">
        <f t="array" ref="Q60">Table_Perf_S01[[#This Row],[District Steam (kBtu)]]*INDEX(Table_UtilityDecarb[Carbon Intensity (tCO2e/kBtu)],MATCH(Q$46&amp;Table_Perf_S01[[#This Row],[Year]],Table_UtilityDecarb[Fuel Type]&amp;Table_UtilityDecarb[Year],0))</f>
        <v>0</v>
      </c>
      <c r="R60" s="100" cm="1">
        <f t="array" ref="R60">IF(OR(Table_UtilityInputS1[Annual Other Fuel 1
(kBtu)]="",NOT(ISNUMBER(Table_UtilityInputS1[Annual Other Fuel 1
(kBtu)]))),0,Table_Perf_S01[[#This Row],[Other Fuel 1 (kBtu)]]*INDEX(Table_UtilityDecarb[Carbon Intensity (tCO2e/kBtu)],MATCH(R$46,Table_UtilityDecarb[Fuel Type],0)))</f>
        <v>0</v>
      </c>
      <c r="S60" s="100" cm="1">
        <f t="array" ref="S60">IF(OR(Table_UtilityInputS1[Annual Other Fuel 2
(kBtu)]="",NOT(ISNUMBER(Table_UtilityInputS1[Annual Other Fuel 2
(kBtu)]))),0,Table_Perf_S01[[#This Row],[Other Fuel 2 (kBtu)]]*INDEX(Table_UtilityDecarb[Carbon Intensity (tCO2e/kBtu)],MATCH(S$46,Table_UtilityDecarb[Fuel Type],0)))</f>
        <v>0</v>
      </c>
      <c r="T60" s="100">
        <f>IF(Table_Perf_S01[[#This Row],[Year]]&gt;2050,NA(),_xlfn.AGGREGATE(9,6,Table_Perf_S01[[#This Row],[LL97 Electricity (tCO2e)]:[LL97 Other Fuel 2 (tCO2e)]]))</f>
        <v>210.04169024999999</v>
      </c>
      <c r="U60" s="100">
        <f>IF(Table_Perf_S01[[#This Row],[Year]]&lt;2035,NA(),INDEX(Table_LimitsCalc_Sample1[Total Limits (tCO2e)],MATCH(Table_Perf_S01[[#This Row],[Year]],Table_LimitsCalc_Sample1[Year],0)))</f>
        <v>156.55219140000003</v>
      </c>
      <c r="V60" s="100" cm="1">
        <f t="array" ref="V60">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293.57273950000001</v>
      </c>
      <c r="W60" s="100">
        <f>IF(Table_Perf_S01[[#This Row],[LL97 Emissions Limit (tCO2e)]]="",0,MAX(0,Table_Perf_S01[[#This Row],[LL97 Business-As-Usual Emissions]]-Table_Perf_S01[[#This Row],[LL97 Emissions Limit (tCO2e)]]))</f>
        <v>137.02054809999998</v>
      </c>
      <c r="X60" s="100">
        <f>IF(Table_Perf_S01[[#This Row],[LL97 Emissions Limit (tCO2e)]]="",0,MAX(0,Table_Perf_S01[[#This Row],[LL97 Emissions After Measures]]-Table_Perf_S01[[#This Row],[LL97 Emissions Limit (tCO2e)]]))</f>
        <v>53.489498849999961</v>
      </c>
      <c r="Y60" s="100">
        <f>Table_Perf_S01[[#This Row],[LL97 Business-As-Usual Emissions]]-Table_Perf_S01[[#This Row],[LL97 Emissions After Measures]]</f>
        <v>83.531049250000024</v>
      </c>
      <c r="Z60" s="102" t="str">
        <f>IF(Table_Perf_S01[[#This Row],[Year]]&lt;2024,"Not in enforcement period",IF(Table_Perf_S01[[#This Row],[LL97 Excess Emissions After Measures]]=0,"Compliant","Not-Compliant"))</f>
        <v>Not-Compliant</v>
      </c>
      <c r="AA60" s="104">
        <f>IFERROR(-268*Table_Perf_S01[[#This Row],[LL97 Excess Emissions After Measures]],0)</f>
        <v>-14335.18569179999</v>
      </c>
      <c r="AB60" s="102">
        <f>IFERROR(268*MIN(Table_Perf_S01[[#This Row],[LL97 BAU Excess Emissions]],Table_Perf_S01[[#This Row],[LL97 Emissions Reduced by Measures]]),0)</f>
        <v>22386.321199000005</v>
      </c>
      <c r="AC60" s="105">
        <f>IF(OR(Table_Perf_S01[[#This Row],[Year]]&lt;2024,Table_Perf_S01[[#This Row],[Year]]&gt;2050,ISERROR(Table_Perf_S01[[#This Row],[LL97 Adjusted Penalty After Measures]])),"",Table_Perf_S01[[#This Row],[LL97 Adjusted Penalty After Measures]])</f>
        <v>-14335.18569179999</v>
      </c>
      <c r="AD60" s="102">
        <f>IF(Table_Perf_S01[[#This Row],[Year]]&gt;2050,NA(),_xlfn.AGGREGATE(9,6,Table_Perf_S01[[#This Row],[Measure Cost ($)]],Table_Perf_S01[[#This Row],[Utility Savings ($)]],Table_Perf_S01[[#This Row],[LL97 Penalty Avoided by Measures ($)]]))</f>
        <v>65980.321198999998</v>
      </c>
      <c r="AE60" s="102">
        <f>SUM($AD$48:AD60)</f>
        <v>33808.642397999996</v>
      </c>
      <c r="AF60" s="102">
        <f>IF(Table_Perf_S01[[#This Row],[Year]]&gt;2050,NA(),_xlfn.AGGREGATE(9,6,Table_Perf_S01[[#This Row],[Measure Cost ($)]],Table_Perf_S01[[#This Row],[LL97 Adjusted Penalty After Measures]]))</f>
        <v>-14335.18569179999</v>
      </c>
      <c r="AG60" s="106">
        <f>Table_Perf_S01[[#This Row],[Year]]</f>
        <v>2036</v>
      </c>
      <c r="AH60" s="99">
        <f>COUNTIFS(Table_ECM_S01[When will the measure installation be complete and operational?],"&lt;="&amp;Table_Perf_S01[[#This Row],[Yr]],Table_ECM_S01[Would you like to Include this measure in the decarbonization pathway?],TRUE)</f>
        <v>13</v>
      </c>
      <c r="AI60" s="99" t="str">
        <f>IF(Table_Perf_S01[[#This Row],[Measure Qty]]=AH59,"",_xlfn.CONCAT(Table_Perf_S01[[#This Row],[Measure Qty]], " Measures Done"))</f>
        <v/>
      </c>
      <c r="AJ60" s="107" t="e">
        <f>IF(Table_Perf_S01[[#This Row],[Measure Label]]="",NA(),Table_Perf_S01[[#This Row],[LL97 Emissions After Measures]])</f>
        <v>#N/A</v>
      </c>
    </row>
    <row r="61" spans="3:36" hidden="1" outlineLevel="1">
      <c r="C61" s="98">
        <v>13</v>
      </c>
      <c r="D61" s="108">
        <f>IF(BaseYr+Table_Perf_S01[[#This Row],['#]]&gt;EndYr,NA(),BaseYr+Table_Perf_S01[[#This Row],['#]])</f>
        <v>2037</v>
      </c>
      <c r="E61" s="109" cm="1">
        <f t="array" ref="E61">MAX(0,IF(Table_Perf_S01[[#This Row],[Year]]=BaseYr,IFERROR(Table_UtilityInputS1[Annual Electricity 
(kWh)]*3.412,0),
(E60-3.412*SUMIFS(Table_ECM_S01[Annual Electricity Savings
(kWh)],Table_ECM_S01[When will the measure installation be complete and operational?],Table_Perf_S01[[#This Row],[Year]],Table_ECM_S01[Would you like to Include this measure in the decarbonization pathway?],TRUE))))</f>
        <v>1354615.18</v>
      </c>
      <c r="F61" s="109" cm="1">
        <f t="array" ref="F61">MAX(0,IF(Table_Perf_S01[[#This Row],[Year]]=BaseYr,IFERROR(Table_UtilityInputS1[Annual Natural Gas  
(therm)]*100,0),
(F60-100*SUMIFS(Table_ECM_S01[Annual Natural Gas Savings
(therm)],Table_ECM_S01[When will the measure installation be complete and operational?],Table_Perf_S01[[#This Row],[Year]],Table_ECM_S01[Would you like to Include this measure in the decarbonization pathway?],TRUE))))</f>
        <v>3141900</v>
      </c>
      <c r="G61" s="109" cm="1">
        <f t="array" ref="G61">MAX(0,IF(Table_Perf_S01[[#This Row],[Year]]=BaseYr,IFERROR(Table_UtilityInputS1[Annual Fuel Oil'#2
(Gallon)]*138,0),
(G60-138*SUMIFS(Table_ECM_S01[Annual Fuel Oil'#2 Savings
(Gallon)],Table_ECM_S01[When will the measure installation be complete and operational?],Table_Perf_S01[[#This Row],[Year]],Table_ECM_S01[Would you like to Include this measure in the decarbonization pathway?],TRUE))))</f>
        <v>0</v>
      </c>
      <c r="H61" s="109" cm="1">
        <f t="array" ref="H61">MAX(0,IF(Table_Perf_S01[[#This Row],[Year]]=BaseYr,IFERROR(Table_UtilityInputS1[Annual District Steam  
(Mlb for ConEd, kLb for others)]*1194,0),
(H60-1194*SUMIFS(Table_ECM_S01[Annual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61" s="109" cm="1">
        <f t="array" ref="I61">MAX(0,IF(Table_Perf_S01[[#This Row],[Year]]=BaseYr,IFERROR(Table_UtilityInputS1[Annual Other Fuel 1
(kBtu)],0),
(I60-SUMIFS(Table_ECM_S01[Annual Other Fuel 1 Savings
(kBtu)],Table_ECM_S01[When will the measure installation be complete and operational?],Table_Perf_S01[[#This Row],[Year]],Table_ECM_S01[Would you like to Include this measure in the decarbonization pathway?],TRUE))))</f>
        <v>0</v>
      </c>
      <c r="J61" s="110" cm="1">
        <f t="array" ref="J61">MAX(0,IF(Table_Perf_S01[[#This Row],[Year]]=BaseYr,IFERROR(Table_UtilityInputS1[Annual Other Fuel 2
(kBtu)],0),
(J60-SUMIFS(Table_ECM_S01[Annual Other Fuel 2 Savings
(kBtu)],Table_ECM_S01[When will the measure installation be complete and operational?],Table_Perf_S01[[#This Row],[Year]],Table_ECM_S01[Would you like to Include this measure in the decarbonization pathway?],TRUE))))</f>
        <v>0</v>
      </c>
      <c r="K61" s="101">
        <f>-SUMIFS(Table_ECM_S01[Cost to Install Measures ($)],Table_ECM_S01[When will the measure installation be complete and operational?],Table_Perf_S01[[#This Row],[Year]],Table_ECM_S01[Would you like to Include this measure in the decarbonization pathway?],TRUE)</f>
        <v>0</v>
      </c>
      <c r="L61" s="102" cm="1">
        <f t="array" ref="L61">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43594</v>
      </c>
      <c r="M61" s="103"/>
      <c r="N61" s="100" cm="1">
        <f t="array" ref="N61">Table_Perf_S01[[#This Row],[Electricity (kBtu)]]*INDEX(Table_UtilityDecarb[Carbon Intensity (tCO2e/kBtu)],MATCH(N$46&amp;Table_Perf_S01[[#This Row],[Year]],Table_UtilityDecarb[Fuel Type]&amp;Table_UtilityDecarb[Year],0))</f>
        <v>43.175381249999994</v>
      </c>
      <c r="O61" s="100">
        <f>Table_Perf_S01[[#This Row],[Natural Gas (kBtu)]]*INDEX(Table_UtilityDecarb[Carbon Intensity (tCO2e/kBtu)],MATCH(O$46,Table_UtilityDecarb[Fuel Type],0))</f>
        <v>166.866309</v>
      </c>
      <c r="P61" s="100">
        <f>Table_Perf_S01[[#This Row],[Fuel Oil'#2 (kBtu)]]*INDEX(Table_UtilityDecarb[Carbon Intensity (tCO2e/kBtu)],MATCH(P$46,Table_UtilityDecarb[Fuel Type],0))</f>
        <v>0</v>
      </c>
      <c r="Q61" s="100" cm="1">
        <f t="array" ref="Q61">Table_Perf_S01[[#This Row],[District Steam (kBtu)]]*INDEX(Table_UtilityDecarb[Carbon Intensity (tCO2e/kBtu)],MATCH(Q$46&amp;Table_Perf_S01[[#This Row],[Year]],Table_UtilityDecarb[Fuel Type]&amp;Table_UtilityDecarb[Year],0))</f>
        <v>0</v>
      </c>
      <c r="R61" s="100" cm="1">
        <f t="array" ref="R61">IF(OR(Table_UtilityInputS1[Annual Other Fuel 1
(kBtu)]="",NOT(ISNUMBER(Table_UtilityInputS1[Annual Other Fuel 1
(kBtu)]))),0,Table_Perf_S01[[#This Row],[Other Fuel 1 (kBtu)]]*INDEX(Table_UtilityDecarb[Carbon Intensity (tCO2e/kBtu)],MATCH(R$46,Table_UtilityDecarb[Fuel Type],0)))</f>
        <v>0</v>
      </c>
      <c r="S61" s="100" cm="1">
        <f t="array" ref="S61">IF(OR(Table_UtilityInputS1[Annual Other Fuel 2
(kBtu)]="",NOT(ISNUMBER(Table_UtilityInputS1[Annual Other Fuel 2
(kBtu)]))),0,Table_Perf_S01[[#This Row],[Other Fuel 2 (kBtu)]]*INDEX(Table_UtilityDecarb[Carbon Intensity (tCO2e/kBtu)],MATCH(S$46,Table_UtilityDecarb[Fuel Type],0)))</f>
        <v>0</v>
      </c>
      <c r="T61" s="100">
        <f>IF(Table_Perf_S01[[#This Row],[Year]]&gt;2050,NA(),_xlfn.AGGREGATE(9,6,Table_Perf_S01[[#This Row],[LL97 Electricity (tCO2e)]:[LL97 Other Fuel 2 (tCO2e)]]))</f>
        <v>210.04169024999999</v>
      </c>
      <c r="U61" s="100">
        <f>IF(Table_Perf_S01[[#This Row],[Year]]&lt;2035,NA(),INDEX(Table_LimitsCalc_Sample1[Total Limits (tCO2e)],MATCH(Table_Perf_S01[[#This Row],[Year]],Table_LimitsCalc_Sample1[Year],0)))</f>
        <v>156.55219140000003</v>
      </c>
      <c r="V61" s="100" cm="1">
        <f t="array" ref="V61">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293.57273950000001</v>
      </c>
      <c r="W61" s="100">
        <f>IF(Table_Perf_S01[[#This Row],[LL97 Emissions Limit (tCO2e)]]="",0,MAX(0,Table_Perf_S01[[#This Row],[LL97 Business-As-Usual Emissions]]-Table_Perf_S01[[#This Row],[LL97 Emissions Limit (tCO2e)]]))</f>
        <v>137.02054809999998</v>
      </c>
      <c r="X61" s="100">
        <f>IF(Table_Perf_S01[[#This Row],[LL97 Emissions Limit (tCO2e)]]="",0,MAX(0,Table_Perf_S01[[#This Row],[LL97 Emissions After Measures]]-Table_Perf_S01[[#This Row],[LL97 Emissions Limit (tCO2e)]]))</f>
        <v>53.489498849999961</v>
      </c>
      <c r="Y61" s="100">
        <f>Table_Perf_S01[[#This Row],[LL97 Business-As-Usual Emissions]]-Table_Perf_S01[[#This Row],[LL97 Emissions After Measures]]</f>
        <v>83.531049250000024</v>
      </c>
      <c r="Z61" s="102" t="str">
        <f>IF(Table_Perf_S01[[#This Row],[Year]]&lt;2024,"Not in enforcement period",IF(Table_Perf_S01[[#This Row],[LL97 Excess Emissions After Measures]]=0,"Compliant","Not-Compliant"))</f>
        <v>Not-Compliant</v>
      </c>
      <c r="AA61" s="104">
        <f>IFERROR(-268*Table_Perf_S01[[#This Row],[LL97 Excess Emissions After Measures]],0)</f>
        <v>-14335.18569179999</v>
      </c>
      <c r="AB61" s="102">
        <f>IFERROR(268*MIN(Table_Perf_S01[[#This Row],[LL97 BAU Excess Emissions]],Table_Perf_S01[[#This Row],[LL97 Emissions Reduced by Measures]]),0)</f>
        <v>22386.321199000005</v>
      </c>
      <c r="AC61" s="105">
        <f>IF(OR(Table_Perf_S01[[#This Row],[Year]]&lt;2024,Table_Perf_S01[[#This Row],[Year]]&gt;2050,ISERROR(Table_Perf_S01[[#This Row],[LL97 Adjusted Penalty After Measures]])),"",Table_Perf_S01[[#This Row],[LL97 Adjusted Penalty After Measures]])</f>
        <v>-14335.18569179999</v>
      </c>
      <c r="AD61" s="102">
        <f>IF(Table_Perf_S01[[#This Row],[Year]]&gt;2050,NA(),_xlfn.AGGREGATE(9,6,Table_Perf_S01[[#This Row],[Measure Cost ($)]],Table_Perf_S01[[#This Row],[Utility Savings ($)]],Table_Perf_S01[[#This Row],[LL97 Penalty Avoided by Measures ($)]]))</f>
        <v>65980.321198999998</v>
      </c>
      <c r="AE61" s="102">
        <f>SUM($AD$48:AD61)</f>
        <v>99788.963596999994</v>
      </c>
      <c r="AF61" s="102">
        <f>IF(Table_Perf_S01[[#This Row],[Year]]&gt;2050,NA(),_xlfn.AGGREGATE(9,6,Table_Perf_S01[[#This Row],[Measure Cost ($)]],Table_Perf_S01[[#This Row],[LL97 Adjusted Penalty After Measures]]))</f>
        <v>-14335.18569179999</v>
      </c>
      <c r="AG61" s="106">
        <f>Table_Perf_S01[[#This Row],[Year]]</f>
        <v>2037</v>
      </c>
      <c r="AH61" s="99">
        <f>COUNTIFS(Table_ECM_S01[When will the measure installation be complete and operational?],"&lt;="&amp;Table_Perf_S01[[#This Row],[Yr]],Table_ECM_S01[Would you like to Include this measure in the decarbonization pathway?],TRUE)</f>
        <v>13</v>
      </c>
      <c r="AI61" s="99" t="str">
        <f>IF(Table_Perf_S01[[#This Row],[Measure Qty]]=AH60,"",_xlfn.CONCAT(Table_Perf_S01[[#This Row],[Measure Qty]], " Measures Done"))</f>
        <v/>
      </c>
      <c r="AJ61" s="107" t="e">
        <f>IF(Table_Perf_S01[[#This Row],[Measure Label]]="",NA(),Table_Perf_S01[[#This Row],[LL97 Emissions After Measures]])</f>
        <v>#N/A</v>
      </c>
    </row>
    <row r="62" spans="3:36" hidden="1" outlineLevel="1">
      <c r="C62" s="98">
        <v>14</v>
      </c>
      <c r="D62" s="108">
        <f>IF(BaseYr+Table_Perf_S01[[#This Row],['#]]&gt;EndYr,NA(),BaseYr+Table_Perf_S01[[#This Row],['#]])</f>
        <v>2038</v>
      </c>
      <c r="E62" s="109" cm="1">
        <f t="array" ref="E62">MAX(0,IF(Table_Perf_S01[[#This Row],[Year]]=BaseYr,IFERROR(Table_UtilityInputS1[Annual Electricity 
(kWh)]*3.412,0),
(E61-3.412*SUMIFS(Table_ECM_S01[Annual Electricity Savings
(kWh)],Table_ECM_S01[When will the measure installation be complete and operational?],Table_Perf_S01[[#This Row],[Year]],Table_ECM_S01[Would you like to Include this measure in the decarbonization pathway?],TRUE))))</f>
        <v>1354615.18</v>
      </c>
      <c r="F62" s="109" cm="1">
        <f t="array" ref="F62">MAX(0,IF(Table_Perf_S01[[#This Row],[Year]]=BaseYr,IFERROR(Table_UtilityInputS1[Annual Natural Gas  
(therm)]*100,0),
(F61-100*SUMIFS(Table_ECM_S01[Annual Natural Gas Savings
(therm)],Table_ECM_S01[When will the measure installation be complete and operational?],Table_Perf_S01[[#This Row],[Year]],Table_ECM_S01[Would you like to Include this measure in the decarbonization pathway?],TRUE))))</f>
        <v>3141900</v>
      </c>
      <c r="G62" s="109" cm="1">
        <f t="array" ref="G62">MAX(0,IF(Table_Perf_S01[[#This Row],[Year]]=BaseYr,IFERROR(Table_UtilityInputS1[Annual Fuel Oil'#2
(Gallon)]*138,0),
(G61-138*SUMIFS(Table_ECM_S01[Annual Fuel Oil'#2 Savings
(Gallon)],Table_ECM_S01[When will the measure installation be complete and operational?],Table_Perf_S01[[#This Row],[Year]],Table_ECM_S01[Would you like to Include this measure in the decarbonization pathway?],TRUE))))</f>
        <v>0</v>
      </c>
      <c r="H62" s="109" cm="1">
        <f t="array" ref="H62">MAX(0,IF(Table_Perf_S01[[#This Row],[Year]]=BaseYr,IFERROR(Table_UtilityInputS1[Annual District Steam  
(Mlb for ConEd, kLb for others)]*1194,0),
(H61-1194*SUMIFS(Table_ECM_S01[Annual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62" s="109" cm="1">
        <f t="array" ref="I62">MAX(0,IF(Table_Perf_S01[[#This Row],[Year]]=BaseYr,IFERROR(Table_UtilityInputS1[Annual Other Fuel 1
(kBtu)],0),
(I61-SUMIFS(Table_ECM_S01[Annual Other Fuel 1 Savings
(kBtu)],Table_ECM_S01[When will the measure installation be complete and operational?],Table_Perf_S01[[#This Row],[Year]],Table_ECM_S01[Would you like to Include this measure in the decarbonization pathway?],TRUE))))</f>
        <v>0</v>
      </c>
      <c r="J62" s="110" cm="1">
        <f t="array" ref="J62">MAX(0,IF(Table_Perf_S01[[#This Row],[Year]]=BaseYr,IFERROR(Table_UtilityInputS1[Annual Other Fuel 2
(kBtu)],0),
(J61-SUMIFS(Table_ECM_S01[Annual Other Fuel 2 Savings
(kBtu)],Table_ECM_S01[When will the measure installation be complete and operational?],Table_Perf_S01[[#This Row],[Year]],Table_ECM_S01[Would you like to Include this measure in the decarbonization pathway?],TRUE))))</f>
        <v>0</v>
      </c>
      <c r="K62" s="101">
        <f>-SUMIFS(Table_ECM_S01[Cost to Install Measures ($)],Table_ECM_S01[When will the measure installation be complete and operational?],Table_Perf_S01[[#This Row],[Year]],Table_ECM_S01[Would you like to Include this measure in the decarbonization pathway?],TRUE)</f>
        <v>0</v>
      </c>
      <c r="L62" s="102" cm="1">
        <f t="array" ref="L62">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43594</v>
      </c>
      <c r="M62" s="103"/>
      <c r="N62" s="100" cm="1">
        <f t="array" ref="N62">Table_Perf_S01[[#This Row],[Electricity (kBtu)]]*INDEX(Table_UtilityDecarb[Carbon Intensity (tCO2e/kBtu)],MATCH(N$46&amp;Table_Perf_S01[[#This Row],[Year]],Table_UtilityDecarb[Fuel Type]&amp;Table_UtilityDecarb[Year],0))</f>
        <v>43.175381249999994</v>
      </c>
      <c r="O62" s="100">
        <f>Table_Perf_S01[[#This Row],[Natural Gas (kBtu)]]*INDEX(Table_UtilityDecarb[Carbon Intensity (tCO2e/kBtu)],MATCH(O$46,Table_UtilityDecarb[Fuel Type],0))</f>
        <v>166.866309</v>
      </c>
      <c r="P62" s="100">
        <f>Table_Perf_S01[[#This Row],[Fuel Oil'#2 (kBtu)]]*INDEX(Table_UtilityDecarb[Carbon Intensity (tCO2e/kBtu)],MATCH(P$46,Table_UtilityDecarb[Fuel Type],0))</f>
        <v>0</v>
      </c>
      <c r="Q62" s="100" cm="1">
        <f t="array" ref="Q62">Table_Perf_S01[[#This Row],[District Steam (kBtu)]]*INDEX(Table_UtilityDecarb[Carbon Intensity (tCO2e/kBtu)],MATCH(Q$46&amp;Table_Perf_S01[[#This Row],[Year]],Table_UtilityDecarb[Fuel Type]&amp;Table_UtilityDecarb[Year],0))</f>
        <v>0</v>
      </c>
      <c r="R62" s="100" cm="1">
        <f t="array" ref="R62">IF(OR(Table_UtilityInputS1[Annual Other Fuel 1
(kBtu)]="",NOT(ISNUMBER(Table_UtilityInputS1[Annual Other Fuel 1
(kBtu)]))),0,Table_Perf_S01[[#This Row],[Other Fuel 1 (kBtu)]]*INDEX(Table_UtilityDecarb[Carbon Intensity (tCO2e/kBtu)],MATCH(R$46,Table_UtilityDecarb[Fuel Type],0)))</f>
        <v>0</v>
      </c>
      <c r="S62" s="100" cm="1">
        <f t="array" ref="S62">IF(OR(Table_UtilityInputS1[Annual Other Fuel 2
(kBtu)]="",NOT(ISNUMBER(Table_UtilityInputS1[Annual Other Fuel 2
(kBtu)]))),0,Table_Perf_S01[[#This Row],[Other Fuel 2 (kBtu)]]*INDEX(Table_UtilityDecarb[Carbon Intensity (tCO2e/kBtu)],MATCH(S$46,Table_UtilityDecarb[Fuel Type],0)))</f>
        <v>0</v>
      </c>
      <c r="T62" s="100">
        <f>IF(Table_Perf_S01[[#This Row],[Year]]&gt;2050,NA(),_xlfn.AGGREGATE(9,6,Table_Perf_S01[[#This Row],[LL97 Electricity (tCO2e)]:[LL97 Other Fuel 2 (tCO2e)]]))</f>
        <v>210.04169024999999</v>
      </c>
      <c r="U62" s="100">
        <f>IF(Table_Perf_S01[[#This Row],[Year]]&lt;2035,NA(),INDEX(Table_LimitsCalc_Sample1[Total Limits (tCO2e)],MATCH(Table_Perf_S01[[#This Row],[Year]],Table_LimitsCalc_Sample1[Year],0)))</f>
        <v>156.55219140000003</v>
      </c>
      <c r="V62" s="100" cm="1">
        <f t="array" ref="V62">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293.57273950000001</v>
      </c>
      <c r="W62" s="100">
        <f>IF(Table_Perf_S01[[#This Row],[LL97 Emissions Limit (tCO2e)]]="",0,MAX(0,Table_Perf_S01[[#This Row],[LL97 Business-As-Usual Emissions]]-Table_Perf_S01[[#This Row],[LL97 Emissions Limit (tCO2e)]]))</f>
        <v>137.02054809999998</v>
      </c>
      <c r="X62" s="100">
        <f>IF(Table_Perf_S01[[#This Row],[LL97 Emissions Limit (tCO2e)]]="",0,MAX(0,Table_Perf_S01[[#This Row],[LL97 Emissions After Measures]]-Table_Perf_S01[[#This Row],[LL97 Emissions Limit (tCO2e)]]))</f>
        <v>53.489498849999961</v>
      </c>
      <c r="Y62" s="100">
        <f>Table_Perf_S01[[#This Row],[LL97 Business-As-Usual Emissions]]-Table_Perf_S01[[#This Row],[LL97 Emissions After Measures]]</f>
        <v>83.531049250000024</v>
      </c>
      <c r="Z62" s="102" t="str">
        <f>IF(Table_Perf_S01[[#This Row],[Year]]&lt;2024,"Not in enforcement period",IF(Table_Perf_S01[[#This Row],[LL97 Excess Emissions After Measures]]=0,"Compliant","Not-Compliant"))</f>
        <v>Not-Compliant</v>
      </c>
      <c r="AA62" s="104">
        <f>IFERROR(-268*Table_Perf_S01[[#This Row],[LL97 Excess Emissions After Measures]],0)</f>
        <v>-14335.18569179999</v>
      </c>
      <c r="AB62" s="102">
        <f>IFERROR(268*MIN(Table_Perf_S01[[#This Row],[LL97 BAU Excess Emissions]],Table_Perf_S01[[#This Row],[LL97 Emissions Reduced by Measures]]),0)</f>
        <v>22386.321199000005</v>
      </c>
      <c r="AC62" s="105">
        <f>IF(OR(Table_Perf_S01[[#This Row],[Year]]&lt;2024,Table_Perf_S01[[#This Row],[Year]]&gt;2050,ISERROR(Table_Perf_S01[[#This Row],[LL97 Adjusted Penalty After Measures]])),"",Table_Perf_S01[[#This Row],[LL97 Adjusted Penalty After Measures]])</f>
        <v>-14335.18569179999</v>
      </c>
      <c r="AD62" s="102">
        <f>IF(Table_Perf_S01[[#This Row],[Year]]&gt;2050,NA(),_xlfn.AGGREGATE(9,6,Table_Perf_S01[[#This Row],[Measure Cost ($)]],Table_Perf_S01[[#This Row],[Utility Savings ($)]],Table_Perf_S01[[#This Row],[LL97 Penalty Avoided by Measures ($)]]))</f>
        <v>65980.321198999998</v>
      </c>
      <c r="AE62" s="102">
        <f>SUM($AD$48:AD62)</f>
        <v>165769.28479599999</v>
      </c>
      <c r="AF62" s="102">
        <f>IF(Table_Perf_S01[[#This Row],[Year]]&gt;2050,NA(),_xlfn.AGGREGATE(9,6,Table_Perf_S01[[#This Row],[Measure Cost ($)]],Table_Perf_S01[[#This Row],[LL97 Adjusted Penalty After Measures]]))</f>
        <v>-14335.18569179999</v>
      </c>
      <c r="AG62" s="106">
        <f>Table_Perf_S01[[#This Row],[Year]]</f>
        <v>2038</v>
      </c>
      <c r="AH62" s="99">
        <f>COUNTIFS(Table_ECM_S01[When will the measure installation be complete and operational?],"&lt;="&amp;Table_Perf_S01[[#This Row],[Yr]],Table_ECM_S01[Would you like to Include this measure in the decarbonization pathway?],TRUE)</f>
        <v>13</v>
      </c>
      <c r="AI62" s="99" t="str">
        <f>IF(Table_Perf_S01[[#This Row],[Measure Qty]]=AH61,"",_xlfn.CONCAT(Table_Perf_S01[[#This Row],[Measure Qty]], " Measures Done"))</f>
        <v/>
      </c>
      <c r="AJ62" s="107" t="e">
        <f>IF(Table_Perf_S01[[#This Row],[Measure Label]]="",NA(),Table_Perf_S01[[#This Row],[LL97 Emissions After Measures]])</f>
        <v>#N/A</v>
      </c>
    </row>
    <row r="63" spans="3:36" hidden="1" outlineLevel="1">
      <c r="C63" s="98">
        <v>15</v>
      </c>
      <c r="D63" s="108">
        <f>IF(BaseYr+Table_Perf_S01[[#This Row],['#]]&gt;EndYr,NA(),BaseYr+Table_Perf_S01[[#This Row],['#]])</f>
        <v>2039</v>
      </c>
      <c r="E63" s="109" cm="1">
        <f t="array" ref="E63">MAX(0,IF(Table_Perf_S01[[#This Row],[Year]]=BaseYr,IFERROR(Table_UtilityInputS1[Annual Electricity 
(kWh)]*3.412,0),
(E62-3.412*SUMIFS(Table_ECM_S01[Annual Electricity Savings
(kWh)],Table_ECM_S01[When will the measure installation be complete and operational?],Table_Perf_S01[[#This Row],[Year]],Table_ECM_S01[Would you like to Include this measure in the decarbonization pathway?],TRUE))))</f>
        <v>1944734.2279999999</v>
      </c>
      <c r="F63" s="109" cm="1">
        <f t="array" ref="F63">MAX(0,IF(Table_Perf_S01[[#This Row],[Year]]=BaseYr,IFERROR(Table_UtilityInputS1[Annual Natural Gas  
(therm)]*100,0),
(F62-100*SUMIFS(Table_ECM_S01[Annual Natural Gas Savings
(therm)],Table_ECM_S01[When will the measure installation be complete and operational?],Table_Perf_S01[[#This Row],[Year]],Table_ECM_S01[Would you like to Include this measure in the decarbonization pathway?],TRUE))))</f>
        <v>1413700</v>
      </c>
      <c r="G63" s="109" cm="1">
        <f t="array" ref="G63">MAX(0,IF(Table_Perf_S01[[#This Row],[Year]]=BaseYr,IFERROR(Table_UtilityInputS1[Annual Fuel Oil'#2
(Gallon)]*138,0),
(G62-138*SUMIFS(Table_ECM_S01[Annual Fuel Oil'#2 Savings
(Gallon)],Table_ECM_S01[When will the measure installation be complete and operational?],Table_Perf_S01[[#This Row],[Year]],Table_ECM_S01[Would you like to Include this measure in the decarbonization pathway?],TRUE))))</f>
        <v>0</v>
      </c>
      <c r="H63" s="109" cm="1">
        <f t="array" ref="H63">MAX(0,IF(Table_Perf_S01[[#This Row],[Year]]=BaseYr,IFERROR(Table_UtilityInputS1[Annual District Steam  
(Mlb for ConEd, kLb for others)]*1194,0),
(H62-1194*SUMIFS(Table_ECM_S01[Annual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63" s="109" cm="1">
        <f t="array" ref="I63">MAX(0,IF(Table_Perf_S01[[#This Row],[Year]]=BaseYr,IFERROR(Table_UtilityInputS1[Annual Other Fuel 1
(kBtu)],0),
(I62-SUMIFS(Table_ECM_S01[Annual Other Fuel 1 Savings
(kBtu)],Table_ECM_S01[When will the measure installation be complete and operational?],Table_Perf_S01[[#This Row],[Year]],Table_ECM_S01[Would you like to Include this measure in the decarbonization pathway?],TRUE))))</f>
        <v>0</v>
      </c>
      <c r="J63" s="110" cm="1">
        <f t="array" ref="J63">MAX(0,IF(Table_Perf_S01[[#This Row],[Year]]=BaseYr,IFERROR(Table_UtilityInputS1[Annual Other Fuel 2
(kBtu)],0),
(J62-SUMIFS(Table_ECM_S01[Annual Other Fuel 2 Savings
(kBtu)],Table_ECM_S01[When will the measure installation be complete and operational?],Table_Perf_S01[[#This Row],[Year]],Table_ECM_S01[Would you like to Include this measure in the decarbonization pathway?],TRUE))))</f>
        <v>0</v>
      </c>
      <c r="K63" s="101">
        <f>-SUMIFS(Table_ECM_S01[Cost to Install Measures ($)],Table_ECM_S01[When will the measure installation be complete and operational?],Table_Perf_S01[[#This Row],[Year]],Table_ECM_S01[Would you like to Include this measure in the decarbonization pathway?],TRUE)</f>
        <v>-481394</v>
      </c>
      <c r="L63" s="102" cm="1">
        <f t="array" ref="L63">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63" s="103"/>
      <c r="N63" s="100" cm="1">
        <f t="array" ref="N63">Table_Perf_S01[[#This Row],[Electricity (kBtu)]]*INDEX(Table_UtilityDecarb[Carbon Intensity (tCO2e/kBtu)],MATCH(N$46&amp;Table_Perf_S01[[#This Row],[Year]],Table_UtilityDecarb[Fuel Type]&amp;Table_UtilityDecarb[Year],0))</f>
        <v>61.984128749999996</v>
      </c>
      <c r="O63" s="100">
        <f>Table_Perf_S01[[#This Row],[Natural Gas (kBtu)]]*INDEX(Table_UtilityDecarb[Carbon Intensity (tCO2e/kBtu)],MATCH(O$46,Table_UtilityDecarb[Fuel Type],0))</f>
        <v>75.081606999999991</v>
      </c>
      <c r="P63" s="100">
        <f>Table_Perf_S01[[#This Row],[Fuel Oil'#2 (kBtu)]]*INDEX(Table_UtilityDecarb[Carbon Intensity (tCO2e/kBtu)],MATCH(P$46,Table_UtilityDecarb[Fuel Type],0))</f>
        <v>0</v>
      </c>
      <c r="Q63" s="100" cm="1">
        <f t="array" ref="Q63">Table_Perf_S01[[#This Row],[District Steam (kBtu)]]*INDEX(Table_UtilityDecarb[Carbon Intensity (tCO2e/kBtu)],MATCH(Q$46&amp;Table_Perf_S01[[#This Row],[Year]],Table_UtilityDecarb[Fuel Type]&amp;Table_UtilityDecarb[Year],0))</f>
        <v>0</v>
      </c>
      <c r="R63" s="100" cm="1">
        <f t="array" ref="R63">IF(OR(Table_UtilityInputS1[Annual Other Fuel 1
(kBtu)]="",NOT(ISNUMBER(Table_UtilityInputS1[Annual Other Fuel 1
(kBtu)]))),0,Table_Perf_S01[[#This Row],[Other Fuel 1 (kBtu)]]*INDEX(Table_UtilityDecarb[Carbon Intensity (tCO2e/kBtu)],MATCH(R$46,Table_UtilityDecarb[Fuel Type],0)))</f>
        <v>0</v>
      </c>
      <c r="S63" s="100" cm="1">
        <f t="array" ref="S63">IF(OR(Table_UtilityInputS1[Annual Other Fuel 2
(kBtu)]="",NOT(ISNUMBER(Table_UtilityInputS1[Annual Other Fuel 2
(kBtu)]))),0,Table_Perf_S01[[#This Row],[Other Fuel 2 (kBtu)]]*INDEX(Table_UtilityDecarb[Carbon Intensity (tCO2e/kBtu)],MATCH(S$46,Table_UtilityDecarb[Fuel Type],0)))</f>
        <v>0</v>
      </c>
      <c r="T63" s="100">
        <f>IF(Table_Perf_S01[[#This Row],[Year]]&gt;2050,NA(),_xlfn.AGGREGATE(9,6,Table_Perf_S01[[#This Row],[LL97 Electricity (tCO2e)]:[LL97 Other Fuel 2 (tCO2e)]]))</f>
        <v>137.06573574999999</v>
      </c>
      <c r="U63" s="100">
        <f>IF(Table_Perf_S01[[#This Row],[Year]]&lt;2035,NA(),INDEX(Table_LimitsCalc_Sample1[Total Limits (tCO2e)],MATCH(Table_Perf_S01[[#This Row],[Year]],Table_LimitsCalc_Sample1[Year],0)))</f>
        <v>156.55219140000003</v>
      </c>
      <c r="V63" s="100" cm="1">
        <f t="array" ref="V63">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293.57273950000001</v>
      </c>
      <c r="W63" s="100">
        <f>IF(Table_Perf_S01[[#This Row],[LL97 Emissions Limit (tCO2e)]]="",0,MAX(0,Table_Perf_S01[[#This Row],[LL97 Business-As-Usual Emissions]]-Table_Perf_S01[[#This Row],[LL97 Emissions Limit (tCO2e)]]))</f>
        <v>137.02054809999998</v>
      </c>
      <c r="X63" s="100">
        <f>IF(Table_Perf_S01[[#This Row],[LL97 Emissions Limit (tCO2e)]]="",0,MAX(0,Table_Perf_S01[[#This Row],[LL97 Emissions After Measures]]-Table_Perf_S01[[#This Row],[LL97 Emissions Limit (tCO2e)]]))</f>
        <v>0</v>
      </c>
      <c r="Y63" s="100">
        <f>Table_Perf_S01[[#This Row],[LL97 Business-As-Usual Emissions]]-Table_Perf_S01[[#This Row],[LL97 Emissions After Measures]]</f>
        <v>156.50700375000002</v>
      </c>
      <c r="Z63" s="102" t="str">
        <f>IF(Table_Perf_S01[[#This Row],[Year]]&lt;2024,"Not in enforcement period",IF(Table_Perf_S01[[#This Row],[LL97 Excess Emissions After Measures]]=0,"Compliant","Not-Compliant"))</f>
        <v>Compliant</v>
      </c>
      <c r="AA63" s="104">
        <f>IFERROR(-268*Table_Perf_S01[[#This Row],[LL97 Excess Emissions After Measures]],0)</f>
        <v>0</v>
      </c>
      <c r="AB63" s="102">
        <f>IFERROR(268*MIN(Table_Perf_S01[[#This Row],[LL97 BAU Excess Emissions]],Table_Perf_S01[[#This Row],[LL97 Emissions Reduced by Measures]]),0)</f>
        <v>36721.506890799996</v>
      </c>
      <c r="AC63" s="105">
        <f>IF(OR(Table_Perf_S01[[#This Row],[Year]]&lt;2024,Table_Perf_S01[[#This Row],[Year]]&gt;2050,ISERROR(Table_Perf_S01[[#This Row],[LL97 Adjusted Penalty After Measures]])),"",Table_Perf_S01[[#This Row],[LL97 Adjusted Penalty After Measures]])</f>
        <v>0</v>
      </c>
      <c r="AD63" s="102">
        <f>IF(Table_Perf_S01[[#This Row],[Year]]&gt;2050,NA(),_xlfn.AGGREGATE(9,6,Table_Perf_S01[[#This Row],[Measure Cost ($)]],Table_Perf_S01[[#This Row],[Utility Savings ($)]],Table_Perf_S01[[#This Row],[LL97 Penalty Avoided by Measures ($)]]))</f>
        <v>-413330.49310920003</v>
      </c>
      <c r="AE63" s="102">
        <f>SUM($AD$48:AD63)</f>
        <v>-247561.20831320004</v>
      </c>
      <c r="AF63" s="102">
        <f>IF(Table_Perf_S01[[#This Row],[Year]]&gt;2050,NA(),_xlfn.AGGREGATE(9,6,Table_Perf_S01[[#This Row],[Measure Cost ($)]],Table_Perf_S01[[#This Row],[LL97 Adjusted Penalty After Measures]]))</f>
        <v>-481394</v>
      </c>
      <c r="AG63" s="106">
        <f>Table_Perf_S01[[#This Row],[Year]]</f>
        <v>2039</v>
      </c>
      <c r="AH63" s="99">
        <f>COUNTIFS(Table_ECM_S01[When will the measure installation be complete and operational?],"&lt;="&amp;Table_Perf_S01[[#This Row],[Yr]],Table_ECM_S01[Would you like to Include this measure in the decarbonization pathway?],TRUE)</f>
        <v>15</v>
      </c>
      <c r="AI63" s="99" t="str">
        <f>IF(Table_Perf_S01[[#This Row],[Measure Qty]]=AH62,"",_xlfn.CONCAT(Table_Perf_S01[[#This Row],[Measure Qty]], " Measures Done"))</f>
        <v>15 Measures Done</v>
      </c>
      <c r="AJ63" s="107">
        <f>IF(Table_Perf_S01[[#This Row],[Measure Label]]="",NA(),Table_Perf_S01[[#This Row],[LL97 Emissions After Measures]])</f>
        <v>137.06573574999999</v>
      </c>
    </row>
    <row r="64" spans="3:36" hidden="1" outlineLevel="1">
      <c r="C64" s="98">
        <v>16</v>
      </c>
      <c r="D64" s="108">
        <f>IF(BaseYr+Table_Perf_S01[[#This Row],['#]]&gt;EndYr,NA(),BaseYr+Table_Perf_S01[[#This Row],['#]])</f>
        <v>2040</v>
      </c>
      <c r="E64" s="109" cm="1">
        <f t="array" ref="E64">MAX(0,IF(Table_Perf_S01[[#This Row],[Year]]=BaseYr,IFERROR(Table_UtilityInputS1[Annual Electricity 
(kWh)]*3.412,0),
(E63-3.412*SUMIFS(Table_ECM_S01[Annual Electricity Savings
(kWh)],Table_ECM_S01[When will the measure installation be complete and operational?],Table_Perf_S01[[#This Row],[Year]],Table_ECM_S01[Would you like to Include this measure in the decarbonization pathway?],TRUE))))</f>
        <v>1944734.2279999999</v>
      </c>
      <c r="F64" s="109" cm="1">
        <f t="array" ref="F64">MAX(0,IF(Table_Perf_S01[[#This Row],[Year]]=BaseYr,IFERROR(Table_UtilityInputS1[Annual Natural Gas  
(therm)]*100,0),
(F63-100*SUMIFS(Table_ECM_S01[Annual Natural Gas Savings
(therm)],Table_ECM_S01[When will the measure installation be complete and operational?],Table_Perf_S01[[#This Row],[Year]],Table_ECM_S01[Would you like to Include this measure in the decarbonization pathway?],TRUE))))</f>
        <v>1413700</v>
      </c>
      <c r="G64" s="109" cm="1">
        <f t="array" ref="G64">MAX(0,IF(Table_Perf_S01[[#This Row],[Year]]=BaseYr,IFERROR(Table_UtilityInputS1[Annual Fuel Oil'#2
(Gallon)]*138,0),
(G63-138*SUMIFS(Table_ECM_S01[Annual Fuel Oil'#2 Savings
(Gallon)],Table_ECM_S01[When will the measure installation be complete and operational?],Table_Perf_S01[[#This Row],[Year]],Table_ECM_S01[Would you like to Include this measure in the decarbonization pathway?],TRUE))))</f>
        <v>0</v>
      </c>
      <c r="H64" s="109" cm="1">
        <f t="array" ref="H64">MAX(0,IF(Table_Perf_S01[[#This Row],[Year]]=BaseYr,IFERROR(Table_UtilityInputS1[Annual District Steam  
(Mlb for ConEd, kLb for others)]*1194,0),
(H63-1194*SUMIFS(Table_ECM_S01[Annual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64" s="109" cm="1">
        <f t="array" ref="I64">MAX(0,IF(Table_Perf_S01[[#This Row],[Year]]=BaseYr,IFERROR(Table_UtilityInputS1[Annual Other Fuel 1
(kBtu)],0),
(I63-SUMIFS(Table_ECM_S01[Annual Other Fuel 1 Savings
(kBtu)],Table_ECM_S01[When will the measure installation be complete and operational?],Table_Perf_S01[[#This Row],[Year]],Table_ECM_S01[Would you like to Include this measure in the decarbonization pathway?],TRUE))))</f>
        <v>0</v>
      </c>
      <c r="J64" s="110" cm="1">
        <f t="array" ref="J64">MAX(0,IF(Table_Perf_S01[[#This Row],[Year]]=BaseYr,IFERROR(Table_UtilityInputS1[Annual Other Fuel 2
(kBtu)],0),
(J63-SUMIFS(Table_ECM_S01[Annual Other Fuel 2 Savings
(kBtu)],Table_ECM_S01[When will the measure installation be complete and operational?],Table_Perf_S01[[#This Row],[Year]],Table_ECM_S01[Would you like to Include this measure in the decarbonization pathway?],TRUE))))</f>
        <v>0</v>
      </c>
      <c r="K64" s="101">
        <f>-SUMIFS(Table_ECM_S01[Cost to Install Measures ($)],Table_ECM_S01[When will the measure installation be complete and operational?],Table_Perf_S01[[#This Row],[Year]],Table_ECM_S01[Would you like to Include this measure in the decarbonization pathway?],TRUE)</f>
        <v>0</v>
      </c>
      <c r="L64" s="102" cm="1">
        <f t="array" ref="L64">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64" s="103"/>
      <c r="N64" s="100" cm="1">
        <f t="array" ref="N64">Table_Perf_S01[[#This Row],[Electricity (kBtu)]]*INDEX(Table_UtilityDecarb[Carbon Intensity (tCO2e/kBtu)],MATCH(N$46&amp;Table_Perf_S01[[#This Row],[Year]],Table_UtilityDecarb[Fuel Type]&amp;Table_UtilityDecarb[Year],0))</f>
        <v>41.3227525</v>
      </c>
      <c r="O64" s="100">
        <f>Table_Perf_S01[[#This Row],[Natural Gas (kBtu)]]*INDEX(Table_UtilityDecarb[Carbon Intensity (tCO2e/kBtu)],MATCH(O$46,Table_UtilityDecarb[Fuel Type],0))</f>
        <v>75.081606999999991</v>
      </c>
      <c r="P64" s="100">
        <f>Table_Perf_S01[[#This Row],[Fuel Oil'#2 (kBtu)]]*INDEX(Table_UtilityDecarb[Carbon Intensity (tCO2e/kBtu)],MATCH(P$46,Table_UtilityDecarb[Fuel Type],0))</f>
        <v>0</v>
      </c>
      <c r="Q64" s="100" cm="1">
        <f t="array" ref="Q64">Table_Perf_S01[[#This Row],[District Steam (kBtu)]]*INDEX(Table_UtilityDecarb[Carbon Intensity (tCO2e/kBtu)],MATCH(Q$46&amp;Table_Perf_S01[[#This Row],[Year]],Table_UtilityDecarb[Fuel Type]&amp;Table_UtilityDecarb[Year],0))</f>
        <v>0</v>
      </c>
      <c r="R64" s="100" cm="1">
        <f t="array" ref="R64">IF(OR(Table_UtilityInputS1[Annual Other Fuel 1
(kBtu)]="",NOT(ISNUMBER(Table_UtilityInputS1[Annual Other Fuel 1
(kBtu)]))),0,Table_Perf_S01[[#This Row],[Other Fuel 1 (kBtu)]]*INDEX(Table_UtilityDecarb[Carbon Intensity (tCO2e/kBtu)],MATCH(R$46,Table_UtilityDecarb[Fuel Type],0)))</f>
        <v>0</v>
      </c>
      <c r="S64" s="100" cm="1">
        <f t="array" ref="S64">IF(OR(Table_UtilityInputS1[Annual Other Fuel 2
(kBtu)]="",NOT(ISNUMBER(Table_UtilityInputS1[Annual Other Fuel 2
(kBtu)]))),0,Table_Perf_S01[[#This Row],[Other Fuel 2 (kBtu)]]*INDEX(Table_UtilityDecarb[Carbon Intensity (tCO2e/kBtu)],MATCH(S$46,Table_UtilityDecarb[Fuel Type],0)))</f>
        <v>0</v>
      </c>
      <c r="T64" s="100">
        <f>IF(Table_Perf_S01[[#This Row],[Year]]&gt;2050,NA(),_xlfn.AGGREGATE(9,6,Table_Perf_S01[[#This Row],[LL97 Electricity (tCO2e)]:[LL97 Other Fuel 2 (tCO2e)]]))</f>
        <v>116.4043595</v>
      </c>
      <c r="U64" s="100">
        <f>IF(Table_Perf_S01[[#This Row],[Year]]&lt;2035,NA(),INDEX(Table_LimitsCalc_Sample1[Total Limits (tCO2e)],MATCH(Table_Perf_S01[[#This Row],[Year]],Table_LimitsCalc_Sample1[Year],0)))</f>
        <v>117.39162589999999</v>
      </c>
      <c r="V64" s="100" cm="1">
        <f t="array" ref="V64">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272.52461199999999</v>
      </c>
      <c r="W64" s="100">
        <f>IF(Table_Perf_S01[[#This Row],[LL97 Emissions Limit (tCO2e)]]="",0,MAX(0,Table_Perf_S01[[#This Row],[LL97 Business-As-Usual Emissions]]-Table_Perf_S01[[#This Row],[LL97 Emissions Limit (tCO2e)]]))</f>
        <v>155.13298609999998</v>
      </c>
      <c r="X64" s="100">
        <f>IF(Table_Perf_S01[[#This Row],[LL97 Emissions Limit (tCO2e)]]="",0,MAX(0,Table_Perf_S01[[#This Row],[LL97 Emissions After Measures]]-Table_Perf_S01[[#This Row],[LL97 Emissions Limit (tCO2e)]]))</f>
        <v>0</v>
      </c>
      <c r="Y64" s="100">
        <f>Table_Perf_S01[[#This Row],[LL97 Business-As-Usual Emissions]]-Table_Perf_S01[[#This Row],[LL97 Emissions After Measures]]</f>
        <v>156.12025249999999</v>
      </c>
      <c r="Z64" s="102" t="str">
        <f>IF(Table_Perf_S01[[#This Row],[Year]]&lt;2024,"Not in enforcement period",IF(Table_Perf_S01[[#This Row],[LL97 Excess Emissions After Measures]]=0,"Compliant","Not-Compliant"))</f>
        <v>Compliant</v>
      </c>
      <c r="AA64" s="104">
        <f>IFERROR(-268*Table_Perf_S01[[#This Row],[LL97 Excess Emissions After Measures]],0)</f>
        <v>0</v>
      </c>
      <c r="AB64" s="102">
        <f>IFERROR(268*MIN(Table_Perf_S01[[#This Row],[LL97 BAU Excess Emissions]],Table_Perf_S01[[#This Row],[LL97 Emissions Reduced by Measures]]),0)</f>
        <v>41575.640274799996</v>
      </c>
      <c r="AC64" s="105">
        <f>IF(OR(Table_Perf_S01[[#This Row],[Year]]&lt;2024,Table_Perf_S01[[#This Row],[Year]]&gt;2050,ISERROR(Table_Perf_S01[[#This Row],[LL97 Adjusted Penalty After Measures]])),"",Table_Perf_S01[[#This Row],[LL97 Adjusted Penalty After Measures]])</f>
        <v>0</v>
      </c>
      <c r="AD64" s="102">
        <f>IF(Table_Perf_S01[[#This Row],[Year]]&gt;2050,NA(),_xlfn.AGGREGATE(9,6,Table_Perf_S01[[#This Row],[Measure Cost ($)]],Table_Perf_S01[[#This Row],[Utility Savings ($)]],Table_Perf_S01[[#This Row],[LL97 Penalty Avoided by Measures ($)]]))</f>
        <v>72917.640274799996</v>
      </c>
      <c r="AE64" s="102">
        <f>SUM($AD$48:AD64)</f>
        <v>-174643.56803840003</v>
      </c>
      <c r="AF64" s="102">
        <f>IF(Table_Perf_S01[[#This Row],[Year]]&gt;2050,NA(),_xlfn.AGGREGATE(9,6,Table_Perf_S01[[#This Row],[Measure Cost ($)]],Table_Perf_S01[[#This Row],[LL97 Adjusted Penalty After Measures]]))</f>
        <v>0</v>
      </c>
      <c r="AG64" s="106">
        <f>Table_Perf_S01[[#This Row],[Year]]</f>
        <v>2040</v>
      </c>
      <c r="AH64" s="99">
        <f>COUNTIFS(Table_ECM_S01[When will the measure installation be complete and operational?],"&lt;="&amp;Table_Perf_S01[[#This Row],[Yr]],Table_ECM_S01[Would you like to Include this measure in the decarbonization pathway?],TRUE)</f>
        <v>15</v>
      </c>
      <c r="AI64" s="99" t="str">
        <f>IF(Table_Perf_S01[[#This Row],[Measure Qty]]=AH63,"",_xlfn.CONCAT(Table_Perf_S01[[#This Row],[Measure Qty]], " Measures Done"))</f>
        <v/>
      </c>
      <c r="AJ64" s="107" t="e">
        <f>IF(Table_Perf_S01[[#This Row],[Measure Label]]="",NA(),Table_Perf_S01[[#This Row],[LL97 Emissions After Measures]])</f>
        <v>#N/A</v>
      </c>
    </row>
    <row r="65" spans="1:55" hidden="1" outlineLevel="1">
      <c r="C65" s="98">
        <v>17</v>
      </c>
      <c r="D65" s="108">
        <f>IF(BaseYr+Table_Perf_S01[[#This Row],['#]]&gt;EndYr,NA(),BaseYr+Table_Perf_S01[[#This Row],['#]])</f>
        <v>2041</v>
      </c>
      <c r="E65" s="109" cm="1">
        <f t="array" ref="E65">MAX(0,IF(Table_Perf_S01[[#This Row],[Year]]=BaseYr,IFERROR(Table_UtilityInputS1[Annual Electricity 
(kWh)]*3.412,0),
(E64-3.412*SUMIFS(Table_ECM_S01[Annual Electricity Savings
(kWh)],Table_ECM_S01[When will the measure installation be complete and operational?],Table_Perf_S01[[#This Row],[Year]],Table_ECM_S01[Would you like to Include this measure in the decarbonization pathway?],TRUE))))</f>
        <v>1944734.2279999999</v>
      </c>
      <c r="F65" s="109" cm="1">
        <f t="array" ref="F65">MAX(0,IF(Table_Perf_S01[[#This Row],[Year]]=BaseYr,IFERROR(Table_UtilityInputS1[Annual Natural Gas  
(therm)]*100,0),
(F64-100*SUMIFS(Table_ECM_S01[Annual Natural Gas Savings
(therm)],Table_ECM_S01[When will the measure installation be complete and operational?],Table_Perf_S01[[#This Row],[Year]],Table_ECM_S01[Would you like to Include this measure in the decarbonization pathway?],TRUE))))</f>
        <v>1413700</v>
      </c>
      <c r="G65" s="109" cm="1">
        <f t="array" ref="G65">MAX(0,IF(Table_Perf_S01[[#This Row],[Year]]=BaseYr,IFERROR(Table_UtilityInputS1[Annual Fuel Oil'#2
(Gallon)]*138,0),
(G64-138*SUMIFS(Table_ECM_S01[Annual Fuel Oil'#2 Savings
(Gallon)],Table_ECM_S01[When will the measure installation be complete and operational?],Table_Perf_S01[[#This Row],[Year]],Table_ECM_S01[Would you like to Include this measure in the decarbonization pathway?],TRUE))))</f>
        <v>0</v>
      </c>
      <c r="H65" s="109" cm="1">
        <f t="array" ref="H65">MAX(0,IF(Table_Perf_S01[[#This Row],[Year]]=BaseYr,IFERROR(Table_UtilityInputS1[Annual District Steam  
(Mlb for ConEd, kLb for others)]*1194,0),
(H64-1194*SUMIFS(Table_ECM_S01[Annual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65" s="109" cm="1">
        <f t="array" ref="I65">MAX(0,IF(Table_Perf_S01[[#This Row],[Year]]=BaseYr,IFERROR(Table_UtilityInputS1[Annual Other Fuel 1
(kBtu)],0),
(I64-SUMIFS(Table_ECM_S01[Annual Other Fuel 1 Savings
(kBtu)],Table_ECM_S01[When will the measure installation be complete and operational?],Table_Perf_S01[[#This Row],[Year]],Table_ECM_S01[Would you like to Include this measure in the decarbonization pathway?],TRUE))))</f>
        <v>0</v>
      </c>
      <c r="J65" s="110" cm="1">
        <f t="array" ref="J65">MAX(0,IF(Table_Perf_S01[[#This Row],[Year]]=BaseYr,IFERROR(Table_UtilityInputS1[Annual Other Fuel 2
(kBtu)],0),
(J64-SUMIFS(Table_ECM_S01[Annual Other Fuel 2 Savings
(kBtu)],Table_ECM_S01[When will the measure installation be complete and operational?],Table_Perf_S01[[#This Row],[Year]],Table_ECM_S01[Would you like to Include this measure in the decarbonization pathway?],TRUE))))</f>
        <v>0</v>
      </c>
      <c r="K65" s="101">
        <f>-SUMIFS(Table_ECM_S01[Cost to Install Measures ($)],Table_ECM_S01[When will the measure installation be complete and operational?],Table_Perf_S01[[#This Row],[Year]],Table_ECM_S01[Would you like to Include this measure in the decarbonization pathway?],TRUE)</f>
        <v>0</v>
      </c>
      <c r="L65" s="102" cm="1">
        <f t="array" ref="L65">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65" s="103"/>
      <c r="N65" s="100" cm="1">
        <f t="array" ref="N65">Table_Perf_S01[[#This Row],[Electricity (kBtu)]]*INDEX(Table_UtilityDecarb[Carbon Intensity (tCO2e/kBtu)],MATCH(N$46&amp;Table_Perf_S01[[#This Row],[Year]],Table_UtilityDecarb[Fuel Type]&amp;Table_UtilityDecarb[Year],0))</f>
        <v>41.3227525</v>
      </c>
      <c r="O65" s="100">
        <f>Table_Perf_S01[[#This Row],[Natural Gas (kBtu)]]*INDEX(Table_UtilityDecarb[Carbon Intensity (tCO2e/kBtu)],MATCH(O$46,Table_UtilityDecarb[Fuel Type],0))</f>
        <v>75.081606999999991</v>
      </c>
      <c r="P65" s="100">
        <f>Table_Perf_S01[[#This Row],[Fuel Oil'#2 (kBtu)]]*INDEX(Table_UtilityDecarb[Carbon Intensity (tCO2e/kBtu)],MATCH(P$46,Table_UtilityDecarb[Fuel Type],0))</f>
        <v>0</v>
      </c>
      <c r="Q65" s="100" cm="1">
        <f t="array" ref="Q65">Table_Perf_S01[[#This Row],[District Steam (kBtu)]]*INDEX(Table_UtilityDecarb[Carbon Intensity (tCO2e/kBtu)],MATCH(Q$46&amp;Table_Perf_S01[[#This Row],[Year]],Table_UtilityDecarb[Fuel Type]&amp;Table_UtilityDecarb[Year],0))</f>
        <v>0</v>
      </c>
      <c r="R65" s="100" cm="1">
        <f t="array" ref="R65">IF(OR(Table_UtilityInputS1[Annual Other Fuel 1
(kBtu)]="",NOT(ISNUMBER(Table_UtilityInputS1[Annual Other Fuel 1
(kBtu)]))),0,Table_Perf_S01[[#This Row],[Other Fuel 1 (kBtu)]]*INDEX(Table_UtilityDecarb[Carbon Intensity (tCO2e/kBtu)],MATCH(R$46,Table_UtilityDecarb[Fuel Type],0)))</f>
        <v>0</v>
      </c>
      <c r="S65" s="100" cm="1">
        <f t="array" ref="S65">IF(OR(Table_UtilityInputS1[Annual Other Fuel 2
(kBtu)]="",NOT(ISNUMBER(Table_UtilityInputS1[Annual Other Fuel 2
(kBtu)]))),0,Table_Perf_S01[[#This Row],[Other Fuel 2 (kBtu)]]*INDEX(Table_UtilityDecarb[Carbon Intensity (tCO2e/kBtu)],MATCH(S$46,Table_UtilityDecarb[Fuel Type],0)))</f>
        <v>0</v>
      </c>
      <c r="T65" s="100">
        <f>IF(Table_Perf_S01[[#This Row],[Year]]&gt;2050,NA(),_xlfn.AGGREGATE(9,6,Table_Perf_S01[[#This Row],[LL97 Electricity (tCO2e)]:[LL97 Other Fuel 2 (tCO2e)]]))</f>
        <v>116.4043595</v>
      </c>
      <c r="U65" s="100">
        <f>IF(Table_Perf_S01[[#This Row],[Year]]&lt;2035,NA(),INDEX(Table_LimitsCalc_Sample1[Total Limits (tCO2e)],MATCH(Table_Perf_S01[[#This Row],[Year]],Table_LimitsCalc_Sample1[Year],0)))</f>
        <v>117.39162589999999</v>
      </c>
      <c r="V65" s="100" cm="1">
        <f t="array" ref="V65">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272.52461199999999</v>
      </c>
      <c r="W65" s="100">
        <f>IF(Table_Perf_S01[[#This Row],[LL97 Emissions Limit (tCO2e)]]="",0,MAX(0,Table_Perf_S01[[#This Row],[LL97 Business-As-Usual Emissions]]-Table_Perf_S01[[#This Row],[LL97 Emissions Limit (tCO2e)]]))</f>
        <v>155.13298609999998</v>
      </c>
      <c r="X65" s="100">
        <f>IF(Table_Perf_S01[[#This Row],[LL97 Emissions Limit (tCO2e)]]="",0,MAX(0,Table_Perf_S01[[#This Row],[LL97 Emissions After Measures]]-Table_Perf_S01[[#This Row],[LL97 Emissions Limit (tCO2e)]]))</f>
        <v>0</v>
      </c>
      <c r="Y65" s="100">
        <f>Table_Perf_S01[[#This Row],[LL97 Business-As-Usual Emissions]]-Table_Perf_S01[[#This Row],[LL97 Emissions After Measures]]</f>
        <v>156.12025249999999</v>
      </c>
      <c r="Z65" s="102" t="str">
        <f>IF(Table_Perf_S01[[#This Row],[Year]]&lt;2024,"Not in enforcement period",IF(Table_Perf_S01[[#This Row],[LL97 Excess Emissions After Measures]]=0,"Compliant","Not-Compliant"))</f>
        <v>Compliant</v>
      </c>
      <c r="AA65" s="104">
        <f>IFERROR(-268*Table_Perf_S01[[#This Row],[LL97 Excess Emissions After Measures]],0)</f>
        <v>0</v>
      </c>
      <c r="AB65" s="102">
        <f>IFERROR(268*MIN(Table_Perf_S01[[#This Row],[LL97 BAU Excess Emissions]],Table_Perf_S01[[#This Row],[LL97 Emissions Reduced by Measures]]),0)</f>
        <v>41575.640274799996</v>
      </c>
      <c r="AC65" s="105">
        <f>IF(OR(Table_Perf_S01[[#This Row],[Year]]&lt;2024,Table_Perf_S01[[#This Row],[Year]]&gt;2050,ISERROR(Table_Perf_S01[[#This Row],[LL97 Adjusted Penalty After Measures]])),"",Table_Perf_S01[[#This Row],[LL97 Adjusted Penalty After Measures]])</f>
        <v>0</v>
      </c>
      <c r="AD65" s="102">
        <f>IF(Table_Perf_S01[[#This Row],[Year]]&gt;2050,NA(),_xlfn.AGGREGATE(9,6,Table_Perf_S01[[#This Row],[Measure Cost ($)]],Table_Perf_S01[[#This Row],[Utility Savings ($)]],Table_Perf_S01[[#This Row],[LL97 Penalty Avoided by Measures ($)]]))</f>
        <v>72917.640274799996</v>
      </c>
      <c r="AE65" s="102">
        <f>SUM($AD$48:AD65)</f>
        <v>-101725.92776360003</v>
      </c>
      <c r="AF65" s="102">
        <f>IF(Table_Perf_S01[[#This Row],[Year]]&gt;2050,NA(),_xlfn.AGGREGATE(9,6,Table_Perf_S01[[#This Row],[Measure Cost ($)]],Table_Perf_S01[[#This Row],[LL97 Adjusted Penalty After Measures]]))</f>
        <v>0</v>
      </c>
      <c r="AG65" s="106">
        <f>Table_Perf_S01[[#This Row],[Year]]</f>
        <v>2041</v>
      </c>
      <c r="AH65" s="99">
        <f>COUNTIFS(Table_ECM_S01[When will the measure installation be complete and operational?],"&lt;="&amp;Table_Perf_S01[[#This Row],[Yr]],Table_ECM_S01[Would you like to Include this measure in the decarbonization pathway?],TRUE)</f>
        <v>15</v>
      </c>
      <c r="AI65" s="99" t="str">
        <f>IF(Table_Perf_S01[[#This Row],[Measure Qty]]=AH64,"",_xlfn.CONCAT(Table_Perf_S01[[#This Row],[Measure Qty]], " Measures Done"))</f>
        <v/>
      </c>
      <c r="AJ65" s="107" t="e">
        <f>IF(Table_Perf_S01[[#This Row],[Measure Label]]="",NA(),Table_Perf_S01[[#This Row],[LL97 Emissions After Measures]])</f>
        <v>#N/A</v>
      </c>
    </row>
    <row r="66" spans="1:55" hidden="1" outlineLevel="1">
      <c r="C66" s="98">
        <v>18</v>
      </c>
      <c r="D66" s="108">
        <f>IF(BaseYr+Table_Perf_S01[[#This Row],['#]]&gt;EndYr,NA(),BaseYr+Table_Perf_S01[[#This Row],['#]])</f>
        <v>2042</v>
      </c>
      <c r="E66" s="109" cm="1">
        <f t="array" ref="E66">MAX(0,IF(Table_Perf_S01[[#This Row],[Year]]=BaseYr,IFERROR(Table_UtilityInputS1[Annual Electricity 
(kWh)]*3.412,0),
(E65-3.412*SUMIFS(Table_ECM_S01[Annual Electricity Savings
(kWh)],Table_ECM_S01[When will the measure installation be complete and operational?],Table_Perf_S01[[#This Row],[Year]],Table_ECM_S01[Would you like to Include this measure in the decarbonization pathway?],TRUE))))</f>
        <v>1944734.2279999999</v>
      </c>
      <c r="F66" s="109" cm="1">
        <f t="array" ref="F66">MAX(0,IF(Table_Perf_S01[[#This Row],[Year]]=BaseYr,IFERROR(Table_UtilityInputS1[Annual Natural Gas  
(therm)]*100,0),
(F65-100*SUMIFS(Table_ECM_S01[Annual Natural Gas Savings
(therm)],Table_ECM_S01[When will the measure installation be complete and operational?],Table_Perf_S01[[#This Row],[Year]],Table_ECM_S01[Would you like to Include this measure in the decarbonization pathway?],TRUE))))</f>
        <v>1413700</v>
      </c>
      <c r="G66" s="109" cm="1">
        <f t="array" ref="G66">MAX(0,IF(Table_Perf_S01[[#This Row],[Year]]=BaseYr,IFERROR(Table_UtilityInputS1[Annual Fuel Oil'#2
(Gallon)]*138,0),
(G65-138*SUMIFS(Table_ECM_S01[Annual Fuel Oil'#2 Savings
(Gallon)],Table_ECM_S01[When will the measure installation be complete and operational?],Table_Perf_S01[[#This Row],[Year]],Table_ECM_S01[Would you like to Include this measure in the decarbonization pathway?],TRUE))))</f>
        <v>0</v>
      </c>
      <c r="H66" s="109" cm="1">
        <f t="array" ref="H66">MAX(0,IF(Table_Perf_S01[[#This Row],[Year]]=BaseYr,IFERROR(Table_UtilityInputS1[Annual District Steam  
(Mlb for ConEd, kLb for others)]*1194,0),
(H65-1194*SUMIFS(Table_ECM_S01[Annual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66" s="109" cm="1">
        <f t="array" ref="I66">MAX(0,IF(Table_Perf_S01[[#This Row],[Year]]=BaseYr,IFERROR(Table_UtilityInputS1[Annual Other Fuel 1
(kBtu)],0),
(I65-SUMIFS(Table_ECM_S01[Annual Other Fuel 1 Savings
(kBtu)],Table_ECM_S01[When will the measure installation be complete and operational?],Table_Perf_S01[[#This Row],[Year]],Table_ECM_S01[Would you like to Include this measure in the decarbonization pathway?],TRUE))))</f>
        <v>0</v>
      </c>
      <c r="J66" s="110" cm="1">
        <f t="array" ref="J66">MAX(0,IF(Table_Perf_S01[[#This Row],[Year]]=BaseYr,IFERROR(Table_UtilityInputS1[Annual Other Fuel 2
(kBtu)],0),
(J65-SUMIFS(Table_ECM_S01[Annual Other Fuel 2 Savings
(kBtu)],Table_ECM_S01[When will the measure installation be complete and operational?],Table_Perf_S01[[#This Row],[Year]],Table_ECM_S01[Would you like to Include this measure in the decarbonization pathway?],TRUE))))</f>
        <v>0</v>
      </c>
      <c r="K66" s="101">
        <f>-SUMIFS(Table_ECM_S01[Cost to Install Measures ($)],Table_ECM_S01[When will the measure installation be complete and operational?],Table_Perf_S01[[#This Row],[Year]],Table_ECM_S01[Would you like to Include this measure in the decarbonization pathway?],TRUE)</f>
        <v>0</v>
      </c>
      <c r="L66" s="102" cm="1">
        <f t="array" ref="L66">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66" s="103"/>
      <c r="N66" s="100" cm="1">
        <f t="array" ref="N66">Table_Perf_S01[[#This Row],[Electricity (kBtu)]]*INDEX(Table_UtilityDecarb[Carbon Intensity (tCO2e/kBtu)],MATCH(N$46&amp;Table_Perf_S01[[#This Row],[Year]],Table_UtilityDecarb[Fuel Type]&amp;Table_UtilityDecarb[Year],0))</f>
        <v>41.3227525</v>
      </c>
      <c r="O66" s="100">
        <f>Table_Perf_S01[[#This Row],[Natural Gas (kBtu)]]*INDEX(Table_UtilityDecarb[Carbon Intensity (tCO2e/kBtu)],MATCH(O$46,Table_UtilityDecarb[Fuel Type],0))</f>
        <v>75.081606999999991</v>
      </c>
      <c r="P66" s="100">
        <f>Table_Perf_S01[[#This Row],[Fuel Oil'#2 (kBtu)]]*INDEX(Table_UtilityDecarb[Carbon Intensity (tCO2e/kBtu)],MATCH(P$46,Table_UtilityDecarb[Fuel Type],0))</f>
        <v>0</v>
      </c>
      <c r="Q66" s="100" cm="1">
        <f t="array" ref="Q66">Table_Perf_S01[[#This Row],[District Steam (kBtu)]]*INDEX(Table_UtilityDecarb[Carbon Intensity (tCO2e/kBtu)],MATCH(Q$46&amp;Table_Perf_S01[[#This Row],[Year]],Table_UtilityDecarb[Fuel Type]&amp;Table_UtilityDecarb[Year],0))</f>
        <v>0</v>
      </c>
      <c r="R66" s="100" cm="1">
        <f t="array" ref="R66">IF(OR(Table_UtilityInputS1[Annual Other Fuel 1
(kBtu)]="",NOT(ISNUMBER(Table_UtilityInputS1[Annual Other Fuel 1
(kBtu)]))),0,Table_Perf_S01[[#This Row],[Other Fuel 1 (kBtu)]]*INDEX(Table_UtilityDecarb[Carbon Intensity (tCO2e/kBtu)],MATCH(R$46,Table_UtilityDecarb[Fuel Type],0)))</f>
        <v>0</v>
      </c>
      <c r="S66" s="100" cm="1">
        <f t="array" ref="S66">IF(OR(Table_UtilityInputS1[Annual Other Fuel 2
(kBtu)]="",NOT(ISNUMBER(Table_UtilityInputS1[Annual Other Fuel 2
(kBtu)]))),0,Table_Perf_S01[[#This Row],[Other Fuel 2 (kBtu)]]*INDEX(Table_UtilityDecarb[Carbon Intensity (tCO2e/kBtu)],MATCH(S$46,Table_UtilityDecarb[Fuel Type],0)))</f>
        <v>0</v>
      </c>
      <c r="T66" s="100">
        <f>IF(Table_Perf_S01[[#This Row],[Year]]&gt;2050,NA(),_xlfn.AGGREGATE(9,6,Table_Perf_S01[[#This Row],[LL97 Electricity (tCO2e)]:[LL97 Other Fuel 2 (tCO2e)]]))</f>
        <v>116.4043595</v>
      </c>
      <c r="U66" s="100">
        <f>IF(Table_Perf_S01[[#This Row],[Year]]&lt;2035,NA(),INDEX(Table_LimitsCalc_Sample1[Total Limits (tCO2e)],MATCH(Table_Perf_S01[[#This Row],[Year]],Table_LimitsCalc_Sample1[Year],0)))</f>
        <v>117.39162589999999</v>
      </c>
      <c r="V66" s="100" cm="1">
        <f t="array" ref="V66">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272.52461199999999</v>
      </c>
      <c r="W66" s="100">
        <f>IF(Table_Perf_S01[[#This Row],[LL97 Emissions Limit (tCO2e)]]="",0,MAX(0,Table_Perf_S01[[#This Row],[LL97 Business-As-Usual Emissions]]-Table_Perf_S01[[#This Row],[LL97 Emissions Limit (tCO2e)]]))</f>
        <v>155.13298609999998</v>
      </c>
      <c r="X66" s="100">
        <f>IF(Table_Perf_S01[[#This Row],[LL97 Emissions Limit (tCO2e)]]="",0,MAX(0,Table_Perf_S01[[#This Row],[LL97 Emissions After Measures]]-Table_Perf_S01[[#This Row],[LL97 Emissions Limit (tCO2e)]]))</f>
        <v>0</v>
      </c>
      <c r="Y66" s="100">
        <f>Table_Perf_S01[[#This Row],[LL97 Business-As-Usual Emissions]]-Table_Perf_S01[[#This Row],[LL97 Emissions After Measures]]</f>
        <v>156.12025249999999</v>
      </c>
      <c r="Z66" s="102" t="str">
        <f>IF(Table_Perf_S01[[#This Row],[Year]]&lt;2024,"Not in enforcement period",IF(Table_Perf_S01[[#This Row],[LL97 Excess Emissions After Measures]]=0,"Compliant","Not-Compliant"))</f>
        <v>Compliant</v>
      </c>
      <c r="AA66" s="104">
        <f>IFERROR(-268*Table_Perf_S01[[#This Row],[LL97 Excess Emissions After Measures]],0)</f>
        <v>0</v>
      </c>
      <c r="AB66" s="102">
        <f>IFERROR(268*MIN(Table_Perf_S01[[#This Row],[LL97 BAU Excess Emissions]],Table_Perf_S01[[#This Row],[LL97 Emissions Reduced by Measures]]),0)</f>
        <v>41575.640274799996</v>
      </c>
      <c r="AC66" s="105">
        <f>IF(OR(Table_Perf_S01[[#This Row],[Year]]&lt;2024,Table_Perf_S01[[#This Row],[Year]]&gt;2050,ISERROR(Table_Perf_S01[[#This Row],[LL97 Adjusted Penalty After Measures]])),"",Table_Perf_S01[[#This Row],[LL97 Adjusted Penalty After Measures]])</f>
        <v>0</v>
      </c>
      <c r="AD66" s="102">
        <f>IF(Table_Perf_S01[[#This Row],[Year]]&gt;2050,NA(),_xlfn.AGGREGATE(9,6,Table_Perf_S01[[#This Row],[Measure Cost ($)]],Table_Perf_S01[[#This Row],[Utility Savings ($)]],Table_Perf_S01[[#This Row],[LL97 Penalty Avoided by Measures ($)]]))</f>
        <v>72917.640274799996</v>
      </c>
      <c r="AE66" s="102">
        <f>SUM($AD$48:AD66)</f>
        <v>-28808.287488800037</v>
      </c>
      <c r="AF66" s="102">
        <f>IF(Table_Perf_S01[[#This Row],[Year]]&gt;2050,NA(),_xlfn.AGGREGATE(9,6,Table_Perf_S01[[#This Row],[Measure Cost ($)]],Table_Perf_S01[[#This Row],[LL97 Adjusted Penalty After Measures]]))</f>
        <v>0</v>
      </c>
      <c r="AG66" s="106">
        <f>Table_Perf_S01[[#This Row],[Year]]</f>
        <v>2042</v>
      </c>
      <c r="AH66" s="99">
        <f>COUNTIFS(Table_ECM_S01[When will the measure installation be complete and operational?],"&lt;="&amp;Table_Perf_S01[[#This Row],[Yr]],Table_ECM_S01[Would you like to Include this measure in the decarbonization pathway?],TRUE)</f>
        <v>15</v>
      </c>
      <c r="AI66" s="99" t="str">
        <f>IF(Table_Perf_S01[[#This Row],[Measure Qty]]=AH65,"",_xlfn.CONCAT(Table_Perf_S01[[#This Row],[Measure Qty]], " Measures Done"))</f>
        <v/>
      </c>
      <c r="AJ66" s="107" t="e">
        <f>IF(Table_Perf_S01[[#This Row],[Measure Label]]="",NA(),Table_Perf_S01[[#This Row],[LL97 Emissions After Measures]])</f>
        <v>#N/A</v>
      </c>
    </row>
    <row r="67" spans="1:55" hidden="1" outlineLevel="1">
      <c r="C67" s="98">
        <v>19</v>
      </c>
      <c r="D67" s="108">
        <f>IF(BaseYr+Table_Perf_S01[[#This Row],['#]]&gt;EndYr,NA(),BaseYr+Table_Perf_S01[[#This Row],['#]])</f>
        <v>2043</v>
      </c>
      <c r="E67" s="109" cm="1">
        <f t="array" ref="E67">MAX(0,IF(Table_Perf_S01[[#This Row],[Year]]=BaseYr,IFERROR(Table_UtilityInputS1[Annual Electricity 
(kWh)]*3.412,0),
(E66-3.412*SUMIFS(Table_ECM_S01[Annual Electricity Savings
(kWh)],Table_ECM_S01[When will the measure installation be complete and operational?],Table_Perf_S01[[#This Row],[Year]],Table_ECM_S01[Would you like to Include this measure in the decarbonization pathway?],TRUE))))</f>
        <v>1944734.2279999999</v>
      </c>
      <c r="F67" s="109" cm="1">
        <f t="array" ref="F67">MAX(0,IF(Table_Perf_S01[[#This Row],[Year]]=BaseYr,IFERROR(Table_UtilityInputS1[Annual Natural Gas  
(therm)]*100,0),
(F66-100*SUMIFS(Table_ECM_S01[Annual Natural Gas Savings
(therm)],Table_ECM_S01[When will the measure installation be complete and operational?],Table_Perf_S01[[#This Row],[Year]],Table_ECM_S01[Would you like to Include this measure in the decarbonization pathway?],TRUE))))</f>
        <v>1413700</v>
      </c>
      <c r="G67" s="109" cm="1">
        <f t="array" ref="G67">MAX(0,IF(Table_Perf_S01[[#This Row],[Year]]=BaseYr,IFERROR(Table_UtilityInputS1[Annual Fuel Oil'#2
(Gallon)]*138,0),
(G66-138*SUMIFS(Table_ECM_S01[Annual Fuel Oil'#2 Savings
(Gallon)],Table_ECM_S01[When will the measure installation be complete and operational?],Table_Perf_S01[[#This Row],[Year]],Table_ECM_S01[Would you like to Include this measure in the decarbonization pathway?],TRUE))))</f>
        <v>0</v>
      </c>
      <c r="H67" s="109" cm="1">
        <f t="array" ref="H67">MAX(0,IF(Table_Perf_S01[[#This Row],[Year]]=BaseYr,IFERROR(Table_UtilityInputS1[Annual District Steam  
(Mlb for ConEd, kLb for others)]*1194,0),
(H66-1194*SUMIFS(Table_ECM_S01[Annual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67" s="109" cm="1">
        <f t="array" ref="I67">MAX(0,IF(Table_Perf_S01[[#This Row],[Year]]=BaseYr,IFERROR(Table_UtilityInputS1[Annual Other Fuel 1
(kBtu)],0),
(I66-SUMIFS(Table_ECM_S01[Annual Other Fuel 1 Savings
(kBtu)],Table_ECM_S01[When will the measure installation be complete and operational?],Table_Perf_S01[[#This Row],[Year]],Table_ECM_S01[Would you like to Include this measure in the decarbonization pathway?],TRUE))))</f>
        <v>0</v>
      </c>
      <c r="J67" s="110" cm="1">
        <f t="array" ref="J67">MAX(0,IF(Table_Perf_S01[[#This Row],[Year]]=BaseYr,IFERROR(Table_UtilityInputS1[Annual Other Fuel 2
(kBtu)],0),
(J66-SUMIFS(Table_ECM_S01[Annual Other Fuel 2 Savings
(kBtu)],Table_ECM_S01[When will the measure installation be complete and operational?],Table_Perf_S01[[#This Row],[Year]],Table_ECM_S01[Would you like to Include this measure in the decarbonization pathway?],TRUE))))</f>
        <v>0</v>
      </c>
      <c r="K67" s="101">
        <f>-SUMIFS(Table_ECM_S01[Cost to Install Measures ($)],Table_ECM_S01[When will the measure installation be complete and operational?],Table_Perf_S01[[#This Row],[Year]],Table_ECM_S01[Would you like to Include this measure in the decarbonization pathway?],TRUE)</f>
        <v>0</v>
      </c>
      <c r="L67" s="102" cm="1">
        <f t="array" ref="L67">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67" s="103"/>
      <c r="N67" s="100" cm="1">
        <f t="array" ref="N67">Table_Perf_S01[[#This Row],[Electricity (kBtu)]]*INDEX(Table_UtilityDecarb[Carbon Intensity (tCO2e/kBtu)],MATCH(N$46&amp;Table_Perf_S01[[#This Row],[Year]],Table_UtilityDecarb[Fuel Type]&amp;Table_UtilityDecarb[Year],0))</f>
        <v>41.3227525</v>
      </c>
      <c r="O67" s="100">
        <f>Table_Perf_S01[[#This Row],[Natural Gas (kBtu)]]*INDEX(Table_UtilityDecarb[Carbon Intensity (tCO2e/kBtu)],MATCH(O$46,Table_UtilityDecarb[Fuel Type],0))</f>
        <v>75.081606999999991</v>
      </c>
      <c r="P67" s="100">
        <f>Table_Perf_S01[[#This Row],[Fuel Oil'#2 (kBtu)]]*INDEX(Table_UtilityDecarb[Carbon Intensity (tCO2e/kBtu)],MATCH(P$46,Table_UtilityDecarb[Fuel Type],0))</f>
        <v>0</v>
      </c>
      <c r="Q67" s="100" cm="1">
        <f t="array" ref="Q67">Table_Perf_S01[[#This Row],[District Steam (kBtu)]]*INDEX(Table_UtilityDecarb[Carbon Intensity (tCO2e/kBtu)],MATCH(Q$46&amp;Table_Perf_S01[[#This Row],[Year]],Table_UtilityDecarb[Fuel Type]&amp;Table_UtilityDecarb[Year],0))</f>
        <v>0</v>
      </c>
      <c r="R67" s="100" cm="1">
        <f t="array" ref="R67">IF(OR(Table_UtilityInputS1[Annual Other Fuel 1
(kBtu)]="",NOT(ISNUMBER(Table_UtilityInputS1[Annual Other Fuel 1
(kBtu)]))),0,Table_Perf_S01[[#This Row],[Other Fuel 1 (kBtu)]]*INDEX(Table_UtilityDecarb[Carbon Intensity (tCO2e/kBtu)],MATCH(R$46,Table_UtilityDecarb[Fuel Type],0)))</f>
        <v>0</v>
      </c>
      <c r="S67" s="100" cm="1">
        <f t="array" ref="S67">IF(OR(Table_UtilityInputS1[Annual Other Fuel 2
(kBtu)]="",NOT(ISNUMBER(Table_UtilityInputS1[Annual Other Fuel 2
(kBtu)]))),0,Table_Perf_S01[[#This Row],[Other Fuel 2 (kBtu)]]*INDEX(Table_UtilityDecarb[Carbon Intensity (tCO2e/kBtu)],MATCH(S$46,Table_UtilityDecarb[Fuel Type],0)))</f>
        <v>0</v>
      </c>
      <c r="T67" s="100">
        <f>IF(Table_Perf_S01[[#This Row],[Year]]&gt;2050,NA(),_xlfn.AGGREGATE(9,6,Table_Perf_S01[[#This Row],[LL97 Electricity (tCO2e)]:[LL97 Other Fuel 2 (tCO2e)]]))</f>
        <v>116.4043595</v>
      </c>
      <c r="U67" s="100">
        <f>IF(Table_Perf_S01[[#This Row],[Year]]&lt;2035,NA(),INDEX(Table_LimitsCalc_Sample1[Total Limits (tCO2e)],MATCH(Table_Perf_S01[[#This Row],[Year]],Table_LimitsCalc_Sample1[Year],0)))</f>
        <v>117.39162589999999</v>
      </c>
      <c r="V67" s="100" cm="1">
        <f t="array" ref="V67">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272.52461199999999</v>
      </c>
      <c r="W67" s="100">
        <f>IF(Table_Perf_S01[[#This Row],[LL97 Emissions Limit (tCO2e)]]="",0,MAX(0,Table_Perf_S01[[#This Row],[LL97 Business-As-Usual Emissions]]-Table_Perf_S01[[#This Row],[LL97 Emissions Limit (tCO2e)]]))</f>
        <v>155.13298609999998</v>
      </c>
      <c r="X67" s="100">
        <f>IF(Table_Perf_S01[[#This Row],[LL97 Emissions Limit (tCO2e)]]="",0,MAX(0,Table_Perf_S01[[#This Row],[LL97 Emissions After Measures]]-Table_Perf_S01[[#This Row],[LL97 Emissions Limit (tCO2e)]]))</f>
        <v>0</v>
      </c>
      <c r="Y67" s="100">
        <f>Table_Perf_S01[[#This Row],[LL97 Business-As-Usual Emissions]]-Table_Perf_S01[[#This Row],[LL97 Emissions After Measures]]</f>
        <v>156.12025249999999</v>
      </c>
      <c r="Z67" s="102" t="str">
        <f>IF(Table_Perf_S01[[#This Row],[Year]]&lt;2024,"Not in enforcement period",IF(Table_Perf_S01[[#This Row],[LL97 Excess Emissions After Measures]]=0,"Compliant","Not-Compliant"))</f>
        <v>Compliant</v>
      </c>
      <c r="AA67" s="104">
        <f>IFERROR(-268*Table_Perf_S01[[#This Row],[LL97 Excess Emissions After Measures]],0)</f>
        <v>0</v>
      </c>
      <c r="AB67" s="102">
        <f>IFERROR(268*MIN(Table_Perf_S01[[#This Row],[LL97 BAU Excess Emissions]],Table_Perf_S01[[#This Row],[LL97 Emissions Reduced by Measures]]),0)</f>
        <v>41575.640274799996</v>
      </c>
      <c r="AC67" s="105">
        <f>IF(OR(Table_Perf_S01[[#This Row],[Year]]&lt;2024,Table_Perf_S01[[#This Row],[Year]]&gt;2050,ISERROR(Table_Perf_S01[[#This Row],[LL97 Adjusted Penalty After Measures]])),"",Table_Perf_S01[[#This Row],[LL97 Adjusted Penalty After Measures]])</f>
        <v>0</v>
      </c>
      <c r="AD67" s="102">
        <f>IF(Table_Perf_S01[[#This Row],[Year]]&gt;2050,NA(),_xlfn.AGGREGATE(9,6,Table_Perf_S01[[#This Row],[Measure Cost ($)]],Table_Perf_S01[[#This Row],[Utility Savings ($)]],Table_Perf_S01[[#This Row],[LL97 Penalty Avoided by Measures ($)]]))</f>
        <v>72917.640274799996</v>
      </c>
      <c r="AE67" s="102">
        <f>SUM($AD$48:AD67)</f>
        <v>44109.352785999959</v>
      </c>
      <c r="AF67" s="102">
        <f>IF(Table_Perf_S01[[#This Row],[Year]]&gt;2050,NA(),_xlfn.AGGREGATE(9,6,Table_Perf_S01[[#This Row],[Measure Cost ($)]],Table_Perf_S01[[#This Row],[LL97 Adjusted Penalty After Measures]]))</f>
        <v>0</v>
      </c>
      <c r="AG67" s="106">
        <f>Table_Perf_S01[[#This Row],[Year]]</f>
        <v>2043</v>
      </c>
      <c r="AH67" s="99">
        <f>COUNTIFS(Table_ECM_S01[When will the measure installation be complete and operational?],"&lt;="&amp;Table_Perf_S01[[#This Row],[Yr]],Table_ECM_S01[Would you like to Include this measure in the decarbonization pathway?],TRUE)</f>
        <v>15</v>
      </c>
      <c r="AI67" s="99" t="str">
        <f>IF(Table_Perf_S01[[#This Row],[Measure Qty]]=AH66,"",_xlfn.CONCAT(Table_Perf_S01[[#This Row],[Measure Qty]], " Measures Done"))</f>
        <v/>
      </c>
      <c r="AJ67" s="107" t="e">
        <f>IF(Table_Perf_S01[[#This Row],[Measure Label]]="",NA(),Table_Perf_S01[[#This Row],[LL97 Emissions After Measures]])</f>
        <v>#N/A</v>
      </c>
    </row>
    <row r="68" spans="1:55" hidden="1" outlineLevel="1">
      <c r="C68" s="98">
        <v>20</v>
      </c>
      <c r="D68" s="108">
        <f>IF(BaseYr+Table_Perf_S01[[#This Row],['#]]&gt;EndYr,NA(),BaseYr+Table_Perf_S01[[#This Row],['#]])</f>
        <v>2044</v>
      </c>
      <c r="E68" s="109" cm="1">
        <f t="array" ref="E68">MAX(0,IF(Table_Perf_S01[[#This Row],[Year]]=BaseYr,IFERROR(Table_UtilityInputS1[Annual Electricity 
(kWh)]*3.412,0),
(E67-3.412*SUMIFS(Table_ECM_S01[Annual Electricity Savings
(kWh)],Table_ECM_S01[When will the measure installation be complete and operational?],Table_Perf_S01[[#This Row],[Year]],Table_ECM_S01[Would you like to Include this measure in the decarbonization pathway?],TRUE))))</f>
        <v>1944734.2279999999</v>
      </c>
      <c r="F68" s="109" cm="1">
        <f t="array" ref="F68">MAX(0,IF(Table_Perf_S01[[#This Row],[Year]]=BaseYr,IFERROR(Table_UtilityInputS1[Annual Natural Gas  
(therm)]*100,0),
(F67-100*SUMIFS(Table_ECM_S01[Annual Natural Gas Savings
(therm)],Table_ECM_S01[When will the measure installation be complete and operational?],Table_Perf_S01[[#This Row],[Year]],Table_ECM_S01[Would you like to Include this measure in the decarbonization pathway?],TRUE))))</f>
        <v>1413700</v>
      </c>
      <c r="G68" s="109" cm="1">
        <f t="array" ref="G68">MAX(0,IF(Table_Perf_S01[[#This Row],[Year]]=BaseYr,IFERROR(Table_UtilityInputS1[Annual Fuel Oil'#2
(Gallon)]*138,0),
(G67-138*SUMIFS(Table_ECM_S01[Annual Fuel Oil'#2 Savings
(Gallon)],Table_ECM_S01[When will the measure installation be complete and operational?],Table_Perf_S01[[#This Row],[Year]],Table_ECM_S01[Would you like to Include this measure in the decarbonization pathway?],TRUE))))</f>
        <v>0</v>
      </c>
      <c r="H68" s="109" cm="1">
        <f t="array" ref="H68">MAX(0,IF(Table_Perf_S01[[#This Row],[Year]]=BaseYr,IFERROR(Table_UtilityInputS1[Annual District Steam  
(Mlb for ConEd, kLb for others)]*1194,0),
(H67-1194*SUMIFS(Table_ECM_S01[Annual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68" s="109" cm="1">
        <f t="array" ref="I68">MAX(0,IF(Table_Perf_S01[[#This Row],[Year]]=BaseYr,IFERROR(Table_UtilityInputS1[Annual Other Fuel 1
(kBtu)],0),
(I67-SUMIFS(Table_ECM_S01[Annual Other Fuel 1 Savings
(kBtu)],Table_ECM_S01[When will the measure installation be complete and operational?],Table_Perf_S01[[#This Row],[Year]],Table_ECM_S01[Would you like to Include this measure in the decarbonization pathway?],TRUE))))</f>
        <v>0</v>
      </c>
      <c r="J68" s="110" cm="1">
        <f t="array" ref="J68">MAX(0,IF(Table_Perf_S01[[#This Row],[Year]]=BaseYr,IFERROR(Table_UtilityInputS1[Annual Other Fuel 2
(kBtu)],0),
(J67-SUMIFS(Table_ECM_S01[Annual Other Fuel 2 Savings
(kBtu)],Table_ECM_S01[When will the measure installation be complete and operational?],Table_Perf_S01[[#This Row],[Year]],Table_ECM_S01[Would you like to Include this measure in the decarbonization pathway?],TRUE))))</f>
        <v>0</v>
      </c>
      <c r="K68" s="101">
        <f>-SUMIFS(Table_ECM_S01[Cost to Install Measures ($)],Table_ECM_S01[When will the measure installation be complete and operational?],Table_Perf_S01[[#This Row],[Year]],Table_ECM_S01[Would you like to Include this measure in the decarbonization pathway?],TRUE)</f>
        <v>0</v>
      </c>
      <c r="L68" s="102" cm="1">
        <f t="array" ref="L68">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68" s="103"/>
      <c r="N68" s="100" cm="1">
        <f t="array" ref="N68">Table_Perf_S01[[#This Row],[Electricity (kBtu)]]*INDEX(Table_UtilityDecarb[Carbon Intensity (tCO2e/kBtu)],MATCH(N$46&amp;Table_Perf_S01[[#This Row],[Year]],Table_UtilityDecarb[Fuel Type]&amp;Table_UtilityDecarb[Year],0))</f>
        <v>41.3227525</v>
      </c>
      <c r="O68" s="100">
        <f>Table_Perf_S01[[#This Row],[Natural Gas (kBtu)]]*INDEX(Table_UtilityDecarb[Carbon Intensity (tCO2e/kBtu)],MATCH(O$46,Table_UtilityDecarb[Fuel Type],0))</f>
        <v>75.081606999999991</v>
      </c>
      <c r="P68" s="100">
        <f>Table_Perf_S01[[#This Row],[Fuel Oil'#2 (kBtu)]]*INDEX(Table_UtilityDecarb[Carbon Intensity (tCO2e/kBtu)],MATCH(P$46,Table_UtilityDecarb[Fuel Type],0))</f>
        <v>0</v>
      </c>
      <c r="Q68" s="100" cm="1">
        <f t="array" ref="Q68">Table_Perf_S01[[#This Row],[District Steam (kBtu)]]*INDEX(Table_UtilityDecarb[Carbon Intensity (tCO2e/kBtu)],MATCH(Q$46&amp;Table_Perf_S01[[#This Row],[Year]],Table_UtilityDecarb[Fuel Type]&amp;Table_UtilityDecarb[Year],0))</f>
        <v>0</v>
      </c>
      <c r="R68" s="100" cm="1">
        <f t="array" ref="R68">IF(OR(Table_UtilityInputS1[Annual Other Fuel 1
(kBtu)]="",NOT(ISNUMBER(Table_UtilityInputS1[Annual Other Fuel 1
(kBtu)]))),0,Table_Perf_S01[[#This Row],[Other Fuel 1 (kBtu)]]*INDEX(Table_UtilityDecarb[Carbon Intensity (tCO2e/kBtu)],MATCH(R$46,Table_UtilityDecarb[Fuel Type],0)))</f>
        <v>0</v>
      </c>
      <c r="S68" s="100" cm="1">
        <f t="array" ref="S68">IF(OR(Table_UtilityInputS1[Annual Other Fuel 2
(kBtu)]="",NOT(ISNUMBER(Table_UtilityInputS1[Annual Other Fuel 2
(kBtu)]))),0,Table_Perf_S01[[#This Row],[Other Fuel 2 (kBtu)]]*INDEX(Table_UtilityDecarb[Carbon Intensity (tCO2e/kBtu)],MATCH(S$46,Table_UtilityDecarb[Fuel Type],0)))</f>
        <v>0</v>
      </c>
      <c r="T68" s="100">
        <f>IF(Table_Perf_S01[[#This Row],[Year]]&gt;2050,NA(),_xlfn.AGGREGATE(9,6,Table_Perf_S01[[#This Row],[LL97 Electricity (tCO2e)]:[LL97 Other Fuel 2 (tCO2e)]]))</f>
        <v>116.4043595</v>
      </c>
      <c r="U68" s="100">
        <f>IF(Table_Perf_S01[[#This Row],[Year]]&lt;2035,NA(),INDEX(Table_LimitsCalc_Sample1[Total Limits (tCO2e)],MATCH(Table_Perf_S01[[#This Row],[Year]],Table_LimitsCalc_Sample1[Year],0)))</f>
        <v>117.39162589999999</v>
      </c>
      <c r="V68" s="100" cm="1">
        <f t="array" ref="V68">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272.52461199999999</v>
      </c>
      <c r="W68" s="100">
        <f>IF(Table_Perf_S01[[#This Row],[LL97 Emissions Limit (tCO2e)]]="",0,MAX(0,Table_Perf_S01[[#This Row],[LL97 Business-As-Usual Emissions]]-Table_Perf_S01[[#This Row],[LL97 Emissions Limit (tCO2e)]]))</f>
        <v>155.13298609999998</v>
      </c>
      <c r="X68" s="100">
        <f>IF(Table_Perf_S01[[#This Row],[LL97 Emissions Limit (tCO2e)]]="",0,MAX(0,Table_Perf_S01[[#This Row],[LL97 Emissions After Measures]]-Table_Perf_S01[[#This Row],[LL97 Emissions Limit (tCO2e)]]))</f>
        <v>0</v>
      </c>
      <c r="Y68" s="100">
        <f>Table_Perf_S01[[#This Row],[LL97 Business-As-Usual Emissions]]-Table_Perf_S01[[#This Row],[LL97 Emissions After Measures]]</f>
        <v>156.12025249999999</v>
      </c>
      <c r="Z68" s="102" t="str">
        <f>IF(Table_Perf_S01[[#This Row],[Year]]&lt;2024,"Not in enforcement period",IF(Table_Perf_S01[[#This Row],[LL97 Excess Emissions After Measures]]=0,"Compliant","Not-Compliant"))</f>
        <v>Compliant</v>
      </c>
      <c r="AA68" s="104">
        <f>IFERROR(-268*Table_Perf_S01[[#This Row],[LL97 Excess Emissions After Measures]],0)</f>
        <v>0</v>
      </c>
      <c r="AB68" s="102">
        <f>IFERROR(268*MIN(Table_Perf_S01[[#This Row],[LL97 BAU Excess Emissions]],Table_Perf_S01[[#This Row],[LL97 Emissions Reduced by Measures]]),0)</f>
        <v>41575.640274799996</v>
      </c>
      <c r="AC68" s="105">
        <f>IF(OR(Table_Perf_S01[[#This Row],[Year]]&lt;2024,Table_Perf_S01[[#This Row],[Year]]&gt;2050,ISERROR(Table_Perf_S01[[#This Row],[LL97 Adjusted Penalty After Measures]])),"",Table_Perf_S01[[#This Row],[LL97 Adjusted Penalty After Measures]])</f>
        <v>0</v>
      </c>
      <c r="AD68" s="102">
        <f>IF(Table_Perf_S01[[#This Row],[Year]]&gt;2050,NA(),_xlfn.AGGREGATE(9,6,Table_Perf_S01[[#This Row],[Measure Cost ($)]],Table_Perf_S01[[#This Row],[Utility Savings ($)]],Table_Perf_S01[[#This Row],[LL97 Penalty Avoided by Measures ($)]]))</f>
        <v>72917.640274799996</v>
      </c>
      <c r="AE68" s="102">
        <f>SUM($AD$48:AD68)</f>
        <v>117026.99306079996</v>
      </c>
      <c r="AF68" s="102">
        <f>IF(Table_Perf_S01[[#This Row],[Year]]&gt;2050,NA(),_xlfn.AGGREGATE(9,6,Table_Perf_S01[[#This Row],[Measure Cost ($)]],Table_Perf_S01[[#This Row],[LL97 Adjusted Penalty After Measures]]))</f>
        <v>0</v>
      </c>
      <c r="AG68" s="106">
        <f>Table_Perf_S01[[#This Row],[Year]]</f>
        <v>2044</v>
      </c>
      <c r="AH68" s="99">
        <f>COUNTIFS(Table_ECM_S01[When will the measure installation be complete and operational?],"&lt;="&amp;Table_Perf_S01[[#This Row],[Yr]],Table_ECM_S01[Would you like to Include this measure in the decarbonization pathway?],TRUE)</f>
        <v>15</v>
      </c>
      <c r="AI68" s="99" t="str">
        <f>IF(Table_Perf_S01[[#This Row],[Measure Qty]]=AH67,"",_xlfn.CONCAT(Table_Perf_S01[[#This Row],[Measure Qty]], " Measures Done"))</f>
        <v/>
      </c>
      <c r="AJ68" s="107" t="e">
        <f>IF(Table_Perf_S01[[#This Row],[Measure Label]]="",NA(),Table_Perf_S01[[#This Row],[LL97 Emissions After Measures]])</f>
        <v>#N/A</v>
      </c>
    </row>
    <row r="69" spans="1:55" hidden="1" outlineLevel="1">
      <c r="C69" s="98">
        <v>21</v>
      </c>
      <c r="D69" s="108">
        <f>IF(BaseYr+Table_Perf_S01[[#This Row],['#]]&gt;EndYr,NA(),BaseYr+Table_Perf_S01[[#This Row],['#]])</f>
        <v>2045</v>
      </c>
      <c r="E69" s="109" cm="1">
        <f t="array" ref="E69">MAX(0,IF(Table_Perf_S01[[#This Row],[Year]]=BaseYr,IFERROR(Table_UtilityInputS1[Annual Electricity 
(kWh)]*3.412,0),
(E68-3.412*SUMIFS(Table_ECM_S01[Annual Electricity Savings
(kWh)],Table_ECM_S01[When will the measure installation be complete and operational?],Table_Perf_S01[[#This Row],[Year]],Table_ECM_S01[Would you like to Include this measure in the decarbonization pathway?],TRUE))))</f>
        <v>1944734.2279999999</v>
      </c>
      <c r="F69" s="109" cm="1">
        <f t="array" ref="F69">MAX(0,IF(Table_Perf_S01[[#This Row],[Year]]=BaseYr,IFERROR(Table_UtilityInputS1[Annual Natural Gas  
(therm)]*100,0),
(F68-100*SUMIFS(Table_ECM_S01[Annual Natural Gas Savings
(therm)],Table_ECM_S01[When will the measure installation be complete and operational?],Table_Perf_S01[[#This Row],[Year]],Table_ECM_S01[Would you like to Include this measure in the decarbonization pathway?],TRUE))))</f>
        <v>1413700</v>
      </c>
      <c r="G69" s="109" cm="1">
        <f t="array" ref="G69">MAX(0,IF(Table_Perf_S01[[#This Row],[Year]]=BaseYr,IFERROR(Table_UtilityInputS1[Annual Fuel Oil'#2
(Gallon)]*138,0),
(G68-138*SUMIFS(Table_ECM_S01[Annual Fuel Oil'#2 Savings
(Gallon)],Table_ECM_S01[When will the measure installation be complete and operational?],Table_Perf_S01[[#This Row],[Year]],Table_ECM_S01[Would you like to Include this measure in the decarbonization pathway?],TRUE))))</f>
        <v>0</v>
      </c>
      <c r="H69" s="109" cm="1">
        <f t="array" ref="H69">MAX(0,IF(Table_Perf_S01[[#This Row],[Year]]=BaseYr,IFERROR(Table_UtilityInputS1[Annual District Steam  
(Mlb for ConEd, kLb for others)]*1194,0),
(H68-1194*SUMIFS(Table_ECM_S01[Annual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69" s="109" cm="1">
        <f t="array" ref="I69">MAX(0,IF(Table_Perf_S01[[#This Row],[Year]]=BaseYr,IFERROR(Table_UtilityInputS1[Annual Other Fuel 1
(kBtu)],0),
(I68-SUMIFS(Table_ECM_S01[Annual Other Fuel 1 Savings
(kBtu)],Table_ECM_S01[When will the measure installation be complete and operational?],Table_Perf_S01[[#This Row],[Year]],Table_ECM_S01[Would you like to Include this measure in the decarbonization pathway?],TRUE))))</f>
        <v>0</v>
      </c>
      <c r="J69" s="110" cm="1">
        <f t="array" ref="J69">MAX(0,IF(Table_Perf_S01[[#This Row],[Year]]=BaseYr,IFERROR(Table_UtilityInputS1[Annual Other Fuel 2
(kBtu)],0),
(J68-SUMIFS(Table_ECM_S01[Annual Other Fuel 2 Savings
(kBtu)],Table_ECM_S01[When will the measure installation be complete and operational?],Table_Perf_S01[[#This Row],[Year]],Table_ECM_S01[Would you like to Include this measure in the decarbonization pathway?],TRUE))))</f>
        <v>0</v>
      </c>
      <c r="K69" s="101">
        <f>-SUMIFS(Table_ECM_S01[Cost to Install Measures ($)],Table_ECM_S01[When will the measure installation be complete and operational?],Table_Perf_S01[[#This Row],[Year]],Table_ECM_S01[Would you like to Include this measure in the decarbonization pathway?],TRUE)</f>
        <v>0</v>
      </c>
      <c r="L69" s="102" cm="1">
        <f t="array" ref="L69">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69" s="103"/>
      <c r="N69" s="100" cm="1">
        <f t="array" ref="N69">Table_Perf_S01[[#This Row],[Electricity (kBtu)]]*INDEX(Table_UtilityDecarb[Carbon Intensity (tCO2e/kBtu)],MATCH(N$46&amp;Table_Perf_S01[[#This Row],[Year]],Table_UtilityDecarb[Fuel Type]&amp;Table_UtilityDecarb[Year],0))</f>
        <v>41.3227525</v>
      </c>
      <c r="O69" s="100">
        <f>Table_Perf_S01[[#This Row],[Natural Gas (kBtu)]]*INDEX(Table_UtilityDecarb[Carbon Intensity (tCO2e/kBtu)],MATCH(O$46,Table_UtilityDecarb[Fuel Type],0))</f>
        <v>75.081606999999991</v>
      </c>
      <c r="P69" s="100">
        <f>Table_Perf_S01[[#This Row],[Fuel Oil'#2 (kBtu)]]*INDEX(Table_UtilityDecarb[Carbon Intensity (tCO2e/kBtu)],MATCH(P$46,Table_UtilityDecarb[Fuel Type],0))</f>
        <v>0</v>
      </c>
      <c r="Q69" s="100" cm="1">
        <f t="array" ref="Q69">Table_Perf_S01[[#This Row],[District Steam (kBtu)]]*INDEX(Table_UtilityDecarb[Carbon Intensity (tCO2e/kBtu)],MATCH(Q$46&amp;Table_Perf_S01[[#This Row],[Year]],Table_UtilityDecarb[Fuel Type]&amp;Table_UtilityDecarb[Year],0))</f>
        <v>0</v>
      </c>
      <c r="R69" s="100" cm="1">
        <f t="array" ref="R69">IF(OR(Table_UtilityInputS1[Annual Other Fuel 1
(kBtu)]="",NOT(ISNUMBER(Table_UtilityInputS1[Annual Other Fuel 1
(kBtu)]))),0,Table_Perf_S01[[#This Row],[Other Fuel 1 (kBtu)]]*INDEX(Table_UtilityDecarb[Carbon Intensity (tCO2e/kBtu)],MATCH(R$46,Table_UtilityDecarb[Fuel Type],0)))</f>
        <v>0</v>
      </c>
      <c r="S69" s="100" cm="1">
        <f t="array" ref="S69">IF(OR(Table_UtilityInputS1[Annual Other Fuel 2
(kBtu)]="",NOT(ISNUMBER(Table_UtilityInputS1[Annual Other Fuel 2
(kBtu)]))),0,Table_Perf_S01[[#This Row],[Other Fuel 2 (kBtu)]]*INDEX(Table_UtilityDecarb[Carbon Intensity (tCO2e/kBtu)],MATCH(S$46,Table_UtilityDecarb[Fuel Type],0)))</f>
        <v>0</v>
      </c>
      <c r="T69" s="100">
        <f>IF(Table_Perf_S01[[#This Row],[Year]]&gt;2050,NA(),_xlfn.AGGREGATE(9,6,Table_Perf_S01[[#This Row],[LL97 Electricity (tCO2e)]:[LL97 Other Fuel 2 (tCO2e)]]))</f>
        <v>116.4043595</v>
      </c>
      <c r="U69" s="100">
        <f>IF(Table_Perf_S01[[#This Row],[Year]]&lt;2035,NA(),INDEX(Table_LimitsCalc_Sample1[Total Limits (tCO2e)],MATCH(Table_Perf_S01[[#This Row],[Year]],Table_LimitsCalc_Sample1[Year],0)))</f>
        <v>117.39162589999999</v>
      </c>
      <c r="V69" s="100" cm="1">
        <f t="array" ref="V69">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272.52461199999999</v>
      </c>
      <c r="W69" s="100">
        <f>IF(Table_Perf_S01[[#This Row],[LL97 Emissions Limit (tCO2e)]]="",0,MAX(0,Table_Perf_S01[[#This Row],[LL97 Business-As-Usual Emissions]]-Table_Perf_S01[[#This Row],[LL97 Emissions Limit (tCO2e)]]))</f>
        <v>155.13298609999998</v>
      </c>
      <c r="X69" s="100">
        <f>IF(Table_Perf_S01[[#This Row],[LL97 Emissions Limit (tCO2e)]]="",0,MAX(0,Table_Perf_S01[[#This Row],[LL97 Emissions After Measures]]-Table_Perf_S01[[#This Row],[LL97 Emissions Limit (tCO2e)]]))</f>
        <v>0</v>
      </c>
      <c r="Y69" s="100">
        <f>Table_Perf_S01[[#This Row],[LL97 Business-As-Usual Emissions]]-Table_Perf_S01[[#This Row],[LL97 Emissions After Measures]]</f>
        <v>156.12025249999999</v>
      </c>
      <c r="Z69" s="102" t="str">
        <f>IF(Table_Perf_S01[[#This Row],[Year]]&lt;2024,"Not in enforcement period",IF(Table_Perf_S01[[#This Row],[LL97 Excess Emissions After Measures]]=0,"Compliant","Not-Compliant"))</f>
        <v>Compliant</v>
      </c>
      <c r="AA69" s="104">
        <f>IFERROR(-268*Table_Perf_S01[[#This Row],[LL97 Excess Emissions After Measures]],0)</f>
        <v>0</v>
      </c>
      <c r="AB69" s="102">
        <f>IFERROR(268*MIN(Table_Perf_S01[[#This Row],[LL97 BAU Excess Emissions]],Table_Perf_S01[[#This Row],[LL97 Emissions Reduced by Measures]]),0)</f>
        <v>41575.640274799996</v>
      </c>
      <c r="AC69" s="105">
        <f>IF(OR(Table_Perf_S01[[#This Row],[Year]]&lt;2024,Table_Perf_S01[[#This Row],[Year]]&gt;2050,ISERROR(Table_Perf_S01[[#This Row],[LL97 Adjusted Penalty After Measures]])),"",Table_Perf_S01[[#This Row],[LL97 Adjusted Penalty After Measures]])</f>
        <v>0</v>
      </c>
      <c r="AD69" s="102">
        <f>IF(Table_Perf_S01[[#This Row],[Year]]&gt;2050,NA(),_xlfn.AGGREGATE(9,6,Table_Perf_S01[[#This Row],[Measure Cost ($)]],Table_Perf_S01[[#This Row],[Utility Savings ($)]],Table_Perf_S01[[#This Row],[LL97 Penalty Avoided by Measures ($)]]))</f>
        <v>72917.640274799996</v>
      </c>
      <c r="AE69" s="102">
        <f>SUM($AD$48:AD69)</f>
        <v>189944.63333559997</v>
      </c>
      <c r="AF69" s="102">
        <f>IF(Table_Perf_S01[[#This Row],[Year]]&gt;2050,NA(),_xlfn.AGGREGATE(9,6,Table_Perf_S01[[#This Row],[Measure Cost ($)]],Table_Perf_S01[[#This Row],[LL97 Adjusted Penalty After Measures]]))</f>
        <v>0</v>
      </c>
      <c r="AG69" s="106">
        <f>Table_Perf_S01[[#This Row],[Year]]</f>
        <v>2045</v>
      </c>
      <c r="AH69" s="99">
        <f>COUNTIFS(Table_ECM_S01[When will the measure installation be complete and operational?],"&lt;="&amp;Table_Perf_S01[[#This Row],[Yr]],Table_ECM_S01[Would you like to Include this measure in the decarbonization pathway?],TRUE)</f>
        <v>15</v>
      </c>
      <c r="AI69" s="99" t="str">
        <f>IF(Table_Perf_S01[[#This Row],[Measure Qty]]=AH68,"",_xlfn.CONCAT(Table_Perf_S01[[#This Row],[Measure Qty]], " Measures Done"))</f>
        <v/>
      </c>
      <c r="AJ69" s="107" t="e">
        <f>IF(Table_Perf_S01[[#This Row],[Measure Label]]="",NA(),Table_Perf_S01[[#This Row],[LL97 Emissions After Measures]])</f>
        <v>#N/A</v>
      </c>
    </row>
    <row r="70" spans="1:55" hidden="1" outlineLevel="1">
      <c r="C70" s="98">
        <v>22</v>
      </c>
      <c r="D70" s="108">
        <f>IF(BaseYr+Table_Perf_S01[[#This Row],['#]]&gt;EndYr,NA(),BaseYr+Table_Perf_S01[[#This Row],['#]])</f>
        <v>2046</v>
      </c>
      <c r="E70" s="109" cm="1">
        <f t="array" ref="E70">MAX(0,IF(Table_Perf_S01[[#This Row],[Year]]=BaseYr,IFERROR(Table_UtilityInputS1[Annual Electricity 
(kWh)]*3.412,0),
(E69-3.412*SUMIFS(Table_ECM_S01[Annual Electricity Savings
(kWh)],Table_ECM_S01[When will the measure installation be complete and operational?],Table_Perf_S01[[#This Row],[Year]],Table_ECM_S01[Would you like to Include this measure in the decarbonization pathway?],TRUE))))</f>
        <v>1944734.2279999999</v>
      </c>
      <c r="F70" s="109" cm="1">
        <f t="array" ref="F70">MAX(0,IF(Table_Perf_S01[[#This Row],[Year]]=BaseYr,IFERROR(Table_UtilityInputS1[Annual Natural Gas  
(therm)]*100,0),
(F69-100*SUMIFS(Table_ECM_S01[Annual Natural Gas Savings
(therm)],Table_ECM_S01[When will the measure installation be complete and operational?],Table_Perf_S01[[#This Row],[Year]],Table_ECM_S01[Would you like to Include this measure in the decarbonization pathway?],TRUE))))</f>
        <v>1413700</v>
      </c>
      <c r="G70" s="109" cm="1">
        <f t="array" ref="G70">MAX(0,IF(Table_Perf_S01[[#This Row],[Year]]=BaseYr,IFERROR(Table_UtilityInputS1[Annual Fuel Oil'#2
(Gallon)]*138,0),
(G69-138*SUMIFS(Table_ECM_S01[Annual Fuel Oil'#2 Savings
(Gallon)],Table_ECM_S01[When will the measure installation be complete and operational?],Table_Perf_S01[[#This Row],[Year]],Table_ECM_S01[Would you like to Include this measure in the decarbonization pathway?],TRUE))))</f>
        <v>0</v>
      </c>
      <c r="H70" s="109" cm="1">
        <f t="array" ref="H70">MAX(0,IF(Table_Perf_S01[[#This Row],[Year]]=BaseYr,IFERROR(Table_UtilityInputS1[Annual District Steam  
(Mlb for ConEd, kLb for others)]*1194,0),
(H69-1194*SUMIFS(Table_ECM_S01[Annual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70" s="109" cm="1">
        <f t="array" ref="I70">MAX(0,IF(Table_Perf_S01[[#This Row],[Year]]=BaseYr,IFERROR(Table_UtilityInputS1[Annual Other Fuel 1
(kBtu)],0),
(I69-SUMIFS(Table_ECM_S01[Annual Other Fuel 1 Savings
(kBtu)],Table_ECM_S01[When will the measure installation be complete and operational?],Table_Perf_S01[[#This Row],[Year]],Table_ECM_S01[Would you like to Include this measure in the decarbonization pathway?],TRUE))))</f>
        <v>0</v>
      </c>
      <c r="J70" s="110" cm="1">
        <f t="array" ref="J70">MAX(0,IF(Table_Perf_S01[[#This Row],[Year]]=BaseYr,IFERROR(Table_UtilityInputS1[Annual Other Fuel 2
(kBtu)],0),
(J69-SUMIFS(Table_ECM_S01[Annual Other Fuel 2 Savings
(kBtu)],Table_ECM_S01[When will the measure installation be complete and operational?],Table_Perf_S01[[#This Row],[Year]],Table_ECM_S01[Would you like to Include this measure in the decarbonization pathway?],TRUE))))</f>
        <v>0</v>
      </c>
      <c r="K70" s="101">
        <f>-SUMIFS(Table_ECM_S01[Cost to Install Measures ($)],Table_ECM_S01[When will the measure installation be complete and operational?],Table_Perf_S01[[#This Row],[Year]],Table_ECM_S01[Would you like to Include this measure in the decarbonization pathway?],TRUE)</f>
        <v>0</v>
      </c>
      <c r="L70" s="102" cm="1">
        <f t="array" ref="L70">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70" s="103"/>
      <c r="N70" s="100" cm="1">
        <f t="array" ref="N70">Table_Perf_S01[[#This Row],[Electricity (kBtu)]]*INDEX(Table_UtilityDecarb[Carbon Intensity (tCO2e/kBtu)],MATCH(N$46&amp;Table_Perf_S01[[#This Row],[Year]],Table_UtilityDecarb[Fuel Type]&amp;Table_UtilityDecarb[Year],0))</f>
        <v>41.3227525</v>
      </c>
      <c r="O70" s="100">
        <f>Table_Perf_S01[[#This Row],[Natural Gas (kBtu)]]*INDEX(Table_UtilityDecarb[Carbon Intensity (tCO2e/kBtu)],MATCH(O$46,Table_UtilityDecarb[Fuel Type],0))</f>
        <v>75.081606999999991</v>
      </c>
      <c r="P70" s="100">
        <f>Table_Perf_S01[[#This Row],[Fuel Oil'#2 (kBtu)]]*INDEX(Table_UtilityDecarb[Carbon Intensity (tCO2e/kBtu)],MATCH(P$46,Table_UtilityDecarb[Fuel Type],0))</f>
        <v>0</v>
      </c>
      <c r="Q70" s="100" cm="1">
        <f t="array" ref="Q70">Table_Perf_S01[[#This Row],[District Steam (kBtu)]]*INDEX(Table_UtilityDecarb[Carbon Intensity (tCO2e/kBtu)],MATCH(Q$46&amp;Table_Perf_S01[[#This Row],[Year]],Table_UtilityDecarb[Fuel Type]&amp;Table_UtilityDecarb[Year],0))</f>
        <v>0</v>
      </c>
      <c r="R70" s="100" cm="1">
        <f t="array" ref="R70">IF(OR(Table_UtilityInputS1[Annual Other Fuel 1
(kBtu)]="",NOT(ISNUMBER(Table_UtilityInputS1[Annual Other Fuel 1
(kBtu)]))),0,Table_Perf_S01[[#This Row],[Other Fuel 1 (kBtu)]]*INDEX(Table_UtilityDecarb[Carbon Intensity (tCO2e/kBtu)],MATCH(R$46,Table_UtilityDecarb[Fuel Type],0)))</f>
        <v>0</v>
      </c>
      <c r="S70" s="100" cm="1">
        <f t="array" ref="S70">IF(OR(Table_UtilityInputS1[Annual Other Fuel 2
(kBtu)]="",NOT(ISNUMBER(Table_UtilityInputS1[Annual Other Fuel 2
(kBtu)]))),0,Table_Perf_S01[[#This Row],[Other Fuel 2 (kBtu)]]*INDEX(Table_UtilityDecarb[Carbon Intensity (tCO2e/kBtu)],MATCH(S$46,Table_UtilityDecarb[Fuel Type],0)))</f>
        <v>0</v>
      </c>
      <c r="T70" s="100">
        <f>IF(Table_Perf_S01[[#This Row],[Year]]&gt;2050,NA(),_xlfn.AGGREGATE(9,6,Table_Perf_S01[[#This Row],[LL97 Electricity (tCO2e)]:[LL97 Other Fuel 2 (tCO2e)]]))</f>
        <v>116.4043595</v>
      </c>
      <c r="U70" s="100">
        <f>IF(Table_Perf_S01[[#This Row],[Year]]&lt;2035,NA(),INDEX(Table_LimitsCalc_Sample1[Total Limits (tCO2e)],MATCH(Table_Perf_S01[[#This Row],[Year]],Table_LimitsCalc_Sample1[Year],0)))</f>
        <v>117.39162589999999</v>
      </c>
      <c r="V70" s="100" cm="1">
        <f t="array" ref="V70">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272.52461199999999</v>
      </c>
      <c r="W70" s="100">
        <f>IF(Table_Perf_S01[[#This Row],[LL97 Emissions Limit (tCO2e)]]="",0,MAX(0,Table_Perf_S01[[#This Row],[LL97 Business-As-Usual Emissions]]-Table_Perf_S01[[#This Row],[LL97 Emissions Limit (tCO2e)]]))</f>
        <v>155.13298609999998</v>
      </c>
      <c r="X70" s="100">
        <f>IF(Table_Perf_S01[[#This Row],[LL97 Emissions Limit (tCO2e)]]="",0,MAX(0,Table_Perf_S01[[#This Row],[LL97 Emissions After Measures]]-Table_Perf_S01[[#This Row],[LL97 Emissions Limit (tCO2e)]]))</f>
        <v>0</v>
      </c>
      <c r="Y70" s="100">
        <f>Table_Perf_S01[[#This Row],[LL97 Business-As-Usual Emissions]]-Table_Perf_S01[[#This Row],[LL97 Emissions After Measures]]</f>
        <v>156.12025249999999</v>
      </c>
      <c r="Z70" s="102" t="str">
        <f>IF(Table_Perf_S01[[#This Row],[Year]]&lt;2024,"Not in enforcement period",IF(Table_Perf_S01[[#This Row],[LL97 Excess Emissions After Measures]]=0,"Compliant","Not-Compliant"))</f>
        <v>Compliant</v>
      </c>
      <c r="AA70" s="104">
        <f>IFERROR(-268*Table_Perf_S01[[#This Row],[LL97 Excess Emissions After Measures]],0)</f>
        <v>0</v>
      </c>
      <c r="AB70" s="102">
        <f>IFERROR(268*MIN(Table_Perf_S01[[#This Row],[LL97 BAU Excess Emissions]],Table_Perf_S01[[#This Row],[LL97 Emissions Reduced by Measures]]),0)</f>
        <v>41575.640274799996</v>
      </c>
      <c r="AC70" s="105">
        <f>IF(OR(Table_Perf_S01[[#This Row],[Year]]&lt;2024,Table_Perf_S01[[#This Row],[Year]]&gt;2050,ISERROR(Table_Perf_S01[[#This Row],[LL97 Adjusted Penalty After Measures]])),"",Table_Perf_S01[[#This Row],[LL97 Adjusted Penalty After Measures]])</f>
        <v>0</v>
      </c>
      <c r="AD70" s="102">
        <f>IF(Table_Perf_S01[[#This Row],[Year]]&gt;2050,NA(),_xlfn.AGGREGATE(9,6,Table_Perf_S01[[#This Row],[Measure Cost ($)]],Table_Perf_S01[[#This Row],[Utility Savings ($)]],Table_Perf_S01[[#This Row],[LL97 Penalty Avoided by Measures ($)]]))</f>
        <v>72917.640274799996</v>
      </c>
      <c r="AE70" s="102">
        <f>SUM($AD$48:AD70)</f>
        <v>262862.27361039998</v>
      </c>
      <c r="AF70" s="102">
        <f>IF(Table_Perf_S01[[#This Row],[Year]]&gt;2050,NA(),_xlfn.AGGREGATE(9,6,Table_Perf_S01[[#This Row],[Measure Cost ($)]],Table_Perf_S01[[#This Row],[LL97 Adjusted Penalty After Measures]]))</f>
        <v>0</v>
      </c>
      <c r="AG70" s="106">
        <f>Table_Perf_S01[[#This Row],[Year]]</f>
        <v>2046</v>
      </c>
      <c r="AH70" s="99">
        <f>COUNTIFS(Table_ECM_S01[When will the measure installation be complete and operational?],"&lt;="&amp;Table_Perf_S01[[#This Row],[Yr]],Table_ECM_S01[Would you like to Include this measure in the decarbonization pathway?],TRUE)</f>
        <v>15</v>
      </c>
      <c r="AI70" s="99" t="str">
        <f>IF(Table_Perf_S01[[#This Row],[Measure Qty]]=AH69,"",_xlfn.CONCAT(Table_Perf_S01[[#This Row],[Measure Qty]], " Measures Done"))</f>
        <v/>
      </c>
      <c r="AJ70" s="107" t="e">
        <f>IF(Table_Perf_S01[[#This Row],[Measure Label]]="",NA(),Table_Perf_S01[[#This Row],[LL97 Emissions After Measures]])</f>
        <v>#N/A</v>
      </c>
    </row>
    <row r="71" spans="1:55" hidden="1" outlineLevel="1">
      <c r="C71" s="98">
        <v>23</v>
      </c>
      <c r="D71" s="108">
        <f>IF(BaseYr+Table_Perf_S01[[#This Row],['#]]&gt;EndYr,NA(),BaseYr+Table_Perf_S01[[#This Row],['#]])</f>
        <v>2047</v>
      </c>
      <c r="E71" s="109" cm="1">
        <f t="array" ref="E71">MAX(0,IF(Table_Perf_S01[[#This Row],[Year]]=BaseYr,IFERROR(Table_UtilityInputS1[Annual Electricity 
(kWh)]*3.412,0),
(E70-3.412*SUMIFS(Table_ECM_S01[Annual Electricity Savings
(kWh)],Table_ECM_S01[When will the measure installation be complete and operational?],Table_Perf_S01[[#This Row],[Year]],Table_ECM_S01[Would you like to Include this measure in the decarbonization pathway?],TRUE))))</f>
        <v>1944734.2279999999</v>
      </c>
      <c r="F71" s="109" cm="1">
        <f t="array" ref="F71">MAX(0,IF(Table_Perf_S01[[#This Row],[Year]]=BaseYr,IFERROR(Table_UtilityInputS1[Annual Natural Gas  
(therm)]*100,0),
(F70-100*SUMIFS(Table_ECM_S01[Annual Natural Gas Savings
(therm)],Table_ECM_S01[When will the measure installation be complete and operational?],Table_Perf_S01[[#This Row],[Year]],Table_ECM_S01[Would you like to Include this measure in the decarbonization pathway?],TRUE))))</f>
        <v>1413700</v>
      </c>
      <c r="G71" s="109" cm="1">
        <f t="array" ref="G71">MAX(0,IF(Table_Perf_S01[[#This Row],[Year]]=BaseYr,IFERROR(Table_UtilityInputS1[Annual Fuel Oil'#2
(Gallon)]*138,0),
(G70-138*SUMIFS(Table_ECM_S01[Annual Fuel Oil'#2 Savings
(Gallon)],Table_ECM_S01[When will the measure installation be complete and operational?],Table_Perf_S01[[#This Row],[Year]],Table_ECM_S01[Would you like to Include this measure in the decarbonization pathway?],TRUE))))</f>
        <v>0</v>
      </c>
      <c r="H71" s="109" cm="1">
        <f t="array" ref="H71">MAX(0,IF(Table_Perf_S01[[#This Row],[Year]]=BaseYr,IFERROR(Table_UtilityInputS1[Annual District Steam  
(Mlb for ConEd, kLb for others)]*1194,0),
(H70-1194*SUMIFS(Table_ECM_S01[Annual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71" s="109" cm="1">
        <f t="array" ref="I71">MAX(0,IF(Table_Perf_S01[[#This Row],[Year]]=BaseYr,IFERROR(Table_UtilityInputS1[Annual Other Fuel 1
(kBtu)],0),
(I70-SUMIFS(Table_ECM_S01[Annual Other Fuel 1 Savings
(kBtu)],Table_ECM_S01[When will the measure installation be complete and operational?],Table_Perf_S01[[#This Row],[Year]],Table_ECM_S01[Would you like to Include this measure in the decarbonization pathway?],TRUE))))</f>
        <v>0</v>
      </c>
      <c r="J71" s="110" cm="1">
        <f t="array" ref="J71">MAX(0,IF(Table_Perf_S01[[#This Row],[Year]]=BaseYr,IFERROR(Table_UtilityInputS1[Annual Other Fuel 2
(kBtu)],0),
(J70-SUMIFS(Table_ECM_S01[Annual Other Fuel 2 Savings
(kBtu)],Table_ECM_S01[When will the measure installation be complete and operational?],Table_Perf_S01[[#This Row],[Year]],Table_ECM_S01[Would you like to Include this measure in the decarbonization pathway?],TRUE))))</f>
        <v>0</v>
      </c>
      <c r="K71" s="101">
        <f>-SUMIFS(Table_ECM_S01[Cost to Install Measures ($)],Table_ECM_S01[When will the measure installation be complete and operational?],Table_Perf_S01[[#This Row],[Year]],Table_ECM_S01[Would you like to Include this measure in the decarbonization pathway?],TRUE)</f>
        <v>0</v>
      </c>
      <c r="L71" s="102" cm="1">
        <f t="array" ref="L71">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71" s="103"/>
      <c r="N71" s="100" cm="1">
        <f t="array" ref="N71">Table_Perf_S01[[#This Row],[Electricity (kBtu)]]*INDEX(Table_UtilityDecarb[Carbon Intensity (tCO2e/kBtu)],MATCH(N$46&amp;Table_Perf_S01[[#This Row],[Year]],Table_UtilityDecarb[Fuel Type]&amp;Table_UtilityDecarb[Year],0))</f>
        <v>41.3227525</v>
      </c>
      <c r="O71" s="100">
        <f>Table_Perf_S01[[#This Row],[Natural Gas (kBtu)]]*INDEX(Table_UtilityDecarb[Carbon Intensity (tCO2e/kBtu)],MATCH(O$46,Table_UtilityDecarb[Fuel Type],0))</f>
        <v>75.081606999999991</v>
      </c>
      <c r="P71" s="100">
        <f>Table_Perf_S01[[#This Row],[Fuel Oil'#2 (kBtu)]]*INDEX(Table_UtilityDecarb[Carbon Intensity (tCO2e/kBtu)],MATCH(P$46,Table_UtilityDecarb[Fuel Type],0))</f>
        <v>0</v>
      </c>
      <c r="Q71" s="100" cm="1">
        <f t="array" ref="Q71">Table_Perf_S01[[#This Row],[District Steam (kBtu)]]*INDEX(Table_UtilityDecarb[Carbon Intensity (tCO2e/kBtu)],MATCH(Q$46&amp;Table_Perf_S01[[#This Row],[Year]],Table_UtilityDecarb[Fuel Type]&amp;Table_UtilityDecarb[Year],0))</f>
        <v>0</v>
      </c>
      <c r="R71" s="100" cm="1">
        <f t="array" ref="R71">IF(OR(Table_UtilityInputS1[Annual Other Fuel 1
(kBtu)]="",NOT(ISNUMBER(Table_UtilityInputS1[Annual Other Fuel 1
(kBtu)]))),0,Table_Perf_S01[[#This Row],[Other Fuel 1 (kBtu)]]*INDEX(Table_UtilityDecarb[Carbon Intensity (tCO2e/kBtu)],MATCH(R$46,Table_UtilityDecarb[Fuel Type],0)))</f>
        <v>0</v>
      </c>
      <c r="S71" s="100" cm="1">
        <f t="array" ref="S71">IF(OR(Table_UtilityInputS1[Annual Other Fuel 2
(kBtu)]="",NOT(ISNUMBER(Table_UtilityInputS1[Annual Other Fuel 2
(kBtu)]))),0,Table_Perf_S01[[#This Row],[Other Fuel 2 (kBtu)]]*INDEX(Table_UtilityDecarb[Carbon Intensity (tCO2e/kBtu)],MATCH(S$46,Table_UtilityDecarb[Fuel Type],0)))</f>
        <v>0</v>
      </c>
      <c r="T71" s="100">
        <f>IF(Table_Perf_S01[[#This Row],[Year]]&gt;2050,NA(),_xlfn.AGGREGATE(9,6,Table_Perf_S01[[#This Row],[LL97 Electricity (tCO2e)]:[LL97 Other Fuel 2 (tCO2e)]]))</f>
        <v>116.4043595</v>
      </c>
      <c r="U71" s="100">
        <f>IF(Table_Perf_S01[[#This Row],[Year]]&lt;2035,NA(),INDEX(Table_LimitsCalc_Sample1[Total Limits (tCO2e)],MATCH(Table_Perf_S01[[#This Row],[Year]],Table_LimitsCalc_Sample1[Year],0)))</f>
        <v>117.39162589999999</v>
      </c>
      <c r="V71" s="100" cm="1">
        <f t="array" ref="V71">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272.52461199999999</v>
      </c>
      <c r="W71" s="100">
        <f>IF(Table_Perf_S01[[#This Row],[LL97 Emissions Limit (tCO2e)]]="",0,MAX(0,Table_Perf_S01[[#This Row],[LL97 Business-As-Usual Emissions]]-Table_Perf_S01[[#This Row],[LL97 Emissions Limit (tCO2e)]]))</f>
        <v>155.13298609999998</v>
      </c>
      <c r="X71" s="100">
        <f>IF(Table_Perf_S01[[#This Row],[LL97 Emissions Limit (tCO2e)]]="",0,MAX(0,Table_Perf_S01[[#This Row],[LL97 Emissions After Measures]]-Table_Perf_S01[[#This Row],[LL97 Emissions Limit (tCO2e)]]))</f>
        <v>0</v>
      </c>
      <c r="Y71" s="100">
        <f>Table_Perf_S01[[#This Row],[LL97 Business-As-Usual Emissions]]-Table_Perf_S01[[#This Row],[LL97 Emissions After Measures]]</f>
        <v>156.12025249999999</v>
      </c>
      <c r="Z71" s="102" t="str">
        <f>IF(Table_Perf_S01[[#This Row],[Year]]&lt;2024,"Not in enforcement period",IF(Table_Perf_S01[[#This Row],[LL97 Excess Emissions After Measures]]=0,"Compliant","Not-Compliant"))</f>
        <v>Compliant</v>
      </c>
      <c r="AA71" s="104">
        <f>IFERROR(-268*Table_Perf_S01[[#This Row],[LL97 Excess Emissions After Measures]],0)</f>
        <v>0</v>
      </c>
      <c r="AB71" s="102">
        <f>IFERROR(268*MIN(Table_Perf_S01[[#This Row],[LL97 BAU Excess Emissions]],Table_Perf_S01[[#This Row],[LL97 Emissions Reduced by Measures]]),0)</f>
        <v>41575.640274799996</v>
      </c>
      <c r="AC71" s="105">
        <f>IF(OR(Table_Perf_S01[[#This Row],[Year]]&lt;2024,Table_Perf_S01[[#This Row],[Year]]&gt;2050,ISERROR(Table_Perf_S01[[#This Row],[LL97 Adjusted Penalty After Measures]])),"",Table_Perf_S01[[#This Row],[LL97 Adjusted Penalty After Measures]])</f>
        <v>0</v>
      </c>
      <c r="AD71" s="102">
        <f>IF(Table_Perf_S01[[#This Row],[Year]]&gt;2050,NA(),_xlfn.AGGREGATE(9,6,Table_Perf_S01[[#This Row],[Measure Cost ($)]],Table_Perf_S01[[#This Row],[Utility Savings ($)]],Table_Perf_S01[[#This Row],[LL97 Penalty Avoided by Measures ($)]]))</f>
        <v>72917.640274799996</v>
      </c>
      <c r="AE71" s="102">
        <f>SUM($AD$48:AD71)</f>
        <v>335779.91388519999</v>
      </c>
      <c r="AF71" s="102">
        <f>IF(Table_Perf_S01[[#This Row],[Year]]&gt;2050,NA(),_xlfn.AGGREGATE(9,6,Table_Perf_S01[[#This Row],[Measure Cost ($)]],Table_Perf_S01[[#This Row],[LL97 Adjusted Penalty After Measures]]))</f>
        <v>0</v>
      </c>
      <c r="AG71" s="106">
        <f>Table_Perf_S01[[#This Row],[Year]]</f>
        <v>2047</v>
      </c>
      <c r="AH71" s="99">
        <f>COUNTIFS(Table_ECM_S01[When will the measure installation be complete and operational?],"&lt;="&amp;Table_Perf_S01[[#This Row],[Yr]],Table_ECM_S01[Would you like to Include this measure in the decarbonization pathway?],TRUE)</f>
        <v>15</v>
      </c>
      <c r="AI71" s="99" t="str">
        <f>IF(Table_Perf_S01[[#This Row],[Measure Qty]]=AH70,"",_xlfn.CONCAT(Table_Perf_S01[[#This Row],[Measure Qty]], " Measures Done"))</f>
        <v/>
      </c>
      <c r="AJ71" s="107" t="e">
        <f>IF(Table_Perf_S01[[#This Row],[Measure Label]]="",NA(),Table_Perf_S01[[#This Row],[LL97 Emissions After Measures]])</f>
        <v>#N/A</v>
      </c>
    </row>
    <row r="72" spans="1:55" hidden="1" outlineLevel="1">
      <c r="C72" s="98">
        <v>24</v>
      </c>
      <c r="D72" s="108">
        <f>IF(BaseYr+Table_Perf_S01[[#This Row],['#]]&gt;EndYr,NA(),BaseYr+Table_Perf_S01[[#This Row],['#]])</f>
        <v>2048</v>
      </c>
      <c r="E72" s="109" cm="1">
        <f t="array" ref="E72">MAX(0,IF(Table_Perf_S01[[#This Row],[Year]]=BaseYr,IFERROR(Table_UtilityInputS1[Annual Electricity 
(kWh)]*3.412,0),
(E71-3.412*SUMIFS(Table_ECM_S01[Annual Electricity Savings
(kWh)],Table_ECM_S01[When will the measure installation be complete and operational?],Table_Perf_S01[[#This Row],[Year]],Table_ECM_S01[Would you like to Include this measure in the decarbonization pathway?],TRUE))))</f>
        <v>1944734.2279999999</v>
      </c>
      <c r="F72" s="109" cm="1">
        <f t="array" ref="F72">MAX(0,IF(Table_Perf_S01[[#This Row],[Year]]=BaseYr,IFERROR(Table_UtilityInputS1[Annual Natural Gas  
(therm)]*100,0),
(F71-100*SUMIFS(Table_ECM_S01[Annual Natural Gas Savings
(therm)],Table_ECM_S01[When will the measure installation be complete and operational?],Table_Perf_S01[[#This Row],[Year]],Table_ECM_S01[Would you like to Include this measure in the decarbonization pathway?],TRUE))))</f>
        <v>1413700</v>
      </c>
      <c r="G72" s="109" cm="1">
        <f t="array" ref="G72">MAX(0,IF(Table_Perf_S01[[#This Row],[Year]]=BaseYr,IFERROR(Table_UtilityInputS1[Annual Fuel Oil'#2
(Gallon)]*138,0),
(G71-138*SUMIFS(Table_ECM_S01[Annual Fuel Oil'#2 Savings
(Gallon)],Table_ECM_S01[When will the measure installation be complete and operational?],Table_Perf_S01[[#This Row],[Year]],Table_ECM_S01[Would you like to Include this measure in the decarbonization pathway?],TRUE))))</f>
        <v>0</v>
      </c>
      <c r="H72" s="109" cm="1">
        <f t="array" ref="H72">MAX(0,IF(Table_Perf_S01[[#This Row],[Year]]=BaseYr,IFERROR(Table_UtilityInputS1[Annual District Steam  
(Mlb for ConEd, kLb for others)]*1194,0),
(H71-1194*SUMIFS(Table_ECM_S01[Annual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72" s="109" cm="1">
        <f t="array" ref="I72">MAX(0,IF(Table_Perf_S01[[#This Row],[Year]]=BaseYr,IFERROR(Table_UtilityInputS1[Annual Other Fuel 1
(kBtu)],0),
(I71-SUMIFS(Table_ECM_S01[Annual Other Fuel 1 Savings
(kBtu)],Table_ECM_S01[When will the measure installation be complete and operational?],Table_Perf_S01[[#This Row],[Year]],Table_ECM_S01[Would you like to Include this measure in the decarbonization pathway?],TRUE))))</f>
        <v>0</v>
      </c>
      <c r="J72" s="110" cm="1">
        <f t="array" ref="J72">MAX(0,IF(Table_Perf_S01[[#This Row],[Year]]=BaseYr,IFERROR(Table_UtilityInputS1[Annual Other Fuel 2
(kBtu)],0),
(J71-SUMIFS(Table_ECM_S01[Annual Other Fuel 2 Savings
(kBtu)],Table_ECM_S01[When will the measure installation be complete and operational?],Table_Perf_S01[[#This Row],[Year]],Table_ECM_S01[Would you like to Include this measure in the decarbonization pathway?],TRUE))))</f>
        <v>0</v>
      </c>
      <c r="K72" s="101">
        <f>-SUMIFS(Table_ECM_S01[Cost to Install Measures ($)],Table_ECM_S01[When will the measure installation be complete and operational?],Table_Perf_S01[[#This Row],[Year]],Table_ECM_S01[Would you like to Include this measure in the decarbonization pathway?],TRUE)</f>
        <v>0</v>
      </c>
      <c r="L72" s="102" cm="1">
        <f t="array" ref="L72">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72" s="103"/>
      <c r="N72" s="100" cm="1">
        <f t="array" ref="N72">Table_Perf_S01[[#This Row],[Electricity (kBtu)]]*INDEX(Table_UtilityDecarb[Carbon Intensity (tCO2e/kBtu)],MATCH(N$46&amp;Table_Perf_S01[[#This Row],[Year]],Table_UtilityDecarb[Fuel Type]&amp;Table_UtilityDecarb[Year],0))</f>
        <v>41.3227525</v>
      </c>
      <c r="O72" s="100">
        <f>Table_Perf_S01[[#This Row],[Natural Gas (kBtu)]]*INDEX(Table_UtilityDecarb[Carbon Intensity (tCO2e/kBtu)],MATCH(O$46,Table_UtilityDecarb[Fuel Type],0))</f>
        <v>75.081606999999991</v>
      </c>
      <c r="P72" s="100">
        <f>Table_Perf_S01[[#This Row],[Fuel Oil'#2 (kBtu)]]*INDEX(Table_UtilityDecarb[Carbon Intensity (tCO2e/kBtu)],MATCH(P$46,Table_UtilityDecarb[Fuel Type],0))</f>
        <v>0</v>
      </c>
      <c r="Q72" s="100" cm="1">
        <f t="array" ref="Q72">Table_Perf_S01[[#This Row],[District Steam (kBtu)]]*INDEX(Table_UtilityDecarb[Carbon Intensity (tCO2e/kBtu)],MATCH(Q$46&amp;Table_Perf_S01[[#This Row],[Year]],Table_UtilityDecarb[Fuel Type]&amp;Table_UtilityDecarb[Year],0))</f>
        <v>0</v>
      </c>
      <c r="R72" s="100" cm="1">
        <f t="array" ref="R72">IF(OR(Table_UtilityInputS1[Annual Other Fuel 1
(kBtu)]="",NOT(ISNUMBER(Table_UtilityInputS1[Annual Other Fuel 1
(kBtu)]))),0,Table_Perf_S01[[#This Row],[Other Fuel 1 (kBtu)]]*INDEX(Table_UtilityDecarb[Carbon Intensity (tCO2e/kBtu)],MATCH(R$46,Table_UtilityDecarb[Fuel Type],0)))</f>
        <v>0</v>
      </c>
      <c r="S72" s="100" cm="1">
        <f t="array" ref="S72">IF(OR(Table_UtilityInputS1[Annual Other Fuel 2
(kBtu)]="",NOT(ISNUMBER(Table_UtilityInputS1[Annual Other Fuel 2
(kBtu)]))),0,Table_Perf_S01[[#This Row],[Other Fuel 2 (kBtu)]]*INDEX(Table_UtilityDecarb[Carbon Intensity (tCO2e/kBtu)],MATCH(S$46,Table_UtilityDecarb[Fuel Type],0)))</f>
        <v>0</v>
      </c>
      <c r="T72" s="100">
        <f>IF(Table_Perf_S01[[#This Row],[Year]]&gt;2050,NA(),_xlfn.AGGREGATE(9,6,Table_Perf_S01[[#This Row],[LL97 Electricity (tCO2e)]:[LL97 Other Fuel 2 (tCO2e)]]))</f>
        <v>116.4043595</v>
      </c>
      <c r="U72" s="100">
        <f>IF(Table_Perf_S01[[#This Row],[Year]]&lt;2035,NA(),INDEX(Table_LimitsCalc_Sample1[Total Limits (tCO2e)],MATCH(Table_Perf_S01[[#This Row],[Year]],Table_LimitsCalc_Sample1[Year],0)))</f>
        <v>117.39162589999999</v>
      </c>
      <c r="V72" s="100" cm="1">
        <f t="array" ref="V72">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272.52461199999999</v>
      </c>
      <c r="W72" s="100">
        <f>IF(Table_Perf_S01[[#This Row],[LL97 Emissions Limit (tCO2e)]]="",0,MAX(0,Table_Perf_S01[[#This Row],[LL97 Business-As-Usual Emissions]]-Table_Perf_S01[[#This Row],[LL97 Emissions Limit (tCO2e)]]))</f>
        <v>155.13298609999998</v>
      </c>
      <c r="X72" s="100">
        <f>IF(Table_Perf_S01[[#This Row],[LL97 Emissions Limit (tCO2e)]]="",0,MAX(0,Table_Perf_S01[[#This Row],[LL97 Emissions After Measures]]-Table_Perf_S01[[#This Row],[LL97 Emissions Limit (tCO2e)]]))</f>
        <v>0</v>
      </c>
      <c r="Y72" s="100">
        <f>Table_Perf_S01[[#This Row],[LL97 Business-As-Usual Emissions]]-Table_Perf_S01[[#This Row],[LL97 Emissions After Measures]]</f>
        <v>156.12025249999999</v>
      </c>
      <c r="Z72" s="102" t="str">
        <f>IF(Table_Perf_S01[[#This Row],[Year]]&lt;2024,"Not in enforcement period",IF(Table_Perf_S01[[#This Row],[LL97 Excess Emissions After Measures]]=0,"Compliant","Not-Compliant"))</f>
        <v>Compliant</v>
      </c>
      <c r="AA72" s="104">
        <f>IFERROR(-268*Table_Perf_S01[[#This Row],[LL97 Excess Emissions After Measures]],0)</f>
        <v>0</v>
      </c>
      <c r="AB72" s="102">
        <f>IFERROR(268*MIN(Table_Perf_S01[[#This Row],[LL97 BAU Excess Emissions]],Table_Perf_S01[[#This Row],[LL97 Emissions Reduced by Measures]]),0)</f>
        <v>41575.640274799996</v>
      </c>
      <c r="AC72" s="105">
        <f>IF(OR(Table_Perf_S01[[#This Row],[Year]]&lt;2024,Table_Perf_S01[[#This Row],[Year]]&gt;2050,ISERROR(Table_Perf_S01[[#This Row],[LL97 Adjusted Penalty After Measures]])),"",Table_Perf_S01[[#This Row],[LL97 Adjusted Penalty After Measures]])</f>
        <v>0</v>
      </c>
      <c r="AD72" s="102">
        <f>IF(Table_Perf_S01[[#This Row],[Year]]&gt;2050,NA(),_xlfn.AGGREGATE(9,6,Table_Perf_S01[[#This Row],[Measure Cost ($)]],Table_Perf_S01[[#This Row],[Utility Savings ($)]],Table_Perf_S01[[#This Row],[LL97 Penalty Avoided by Measures ($)]]))</f>
        <v>72917.640274799996</v>
      </c>
      <c r="AE72" s="102">
        <f>SUM($AD$48:AD72)</f>
        <v>408697.55416</v>
      </c>
      <c r="AF72" s="102">
        <f>IF(Table_Perf_S01[[#This Row],[Year]]&gt;2050,NA(),_xlfn.AGGREGATE(9,6,Table_Perf_S01[[#This Row],[Measure Cost ($)]],Table_Perf_S01[[#This Row],[LL97 Adjusted Penalty After Measures]]))</f>
        <v>0</v>
      </c>
      <c r="AG72" s="106">
        <f>Table_Perf_S01[[#This Row],[Year]]</f>
        <v>2048</v>
      </c>
      <c r="AH72" s="99">
        <f>COUNTIFS(Table_ECM_S01[When will the measure installation be complete and operational?],"&lt;="&amp;Table_Perf_S01[[#This Row],[Yr]],Table_ECM_S01[Would you like to Include this measure in the decarbonization pathway?],TRUE)</f>
        <v>15</v>
      </c>
      <c r="AI72" s="99" t="str">
        <f>IF(Table_Perf_S01[[#This Row],[Measure Qty]]=AH71,"",_xlfn.CONCAT(Table_Perf_S01[[#This Row],[Measure Qty]], " Measures Done"))</f>
        <v/>
      </c>
      <c r="AJ72" s="107" t="e">
        <f>IF(Table_Perf_S01[[#This Row],[Measure Label]]="",NA(),Table_Perf_S01[[#This Row],[LL97 Emissions After Measures]])</f>
        <v>#N/A</v>
      </c>
    </row>
    <row r="73" spans="1:55" hidden="1" outlineLevel="1">
      <c r="C73" s="98">
        <v>25</v>
      </c>
      <c r="D73" s="108">
        <f>IF(BaseYr+Table_Perf_S01[[#This Row],['#]]&gt;EndYr,NA(),BaseYr+Table_Perf_S01[[#This Row],['#]])</f>
        <v>2049</v>
      </c>
      <c r="E73" s="109" cm="1">
        <f t="array" ref="E73">MAX(0,IF(Table_Perf_S01[[#This Row],[Year]]=BaseYr,IFERROR(Table_UtilityInputS1[Annual Electricity 
(kWh)]*3.412,0),
(E72-3.412*SUMIFS(Table_ECM_S01[Annual Electricity Savings
(kWh)],Table_ECM_S01[When will the measure installation be complete and operational?],Table_Perf_S01[[#This Row],[Year]],Table_ECM_S01[Would you like to Include this measure in the decarbonization pathway?],TRUE))))</f>
        <v>1944734.2279999999</v>
      </c>
      <c r="F73" s="109" cm="1">
        <f t="array" ref="F73">MAX(0,IF(Table_Perf_S01[[#This Row],[Year]]=BaseYr,IFERROR(Table_UtilityInputS1[Annual Natural Gas  
(therm)]*100,0),
(F72-100*SUMIFS(Table_ECM_S01[Annual Natural Gas Savings
(therm)],Table_ECM_S01[When will the measure installation be complete and operational?],Table_Perf_S01[[#This Row],[Year]],Table_ECM_S01[Would you like to Include this measure in the decarbonization pathway?],TRUE))))</f>
        <v>1413700</v>
      </c>
      <c r="G73" s="109" cm="1">
        <f t="array" ref="G73">MAX(0,IF(Table_Perf_S01[[#This Row],[Year]]=BaseYr,IFERROR(Table_UtilityInputS1[Annual Fuel Oil'#2
(Gallon)]*138,0),
(G72-138*SUMIFS(Table_ECM_S01[Annual Fuel Oil'#2 Savings
(Gallon)],Table_ECM_S01[When will the measure installation be complete and operational?],Table_Perf_S01[[#This Row],[Year]],Table_ECM_S01[Would you like to Include this measure in the decarbonization pathway?],TRUE))))</f>
        <v>0</v>
      </c>
      <c r="H73" s="109" cm="1">
        <f t="array" ref="H73">MAX(0,IF(Table_Perf_S01[[#This Row],[Year]]=BaseYr,IFERROR(Table_UtilityInputS1[Annual District Steam  
(Mlb for ConEd, kLb for others)]*1194,0),
(H72-1194*SUMIFS(Table_ECM_S01[Annual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73" s="109" cm="1">
        <f t="array" ref="I73">MAX(0,IF(Table_Perf_S01[[#This Row],[Year]]=BaseYr,IFERROR(Table_UtilityInputS1[Annual Other Fuel 1
(kBtu)],0),
(I72-SUMIFS(Table_ECM_S01[Annual Other Fuel 1 Savings
(kBtu)],Table_ECM_S01[When will the measure installation be complete and operational?],Table_Perf_S01[[#This Row],[Year]],Table_ECM_S01[Would you like to Include this measure in the decarbonization pathway?],TRUE))))</f>
        <v>0</v>
      </c>
      <c r="J73" s="100" cm="1">
        <f t="array" ref="J73">MAX(0,IF(Table_Perf_S01[[#This Row],[Year]]=BaseYr,IFERROR(Table_UtilityInputS1[Annual Other Fuel 2
(kBtu)],0),
(J72-SUMIFS(Table_ECM_S01[Annual Other Fuel 2 Savings
(kBtu)],Table_ECM_S01[When will the measure installation be complete and operational?],Table_Perf_S01[[#This Row],[Year]],Table_ECM_S01[Would you like to Include this measure in the decarbonization pathway?],TRUE))))</f>
        <v>0</v>
      </c>
      <c r="K73" s="101">
        <f>-SUMIFS(Table_ECM_S01[Cost to Install Measures ($)],Table_ECM_S01[When will the measure installation be complete and operational?],Table_Perf_S01[[#This Row],[Year]],Table_ECM_S01[Would you like to Include this measure in the decarbonization pathway?],TRUE)</f>
        <v>0</v>
      </c>
      <c r="L73" s="102" cm="1">
        <f t="array" ref="L73">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73" s="103"/>
      <c r="N73" s="100" cm="1">
        <f t="array" ref="N73">Table_Perf_S01[[#This Row],[Electricity (kBtu)]]*INDEX(Table_UtilityDecarb[Carbon Intensity (tCO2e/kBtu)],MATCH(N$46&amp;Table_Perf_S01[[#This Row],[Year]],Table_UtilityDecarb[Fuel Type]&amp;Table_UtilityDecarb[Year],0))</f>
        <v>41.3227525</v>
      </c>
      <c r="O73" s="100">
        <f>Table_Perf_S01[[#This Row],[Natural Gas (kBtu)]]*INDEX(Table_UtilityDecarb[Carbon Intensity (tCO2e/kBtu)],MATCH(O$46,Table_UtilityDecarb[Fuel Type],0))</f>
        <v>75.081606999999991</v>
      </c>
      <c r="P73" s="100">
        <f>Table_Perf_S01[[#This Row],[Fuel Oil'#2 (kBtu)]]*INDEX(Table_UtilityDecarb[Carbon Intensity (tCO2e/kBtu)],MATCH(P$46,Table_UtilityDecarb[Fuel Type],0))</f>
        <v>0</v>
      </c>
      <c r="Q73" s="100" cm="1">
        <f t="array" ref="Q73">Table_Perf_S01[[#This Row],[District Steam (kBtu)]]*INDEX(Table_UtilityDecarb[Carbon Intensity (tCO2e/kBtu)],MATCH(Q$46&amp;Table_Perf_S01[[#This Row],[Year]],Table_UtilityDecarb[Fuel Type]&amp;Table_UtilityDecarb[Year],0))</f>
        <v>0</v>
      </c>
      <c r="R73" s="100" cm="1">
        <f t="array" ref="R73">IF(OR(Table_UtilityInputS1[Annual Other Fuel 1
(kBtu)]="",NOT(ISNUMBER(Table_UtilityInputS1[Annual Other Fuel 1
(kBtu)]))),0,Table_Perf_S01[[#This Row],[Other Fuel 1 (kBtu)]]*INDEX(Table_UtilityDecarb[Carbon Intensity (tCO2e/kBtu)],MATCH(R$46,Table_UtilityDecarb[Fuel Type],0)))</f>
        <v>0</v>
      </c>
      <c r="S73" s="100" cm="1">
        <f t="array" ref="S73">IF(OR(Table_UtilityInputS1[Annual Other Fuel 2
(kBtu)]="",NOT(ISNUMBER(Table_UtilityInputS1[Annual Other Fuel 2
(kBtu)]))),0,Table_Perf_S01[[#This Row],[Other Fuel 2 (kBtu)]]*INDEX(Table_UtilityDecarb[Carbon Intensity (tCO2e/kBtu)],MATCH(S$46,Table_UtilityDecarb[Fuel Type],0)))</f>
        <v>0</v>
      </c>
      <c r="T73" s="100">
        <f>IF(Table_Perf_S01[[#This Row],[Year]]&gt;2050,NA(),_xlfn.AGGREGATE(9,6,Table_Perf_S01[[#This Row],[LL97 Electricity (tCO2e)]:[LL97 Other Fuel 2 (tCO2e)]]))</f>
        <v>116.4043595</v>
      </c>
      <c r="U73" s="100">
        <f>IF(Table_Perf_S01[[#This Row],[Year]]&lt;2035,NA(),INDEX(Table_LimitsCalc_Sample1[Total Limits (tCO2e)],MATCH(Table_Perf_S01[[#This Row],[Year]],Table_LimitsCalc_Sample1[Year],0)))</f>
        <v>117.39162589999999</v>
      </c>
      <c r="V73" s="100" cm="1">
        <f t="array" ref="V73">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272.52461199999999</v>
      </c>
      <c r="W73" s="100">
        <f>IF(Table_Perf_S01[[#This Row],[LL97 Emissions Limit (tCO2e)]]="",0,MAX(0,Table_Perf_S01[[#This Row],[LL97 Business-As-Usual Emissions]]-Table_Perf_S01[[#This Row],[LL97 Emissions Limit (tCO2e)]]))</f>
        <v>155.13298609999998</v>
      </c>
      <c r="X73" s="100">
        <f>IF(Table_Perf_S01[[#This Row],[LL97 Emissions Limit (tCO2e)]]="",0,MAX(0,Table_Perf_S01[[#This Row],[LL97 Emissions After Measures]]-Table_Perf_S01[[#This Row],[LL97 Emissions Limit (tCO2e)]]))</f>
        <v>0</v>
      </c>
      <c r="Y73" s="100">
        <f>Table_Perf_S01[[#This Row],[LL97 Business-As-Usual Emissions]]-Table_Perf_S01[[#This Row],[LL97 Emissions After Measures]]</f>
        <v>156.12025249999999</v>
      </c>
      <c r="Z73" s="102" t="str">
        <f>IF(Table_Perf_S01[[#This Row],[Year]]&lt;2024,"Not in enforcement period",IF(Table_Perf_S01[[#This Row],[LL97 Excess Emissions After Measures]]=0,"Compliant","Not-Compliant"))</f>
        <v>Compliant</v>
      </c>
      <c r="AA73" s="104">
        <f>IFERROR(-268*Table_Perf_S01[[#This Row],[LL97 Excess Emissions After Measures]],0)</f>
        <v>0</v>
      </c>
      <c r="AB73" s="102">
        <f>IFERROR(268*MIN(Table_Perf_S01[[#This Row],[LL97 BAU Excess Emissions]],Table_Perf_S01[[#This Row],[LL97 Emissions Reduced by Measures]]),0)</f>
        <v>41575.640274799996</v>
      </c>
      <c r="AC73" s="105">
        <f>IF(OR(Table_Perf_S01[[#This Row],[Year]]&lt;2024,Table_Perf_S01[[#This Row],[Year]]&gt;2050,ISERROR(Table_Perf_S01[[#This Row],[LL97 Adjusted Penalty After Measures]])),"",Table_Perf_S01[[#This Row],[LL97 Adjusted Penalty After Measures]])</f>
        <v>0</v>
      </c>
      <c r="AD73" s="102">
        <f>IF(Table_Perf_S01[[#This Row],[Year]]&gt;2050,NA(),_xlfn.AGGREGATE(9,6,Table_Perf_S01[[#This Row],[Measure Cost ($)]],Table_Perf_S01[[#This Row],[Utility Savings ($)]],Table_Perf_S01[[#This Row],[LL97 Penalty Avoided by Measures ($)]]))</f>
        <v>72917.640274799996</v>
      </c>
      <c r="AE73" s="102">
        <f>SUM($AD$48:AD73)</f>
        <v>481615.19443480001</v>
      </c>
      <c r="AF73" s="102">
        <f>IF(Table_Perf_S01[[#This Row],[Year]]&gt;2050,NA(),_xlfn.AGGREGATE(9,6,Table_Perf_S01[[#This Row],[Measure Cost ($)]],Table_Perf_S01[[#This Row],[LL97 Adjusted Penalty After Measures]]))</f>
        <v>0</v>
      </c>
      <c r="AG73" s="106">
        <f>Table_Perf_S01[[#This Row],[Year]]</f>
        <v>2049</v>
      </c>
      <c r="AH73" s="99">
        <f>COUNTIFS(Table_ECM_S01[When will the measure installation be complete and operational?],"&lt;="&amp;Table_Perf_S01[[#This Row],[Yr]],Table_ECM_S01[Would you like to Include this measure in the decarbonization pathway?],TRUE)</f>
        <v>15</v>
      </c>
      <c r="AI73" s="99" t="str">
        <f>IF(Table_Perf_S01[[#This Row],[Measure Qty]]=AH72,"",_xlfn.CONCAT(Table_Perf_S01[[#This Row],[Measure Qty]], " Measures Done"))</f>
        <v/>
      </c>
      <c r="AJ73" s="107" t="e">
        <f>IF(Table_Perf_S01[[#This Row],[Measure Label]]="",NA(),Table_Perf_S01[[#This Row],[LL97 Emissions After Measures]])</f>
        <v>#N/A</v>
      </c>
    </row>
    <row r="74" spans="1:55" hidden="1" outlineLevel="1">
      <c r="C74" s="98">
        <v>26</v>
      </c>
      <c r="D74" s="108">
        <f>IF(BaseYr+Table_Perf_S01[[#This Row],['#]]&gt;EndYr,NA(),BaseYr+Table_Perf_S01[[#This Row],['#]])</f>
        <v>2050</v>
      </c>
      <c r="E74" s="109" cm="1">
        <f t="array" ref="E74">MAX(0,IF(Table_Perf_S01[[#This Row],[Year]]=BaseYr,IFERROR(Table_UtilityInputS1[Annual Electricity 
(kWh)]*3.412,0),
(E73-3.412*SUMIFS(Table_ECM_S01[Annual Electricity Savings
(kWh)],Table_ECM_S01[When will the measure installation be complete and operational?],Table_Perf_S01[[#This Row],[Year]],Table_ECM_S01[Would you like to Include this measure in the decarbonization pathway?],TRUE))))</f>
        <v>1944734.2279999999</v>
      </c>
      <c r="F74" s="109" cm="1">
        <f t="array" ref="F74">MAX(0,IF(Table_Perf_S01[[#This Row],[Year]]=BaseYr,IFERROR(Table_UtilityInputS1[Annual Natural Gas  
(therm)]*100,0),
(F73-100*SUMIFS(Table_ECM_S01[Annual Natural Gas Savings
(therm)],Table_ECM_S01[When will the measure installation be complete and operational?],Table_Perf_S01[[#This Row],[Year]],Table_ECM_S01[Would you like to Include this measure in the decarbonization pathway?],TRUE))))</f>
        <v>1413700</v>
      </c>
      <c r="G74" s="109" cm="1">
        <f t="array" ref="G74">MAX(0,IF(Table_Perf_S01[[#This Row],[Year]]=BaseYr,IFERROR(Table_UtilityInputS1[Annual Fuel Oil'#2
(Gallon)]*138,0),
(G73-138*SUMIFS(Table_ECM_S01[Annual Fuel Oil'#2 Savings
(Gallon)],Table_ECM_S01[When will the measure installation be complete and operational?],Table_Perf_S01[[#This Row],[Year]],Table_ECM_S01[Would you like to Include this measure in the decarbonization pathway?],TRUE))))</f>
        <v>0</v>
      </c>
      <c r="H74" s="109" cm="1">
        <f t="array" ref="H74">MAX(0,IF(Table_Perf_S01[[#This Row],[Year]]=BaseYr,IFERROR(Table_UtilityInputS1[Annual District Steam  
(Mlb for ConEd, kLb for others)]*1194,0),
(H73-1194*SUMIFS(Table_ECM_S01[Annual District Steam Savings
(Mlb for ConEd, klb for others)],Table_ECM_S01[When will the measure installation be complete and operational?],Table_Perf_S01[[#This Row],[Year]],Table_ECM_S01[Would you like to Include this measure in the decarbonization pathway?],TRUE))))</f>
        <v>0</v>
      </c>
      <c r="I74" s="109" cm="1">
        <f t="array" ref="I74">MAX(0,IF(Table_Perf_S01[[#This Row],[Year]]=BaseYr,IFERROR(Table_UtilityInputS1[Annual Other Fuel 1
(kBtu)],0),
(I73-SUMIFS(Table_ECM_S01[Annual Other Fuel 1 Savings
(kBtu)],Table_ECM_S01[When will the measure installation be complete and operational?],Table_Perf_S01[[#This Row],[Year]],Table_ECM_S01[Would you like to Include this measure in the decarbonization pathway?],TRUE))))</f>
        <v>0</v>
      </c>
      <c r="J74" s="100" cm="1">
        <f t="array" ref="J74">MAX(0,IF(Table_Perf_S01[[#This Row],[Year]]=BaseYr,IFERROR(Table_UtilityInputS1[Annual Other Fuel 2
(kBtu)],0),
(J73-SUMIFS(Table_ECM_S01[Annual Other Fuel 2 Savings
(kBtu)],Table_ECM_S01[When will the measure installation be complete and operational?],Table_Perf_S01[[#This Row],[Year]],Table_ECM_S01[Would you like to Include this measure in the decarbonization pathway?],TRUE))))</f>
        <v>0</v>
      </c>
      <c r="K74" s="101">
        <f>-SUMIFS(Table_ECM_S01[Cost to Install Measures ($)],Table_ECM_S01[When will the measure installation be complete and operational?],Table_Perf_S01[[#This Row],[Year]],Table_ECM_S01[Would you like to Include this measure in the decarbonization pathway?],TRUE)</f>
        <v>0</v>
      </c>
      <c r="L74" s="102" cm="1">
        <f t="array" ref="L74">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31342</v>
      </c>
      <c r="M74" s="103"/>
      <c r="N74" s="100" cm="1">
        <f t="array" ref="N74">Table_Perf_S01[[#This Row],[Electricity (kBtu)]]*INDEX(Table_UtilityDecarb[Carbon Intensity (tCO2e/kBtu)],MATCH(N$46&amp;Table_Perf_S01[[#This Row],[Year]],Table_UtilityDecarb[Fuel Type]&amp;Table_UtilityDecarb[Year],0))</f>
        <v>0</v>
      </c>
      <c r="O74" s="100">
        <f>Table_Perf_S01[[#This Row],[Natural Gas (kBtu)]]*INDEX(Table_UtilityDecarb[Carbon Intensity (tCO2e/kBtu)],MATCH(O$46,Table_UtilityDecarb[Fuel Type],0))</f>
        <v>75.081606999999991</v>
      </c>
      <c r="P74" s="100">
        <f>Table_Perf_S01[[#This Row],[Fuel Oil'#2 (kBtu)]]*INDEX(Table_UtilityDecarb[Carbon Intensity (tCO2e/kBtu)],MATCH(P$46,Table_UtilityDecarb[Fuel Type],0))</f>
        <v>0</v>
      </c>
      <c r="Q74" s="100" cm="1">
        <f t="array" ref="Q74">Table_Perf_S01[[#This Row],[District Steam (kBtu)]]*INDEX(Table_UtilityDecarb[Carbon Intensity (tCO2e/kBtu)],MATCH(Q$46&amp;Table_Perf_S01[[#This Row],[Year]],Table_UtilityDecarb[Fuel Type]&amp;Table_UtilityDecarb[Year],0))</f>
        <v>0</v>
      </c>
      <c r="R74" s="100" cm="1">
        <f t="array" ref="R74">IF(OR(Table_UtilityInputS1[Annual Other Fuel 1
(kBtu)]="",NOT(ISNUMBER(Table_UtilityInputS1[Annual Other Fuel 1
(kBtu)]))),0,Table_Perf_S01[[#This Row],[Other Fuel 1 (kBtu)]]*INDEX(Table_UtilityDecarb[Carbon Intensity (tCO2e/kBtu)],MATCH(R$46,Table_UtilityDecarb[Fuel Type],0)))</f>
        <v>0</v>
      </c>
      <c r="S74" s="100" cm="1">
        <f t="array" ref="S74">IF(OR(Table_UtilityInputS1[Annual Other Fuel 2
(kBtu)]="",NOT(ISNUMBER(Table_UtilityInputS1[Annual Other Fuel 2
(kBtu)]))),0,Table_Perf_S01[[#This Row],[Other Fuel 2 (kBtu)]]*INDEX(Table_UtilityDecarb[Carbon Intensity (tCO2e/kBtu)],MATCH(S$46,Table_UtilityDecarb[Fuel Type],0)))</f>
        <v>0</v>
      </c>
      <c r="T74" s="100">
        <f>IF(Table_Perf_S01[[#This Row],[Year]]&gt;2050,NA(),_xlfn.AGGREGATE(9,6,Table_Perf_S01[[#This Row],[LL97 Electricity (tCO2e)]:[LL97 Other Fuel 2 (tCO2e)]]))</f>
        <v>75.081606999999991</v>
      </c>
      <c r="U74" s="100">
        <f>IF(Table_Perf_S01[[#This Row],[Year]]&lt;2035,NA(),INDEX(Table_LimitsCalc_Sample1[Total Limits (tCO2e)],MATCH(Table_Perf_S01[[#This Row],[Year]],Table_LimitsCalc_Sample1[Year],0)))</f>
        <v>0</v>
      </c>
      <c r="V74" s="100" cm="1">
        <f t="array" ref="V74">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230.42835700000001</v>
      </c>
      <c r="W74" s="100">
        <f>IF(Table_Perf_S01[[#This Row],[LL97 Emissions Limit (tCO2e)]]="",0,MAX(0,Table_Perf_S01[[#This Row],[LL97 Business-As-Usual Emissions]]-Table_Perf_S01[[#This Row],[LL97 Emissions Limit (tCO2e)]]))</f>
        <v>230.42835700000001</v>
      </c>
      <c r="X74" s="100">
        <f>IF(Table_Perf_S01[[#This Row],[LL97 Emissions Limit (tCO2e)]]="",0,MAX(0,Table_Perf_S01[[#This Row],[LL97 Emissions After Measures]]-Table_Perf_S01[[#This Row],[LL97 Emissions Limit (tCO2e)]]))</f>
        <v>75.081606999999991</v>
      </c>
      <c r="Y74" s="100">
        <f>Table_Perf_S01[[#This Row],[LL97 Business-As-Usual Emissions]]-Table_Perf_S01[[#This Row],[LL97 Emissions After Measures]]</f>
        <v>155.34675000000001</v>
      </c>
      <c r="Z74" s="102" t="str">
        <f>IF(Table_Perf_S01[[#This Row],[Year]]&lt;2024,"Not in enforcement period",IF(Table_Perf_S01[[#This Row],[LL97 Excess Emissions After Measures]]=0,"Compliant","Not-Compliant"))</f>
        <v>Not-Compliant</v>
      </c>
      <c r="AA74" s="104">
        <f>IFERROR(-268*Table_Perf_S01[[#This Row],[LL97 Excess Emissions After Measures]],0)</f>
        <v>-20121.870675999999</v>
      </c>
      <c r="AB74" s="102">
        <f>IFERROR(268*MIN(Table_Perf_S01[[#This Row],[LL97 BAU Excess Emissions]],Table_Perf_S01[[#This Row],[LL97 Emissions Reduced by Measures]]),0)</f>
        <v>41632.929000000004</v>
      </c>
      <c r="AC74" s="105">
        <f>IF(OR(Table_Perf_S01[[#This Row],[Year]]&lt;2024,Table_Perf_S01[[#This Row],[Year]]&gt;2050,ISERROR(Table_Perf_S01[[#This Row],[LL97 Adjusted Penalty After Measures]])),"",Table_Perf_S01[[#This Row],[LL97 Adjusted Penalty After Measures]])</f>
        <v>-20121.870675999999</v>
      </c>
      <c r="AD74" s="102">
        <f>IF(Table_Perf_S01[[#This Row],[Year]]&gt;2050,NA(),_xlfn.AGGREGATE(9,6,Table_Perf_S01[[#This Row],[Measure Cost ($)]],Table_Perf_S01[[#This Row],[Utility Savings ($)]],Table_Perf_S01[[#This Row],[LL97 Penalty Avoided by Measures ($)]]))</f>
        <v>72974.929000000004</v>
      </c>
      <c r="AE74" s="102">
        <f>SUM($AD$48:AD74)</f>
        <v>554590.12343479996</v>
      </c>
      <c r="AF74" s="102">
        <f>IF(Table_Perf_S01[[#This Row],[Year]]&gt;2050,NA(),_xlfn.AGGREGATE(9,6,Table_Perf_S01[[#This Row],[Measure Cost ($)]],Table_Perf_S01[[#This Row],[LL97 Adjusted Penalty After Measures]]))</f>
        <v>-20121.870675999999</v>
      </c>
      <c r="AG74" s="106">
        <f>Table_Perf_S01[[#This Row],[Year]]</f>
        <v>2050</v>
      </c>
      <c r="AH74" s="99">
        <f>COUNTIFS(Table_ECM_S01[When will the measure installation be complete and operational?],"&lt;="&amp;Table_Perf_S01[[#This Row],[Yr]],Table_ECM_S01[Would you like to Include this measure in the decarbonization pathway?],TRUE)</f>
        <v>15</v>
      </c>
      <c r="AI74" s="99" t="str">
        <f>IF(Table_Perf_S01[[#This Row],[Measure Qty]]=AH73,"",_xlfn.CONCAT(Table_Perf_S01[[#This Row],[Measure Qty]], " Measures Done"))</f>
        <v/>
      </c>
      <c r="AJ74" s="107" t="e">
        <f>IF(Table_Perf_S01[[#This Row],[Measure Label]]="",NA(),Table_Perf_S01[[#This Row],[LL97 Emissions After Measures]])</f>
        <v>#N/A</v>
      </c>
    </row>
    <row r="75" spans="1:55" hidden="1" outlineLevel="1">
      <c r="C75" s="112">
        <v>27</v>
      </c>
      <c r="D75" s="113" t="e">
        <f>IF(BaseYr+Table_Perf_S01[[#This Row],['#]]&gt;EndYr,NA(),BaseYr+Table_Perf_S01[[#This Row],['#]])</f>
        <v>#N/A</v>
      </c>
      <c r="E75" s="114" t="e" cm="1">
        <f t="array" ref="E75">MAX(0,IF(Table_Perf_S01[[#This Row],[Year]]=BaseYr,IFERROR(Table_UtilityInputS1[Annual Electricity 
(kWh)]*3.412,0),
(E74-3.412*SUMIFS(Table_ECM_S01[Annual Electricity Savings
(kWh)],Table_ECM_S01[When will the measure installation be complete and operational?],Table_Perf_S01[[#This Row],[Year]],Table_ECM_S01[Would you like to Include this measure in the decarbonization pathway?],TRUE))))</f>
        <v>#N/A</v>
      </c>
      <c r="F75" s="114" t="e" cm="1">
        <f t="array" ref="F75">MAX(0,IF(Table_Perf_S01[[#This Row],[Year]]=BaseYr,IFERROR(Table_UtilityInputS1[Annual Natural Gas  
(therm)]*100,0),
(F74-100*SUMIFS(Table_ECM_S01[Annual Natural Gas Savings
(therm)],Table_ECM_S01[When will the measure installation be complete and operational?],Table_Perf_S01[[#This Row],[Year]],Table_ECM_S01[Would you like to Include this measure in the decarbonization pathway?],TRUE))))</f>
        <v>#N/A</v>
      </c>
      <c r="G75" s="114" t="e" cm="1">
        <f t="array" ref="G75">MAX(0,IF(Table_Perf_S01[[#This Row],[Year]]=BaseYr,IFERROR(Table_UtilityInputS1[Annual Fuel Oil'#2
(Gallon)]*138,0),
(G74-138*SUMIFS(Table_ECM_S01[Annual Fuel Oil'#2 Savings
(Gallon)],Table_ECM_S01[When will the measure installation be complete and operational?],Table_Perf_S01[[#This Row],[Year]],Table_ECM_S01[Would you like to Include this measure in the decarbonization pathway?],TRUE))))</f>
        <v>#N/A</v>
      </c>
      <c r="H75" s="114" t="e" cm="1">
        <f t="array" ref="H75">MAX(0,IF(Table_Perf_S01[[#This Row],[Year]]=BaseYr,IFERROR(Table_UtilityInputS1[Annual District Steam  
(Mlb for ConEd, kLb for others)]*1194,0),
(H74-1194*SUMIFS(Table_ECM_S01[Annual District Steam Savings
(Mlb for ConEd, klb for others)],Table_ECM_S01[When will the measure installation be complete and operational?],Table_Perf_S01[[#This Row],[Year]],Table_ECM_S01[Would you like to Include this measure in the decarbonization pathway?],TRUE))))</f>
        <v>#N/A</v>
      </c>
      <c r="I75" s="114" t="e" cm="1">
        <f t="array" ref="I75">MAX(0,IF(Table_Perf_S01[[#This Row],[Year]]=BaseYr,IFERROR(Table_UtilityInputS1[Annual Other Fuel 1
(kBtu)],0),
(I74-SUMIFS(Table_ECM_S01[Annual Other Fuel 1 Savings
(kBtu)],Table_ECM_S01[When will the measure installation be complete and operational?],Table_Perf_S01[[#This Row],[Year]],Table_ECM_S01[Would you like to Include this measure in the decarbonization pathway?],TRUE))))</f>
        <v>#N/A</v>
      </c>
      <c r="J75" s="115" t="e" cm="1">
        <f t="array" ref="J75">MAX(0,IF(Table_Perf_S01[[#This Row],[Year]]=BaseYr,IFERROR(Table_UtilityInputS1[Annual Other Fuel 2
(kBtu)],0),
(J74-SUMIFS(Table_ECM_S01[Annual Other Fuel 2 Savings
(kBtu)],Table_ECM_S01[When will the measure installation be complete and operational?],Table_Perf_S01[[#This Row],[Year]],Table_ECM_S01[Would you like to Include this measure in the decarbonization pathway?],TRUE))))</f>
        <v>#N/A</v>
      </c>
      <c r="K75" s="116">
        <f>-SUMIFS(Table_ECM_S01[Cost to Install Measures ($)],Table_ECM_S01[When will the measure installation be complete and operational?],Table_Perf_S01[[#This Row],[Year]],Table_ECM_S01[Would you like to Include this measure in the decarbonization pathway?],TRUE)</f>
        <v>0</v>
      </c>
      <c r="L75" s="117" cm="1">
        <f t="array" ref="L75">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0</v>
      </c>
      <c r="M75" s="118"/>
      <c r="N75" s="115" t="e" cm="1">
        <f t="array" ref="N75">Table_Perf_S01[[#This Row],[Electricity (kBtu)]]*INDEX(Table_UtilityDecarb[Carbon Intensity (tCO2e/kBtu)],MATCH(N$46&amp;Table_Perf_S01[[#This Row],[Year]],Table_UtilityDecarb[Fuel Type]&amp;Table_UtilityDecarb[Year],0))</f>
        <v>#N/A</v>
      </c>
      <c r="O75" s="115" t="e">
        <f>Table_Perf_S01[[#This Row],[Natural Gas (kBtu)]]*INDEX(Table_UtilityDecarb[Carbon Intensity (tCO2e/kBtu)],MATCH(O$46,Table_UtilityDecarb[Fuel Type],0))</f>
        <v>#N/A</v>
      </c>
      <c r="P75" s="115" t="e">
        <f>Table_Perf_S01[[#This Row],[Fuel Oil'#2 (kBtu)]]*INDEX(Table_UtilityDecarb[Carbon Intensity (tCO2e/kBtu)],MATCH(P$46,Table_UtilityDecarb[Fuel Type],0))</f>
        <v>#N/A</v>
      </c>
      <c r="Q75" s="115" t="e" cm="1">
        <f t="array" ref="Q75">Table_Perf_S01[[#This Row],[District Steam (kBtu)]]*INDEX(Table_UtilityDecarb[Carbon Intensity (tCO2e/kBtu)],MATCH(Q$46&amp;Table_Perf_S01[[#This Row],[Year]],Table_UtilityDecarb[Fuel Type]&amp;Table_UtilityDecarb[Year],0))</f>
        <v>#N/A</v>
      </c>
      <c r="R75" s="115" cm="1">
        <f t="array" ref="R75">IF(OR(Table_UtilityInputS1[Annual Other Fuel 1
(kBtu)]="",NOT(ISNUMBER(Table_UtilityInputS1[Annual Other Fuel 1
(kBtu)]))),0,Table_Perf_S01[[#This Row],[Other Fuel 1 (kBtu)]]*INDEX(Table_UtilityDecarb[Carbon Intensity (tCO2e/kBtu)],MATCH(R$46,Table_UtilityDecarb[Fuel Type],0)))</f>
        <v>0</v>
      </c>
      <c r="S75" s="115" cm="1">
        <f t="array" ref="S75">IF(OR(Table_UtilityInputS1[Annual Other Fuel 2
(kBtu)]="",NOT(ISNUMBER(Table_UtilityInputS1[Annual Other Fuel 2
(kBtu)]))),0,Table_Perf_S01[[#This Row],[Other Fuel 2 (kBtu)]]*INDEX(Table_UtilityDecarb[Carbon Intensity (tCO2e/kBtu)],MATCH(S$46,Table_UtilityDecarb[Fuel Type],0)))</f>
        <v>0</v>
      </c>
      <c r="T75" s="115" t="e">
        <f>IF(Table_Perf_S01[[#This Row],[Year]]&gt;2050,NA(),_xlfn.AGGREGATE(9,6,Table_Perf_S01[[#This Row],[LL97 Electricity (tCO2e)]:[LL97 Other Fuel 2 (tCO2e)]]))</f>
        <v>#N/A</v>
      </c>
      <c r="U75" s="115" t="e">
        <f>IF(Table_Perf_S01[[#This Row],[Year]]&lt;2035,NA(),INDEX(Table_LimitsCalc_Sample1[Total Limits (tCO2e)],MATCH(Table_Perf_S01[[#This Row],[Year]],Table_LimitsCalc_Sample1[Year],0)))</f>
        <v>#N/A</v>
      </c>
      <c r="V75" s="115" t="e" cm="1">
        <f t="array" ref="V75">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#N/A</v>
      </c>
      <c r="W75" s="115" t="e">
        <f>IF(Table_Perf_S01[[#This Row],[LL97 Emissions Limit (tCO2e)]]="",0,MAX(0,Table_Perf_S01[[#This Row],[LL97 Business-As-Usual Emissions]]-Table_Perf_S01[[#This Row],[LL97 Emissions Limit (tCO2e)]]))</f>
        <v>#N/A</v>
      </c>
      <c r="X75" s="115" t="e">
        <f>IF(Table_Perf_S01[[#This Row],[LL97 Emissions Limit (tCO2e)]]="",0,MAX(0,Table_Perf_S01[[#This Row],[LL97 Emissions After Measures]]-Table_Perf_S01[[#This Row],[LL97 Emissions Limit (tCO2e)]]))</f>
        <v>#N/A</v>
      </c>
      <c r="Y75" s="115" t="e">
        <f>Table_Perf_S01[[#This Row],[LL97 Business-As-Usual Emissions]]-Table_Perf_S01[[#This Row],[LL97 Emissions After Measures]]</f>
        <v>#N/A</v>
      </c>
      <c r="Z75" s="117" t="e">
        <f>IF(Table_Perf_S01[[#This Row],[Year]]&lt;2024,"Not in enforcement period",IF(Table_Perf_S01[[#This Row],[LL97 Excess Emissions After Measures]]=0,"Compliant","Not-Compliant"))</f>
        <v>#N/A</v>
      </c>
      <c r="AA75" s="119">
        <f>IFERROR(-268*Table_Perf_S01[[#This Row],[LL97 Excess Emissions After Measures]],0)</f>
        <v>0</v>
      </c>
      <c r="AB75" s="117">
        <f>IFERROR(268*MIN(Table_Perf_S01[[#This Row],[LL97 BAU Excess Emissions]],Table_Perf_S01[[#This Row],[LL97 Emissions Reduced by Measures]]),0)</f>
        <v>0</v>
      </c>
      <c r="AC75" s="120" t="e">
        <f>IF(OR(Table_Perf_S01[[#This Row],[Year]]&lt;2024,Table_Perf_S01[[#This Row],[Year]]&gt;2050,ISERROR(Table_Perf_S01[[#This Row],[LL97 Adjusted Penalty After Measures]])),"",Table_Perf_S01[[#This Row],[LL97 Adjusted Penalty After Measures]])</f>
        <v>#N/A</v>
      </c>
      <c r="AD75" s="117" t="e">
        <f>IF(Table_Perf_S01[[#This Row],[Year]]&gt;2050,NA(),_xlfn.AGGREGATE(9,6,Table_Perf_S01[[#This Row],[Measure Cost ($)]],Table_Perf_S01[[#This Row],[Utility Savings ($)]],Table_Perf_S01[[#This Row],[LL97 Penalty Avoided by Measures ($)]]))</f>
        <v>#N/A</v>
      </c>
      <c r="AE75" s="102" t="e">
        <f>SUM($AD$48:AD75)</f>
        <v>#N/A</v>
      </c>
      <c r="AF75" s="117" t="e">
        <f>IF(Table_Perf_S01[[#This Row],[Year]]&gt;2050,NA(),_xlfn.AGGREGATE(9,6,Table_Perf_S01[[#This Row],[Measure Cost ($)]],Table_Perf_S01[[#This Row],[LL97 Adjusted Penalty After Measures]]))</f>
        <v>#N/A</v>
      </c>
      <c r="AG75" s="121" t="e">
        <f>Table_Perf_S01[[#This Row],[Year]]</f>
        <v>#N/A</v>
      </c>
      <c r="AH75" s="99">
        <f>COUNTIFS(Table_ECM_S01[When will the measure installation be complete and operational?],"&lt;="&amp;Table_Perf_S01[[#This Row],[Yr]],Table_ECM_S01[Would you like to Include this measure in the decarbonization pathway?],TRUE)</f>
        <v>0</v>
      </c>
      <c r="AI75" s="99" t="str">
        <f>IF(Table_Perf_S01[[#This Row],[Measure Qty]]=AH74,"",_xlfn.CONCAT(Table_Perf_S01[[#This Row],[Measure Qty]], " Measures Done"))</f>
        <v>0 Measures Done</v>
      </c>
      <c r="AJ75" s="107" t="e">
        <f>IF(Table_Perf_S01[[#This Row],[Measure Label]]="",NA(),Table_Perf_S01[[#This Row],[LL97 Emissions After Measures]])</f>
        <v>#N/A</v>
      </c>
    </row>
    <row r="76" spans="1:55" hidden="1" outlineLevel="1">
      <c r="C76" s="98">
        <v>28</v>
      </c>
      <c r="D76" s="113" t="e">
        <f>IF(BaseYr+Table_Perf_S01[[#This Row],['#]]&gt;EndYr,NA(),BaseYr+Table_Perf_S01[[#This Row],['#]])</f>
        <v>#N/A</v>
      </c>
      <c r="E76" s="100" t="e" cm="1">
        <f t="array" ref="E76">MAX(0,IF(Table_Perf_S01[[#This Row],[Year]]=BaseYr,IFERROR(Table_UtilityInputS1[Annual Electricity 
(kWh)]*3.412,0),
(E75-3.412*SUMIFS(Table_ECM_S01[Annual Electricity Savings
(kWh)],Table_ECM_S01[When will the measure installation be complete and operational?],Table_Perf_S01[[#This Row],[Year]],Table_ECM_S01[Would you like to Include this measure in the decarbonization pathway?],TRUE))))</f>
        <v>#N/A</v>
      </c>
      <c r="F76" s="100" t="e" cm="1">
        <f t="array" ref="F76">MAX(0,IF(Table_Perf_S01[[#This Row],[Year]]=BaseYr,IFERROR(Table_UtilityInputS1[Annual Natural Gas  
(therm)]*100,0),
(F75-100*SUMIFS(Table_ECM_S01[Annual Natural Gas Savings
(therm)],Table_ECM_S01[When will the measure installation be complete and operational?],Table_Perf_S01[[#This Row],[Year]],Table_ECM_S01[Would you like to Include this measure in the decarbonization pathway?],TRUE))))</f>
        <v>#N/A</v>
      </c>
      <c r="G76" s="100" t="e" cm="1">
        <f t="array" ref="G76">MAX(0,IF(Table_Perf_S01[[#This Row],[Year]]=BaseYr,IFERROR(Table_UtilityInputS1[Annual Fuel Oil'#2
(Gallon)]*138,0),
(G75-138*SUMIFS(Table_ECM_S01[Annual Fuel Oil'#2 Savings
(Gallon)],Table_ECM_S01[When will the measure installation be complete and operational?],Table_Perf_S01[[#This Row],[Year]],Table_ECM_S01[Would you like to Include this measure in the decarbonization pathway?],TRUE))))</f>
        <v>#N/A</v>
      </c>
      <c r="H76" s="100" t="e" cm="1">
        <f t="array" ref="H76">MAX(0,IF(Table_Perf_S01[[#This Row],[Year]]=BaseYr,IFERROR(Table_UtilityInputS1[Annual District Steam  
(Mlb for ConEd, kLb for others)]*1194,0),
(H75-1194*SUMIFS(Table_ECM_S01[Annual District Steam Savings
(Mlb for ConEd, klb for others)],Table_ECM_S01[When will the measure installation be complete and operational?],Table_Perf_S01[[#This Row],[Year]],Table_ECM_S01[Would you like to Include this measure in the decarbonization pathway?],TRUE))))</f>
        <v>#N/A</v>
      </c>
      <c r="I76" s="100" t="e" cm="1">
        <f t="array" ref="I76">MAX(0,IF(Table_Perf_S01[[#This Row],[Year]]=BaseYr,IFERROR(Table_UtilityInputS1[Annual Other Fuel 1
(kBtu)],0),
(I75-SUMIFS(Table_ECM_S01[Annual Other Fuel 1 Savings
(kBtu)],Table_ECM_S01[When will the measure installation be complete and operational?],Table_Perf_S01[[#This Row],[Year]],Table_ECM_S01[Would you like to Include this measure in the decarbonization pathway?],TRUE))))</f>
        <v>#N/A</v>
      </c>
      <c r="J76" s="100" t="e" cm="1">
        <f t="array" ref="J76">MAX(0,IF(Table_Perf_S01[[#This Row],[Year]]=BaseYr,IFERROR(Table_UtilityInputS1[Annual Other Fuel 2
(kBtu)],0),
(J75-SUMIFS(Table_ECM_S01[Annual Other Fuel 2 Savings
(kBtu)],Table_ECM_S01[When will the measure installation be complete and operational?],Table_Perf_S01[[#This Row],[Year]],Table_ECM_S01[Would you like to Include this measure in the decarbonization pathway?],TRUE))))</f>
        <v>#N/A</v>
      </c>
      <c r="K76" s="101">
        <f>-SUMIFS(Table_ECM_S01[Cost to Install Measures ($)],Table_ECM_S01[When will the measure installation be complete and operational?],Table_Perf_S01[[#This Row],[Year]],Table_ECM_S01[Would you like to Include this measure in the decarbonization pathway?],TRUE)</f>
        <v>0</v>
      </c>
      <c r="L76" s="102" cm="1">
        <f t="array" ref="L76">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0</v>
      </c>
      <c r="M76" s="103"/>
      <c r="N76" s="100" t="e" cm="1">
        <f t="array" ref="N76">Table_Perf_S01[[#This Row],[Electricity (kBtu)]]*INDEX(Table_UtilityDecarb[Carbon Intensity (tCO2e/kBtu)],MATCH(N$46&amp;Table_Perf_S01[[#This Row],[Year]],Table_UtilityDecarb[Fuel Type]&amp;Table_UtilityDecarb[Year],0))</f>
        <v>#N/A</v>
      </c>
      <c r="O76" s="100" t="e">
        <f>Table_Perf_S01[[#This Row],[Natural Gas (kBtu)]]*INDEX(Table_UtilityDecarb[Carbon Intensity (tCO2e/kBtu)],MATCH(O$46,Table_UtilityDecarb[Fuel Type],0))</f>
        <v>#N/A</v>
      </c>
      <c r="P76" s="100" t="e">
        <f>Table_Perf_S01[[#This Row],[Fuel Oil'#2 (kBtu)]]*INDEX(Table_UtilityDecarb[Carbon Intensity (tCO2e/kBtu)],MATCH(P$46,Table_UtilityDecarb[Fuel Type],0))</f>
        <v>#N/A</v>
      </c>
      <c r="Q76" s="100" t="e" cm="1">
        <f t="array" ref="Q76">Table_Perf_S01[[#This Row],[District Steam (kBtu)]]*INDEX(Table_UtilityDecarb[Carbon Intensity (tCO2e/kBtu)],MATCH(Q$46&amp;Table_Perf_S01[[#This Row],[Year]],Table_UtilityDecarb[Fuel Type]&amp;Table_UtilityDecarb[Year],0))</f>
        <v>#N/A</v>
      </c>
      <c r="R76" s="100" cm="1">
        <f t="array" ref="R76">IF(OR(Table_UtilityInputS1[Annual Other Fuel 1
(kBtu)]="",NOT(ISNUMBER(Table_UtilityInputS1[Annual Other Fuel 1
(kBtu)]))),0,Table_Perf_S01[[#This Row],[Other Fuel 1 (kBtu)]]*INDEX(Table_UtilityDecarb[Carbon Intensity (tCO2e/kBtu)],MATCH(R$46,Table_UtilityDecarb[Fuel Type],0)))</f>
        <v>0</v>
      </c>
      <c r="S76" s="100" cm="1">
        <f t="array" ref="S76">IF(OR(Table_UtilityInputS1[Annual Other Fuel 2
(kBtu)]="",NOT(ISNUMBER(Table_UtilityInputS1[Annual Other Fuel 2
(kBtu)]))),0,Table_Perf_S01[[#This Row],[Other Fuel 2 (kBtu)]]*INDEX(Table_UtilityDecarb[Carbon Intensity (tCO2e/kBtu)],MATCH(S$46,Table_UtilityDecarb[Fuel Type],0)))</f>
        <v>0</v>
      </c>
      <c r="T76" s="100" t="e">
        <f>IF(Table_Perf_S01[[#This Row],[Year]]&gt;2050,NA(),_xlfn.AGGREGATE(9,6,Table_Perf_S01[[#This Row],[LL97 Electricity (tCO2e)]:[LL97 Other Fuel 2 (tCO2e)]]))</f>
        <v>#N/A</v>
      </c>
      <c r="U76" s="100" t="e">
        <f>IF(Table_Perf_S01[[#This Row],[Year]]&lt;2035,NA(),INDEX(Table_LimitsCalc_Sample1[Total Limits (tCO2e)],MATCH(Table_Perf_S01[[#This Row],[Year]],Table_LimitsCalc_Sample1[Year],0)))</f>
        <v>#N/A</v>
      </c>
      <c r="V76" s="100" t="e" cm="1">
        <f t="array" ref="V76">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#N/A</v>
      </c>
      <c r="W76" s="100" t="e">
        <f>IF(Table_Perf_S01[[#This Row],[LL97 Emissions Limit (tCO2e)]]="",0,MAX(0,Table_Perf_S01[[#This Row],[LL97 Business-As-Usual Emissions]]-Table_Perf_S01[[#This Row],[LL97 Emissions Limit (tCO2e)]]))</f>
        <v>#N/A</v>
      </c>
      <c r="X76" s="100" t="e">
        <f>IF(Table_Perf_S01[[#This Row],[LL97 Emissions Limit (tCO2e)]]="",0,MAX(0,Table_Perf_S01[[#This Row],[LL97 Emissions After Measures]]-Table_Perf_S01[[#This Row],[LL97 Emissions Limit (tCO2e)]]))</f>
        <v>#N/A</v>
      </c>
      <c r="Y76" s="100" t="e">
        <f>Table_Perf_S01[[#This Row],[LL97 Business-As-Usual Emissions]]-Table_Perf_S01[[#This Row],[LL97 Emissions After Measures]]</f>
        <v>#N/A</v>
      </c>
      <c r="Z76" s="102" t="e">
        <f>IF(Table_Perf_S01[[#This Row],[Year]]&lt;2024,"Not in enforcement period",IF(Table_Perf_S01[[#This Row],[LL97 Excess Emissions After Measures]]=0,"Compliant","Not-Compliant"))</f>
        <v>#N/A</v>
      </c>
      <c r="AA76" s="104">
        <f>IFERROR(-268*Table_Perf_S01[[#This Row],[LL97 Excess Emissions After Measures]],0)</f>
        <v>0</v>
      </c>
      <c r="AB76" s="102">
        <f>IFERROR(268*MIN(Table_Perf_S01[[#This Row],[LL97 BAU Excess Emissions]],Table_Perf_S01[[#This Row],[LL97 Emissions Reduced by Measures]]),0)</f>
        <v>0</v>
      </c>
      <c r="AC76" s="105" t="e">
        <f>IF(OR(Table_Perf_S01[[#This Row],[Year]]&lt;2024,Table_Perf_S01[[#This Row],[Year]]&gt;2050,ISERROR(Table_Perf_S01[[#This Row],[LL97 Adjusted Penalty After Measures]])),"",Table_Perf_S01[[#This Row],[LL97 Adjusted Penalty After Measures]])</f>
        <v>#N/A</v>
      </c>
      <c r="AD76" s="102" t="e">
        <f>IF(Table_Perf_S01[[#This Row],[Year]]&gt;2050,NA(),_xlfn.AGGREGATE(9,6,Table_Perf_S01[[#This Row],[Measure Cost ($)]],Table_Perf_S01[[#This Row],[Utility Savings ($)]],Table_Perf_S01[[#This Row],[LL97 Penalty Avoided by Measures ($)]]))</f>
        <v>#N/A</v>
      </c>
      <c r="AE76" s="102" t="e">
        <f>SUM($AD$48:AD76)</f>
        <v>#N/A</v>
      </c>
      <c r="AF76" s="102" t="e">
        <f>IF(Table_Perf_S01[[#This Row],[Year]]&gt;2050,NA(),_xlfn.AGGREGATE(9,6,Table_Perf_S01[[#This Row],[Measure Cost ($)]],Table_Perf_S01[[#This Row],[LL97 Adjusted Penalty After Measures]]))</f>
        <v>#N/A</v>
      </c>
      <c r="AG76" s="106" t="e">
        <f>Table_Perf_S01[[#This Row],[Year]]</f>
        <v>#N/A</v>
      </c>
      <c r="AH76" s="99">
        <f>COUNTIFS(Table_ECM_S01[When will the measure installation be complete and operational?],"&lt;="&amp;Table_Perf_S01[[#This Row],[Yr]],Table_ECM_S01[Would you like to Include this measure in the decarbonization pathway?],TRUE)</f>
        <v>0</v>
      </c>
      <c r="AI76" s="99" t="str">
        <f>IF(Table_Perf_S01[[#This Row],[Measure Qty]]=AH75,"",_xlfn.CONCAT(Table_Perf_S01[[#This Row],[Measure Qty]], " Measures Done"))</f>
        <v/>
      </c>
      <c r="AJ76" s="107" t="e">
        <f>IF(Table_Perf_S01[[#This Row],[Measure Label]]="",NA(),Table_Perf_S01[[#This Row],[LL97 Emissions After Measures]])</f>
        <v>#N/A</v>
      </c>
    </row>
    <row r="77" spans="1:55" hidden="1" outlineLevel="1">
      <c r="C77" s="98">
        <v>29</v>
      </c>
      <c r="D77" s="122" t="e">
        <f>IF(BaseYr+Table_Perf_S01[[#This Row],['#]]&gt;EndYr,NA(),BaseYr+Table_Perf_S01[[#This Row],['#]])</f>
        <v>#N/A</v>
      </c>
      <c r="E77" s="100" t="e" cm="1">
        <f t="array" ref="E77">MAX(0,IF(Table_Perf_S01[[#This Row],[Year]]=BaseYr,IFERROR(Table_UtilityInputS1[Annual Electricity 
(kWh)]*3.412,0),
(E76-3.412*SUMIFS(Table_ECM_S01[Annual Electricity Savings
(kWh)],Table_ECM_S01[When will the measure installation be complete and operational?],Table_Perf_S01[[#This Row],[Year]],Table_ECM_S01[Would you like to Include this measure in the decarbonization pathway?],TRUE))))</f>
        <v>#N/A</v>
      </c>
      <c r="F77" s="100" t="e" cm="1">
        <f t="array" ref="F77">MAX(0,IF(Table_Perf_S01[[#This Row],[Year]]=BaseYr,IFERROR(Table_UtilityInputS1[Annual Natural Gas  
(therm)]*100,0),
(F76-100*SUMIFS(Table_ECM_S01[Annual Natural Gas Savings
(therm)],Table_ECM_S01[When will the measure installation be complete and operational?],Table_Perf_S01[[#This Row],[Year]],Table_ECM_S01[Would you like to Include this measure in the decarbonization pathway?],TRUE))))</f>
        <v>#N/A</v>
      </c>
      <c r="G77" s="100" t="e" cm="1">
        <f t="array" ref="G77">MAX(0,IF(Table_Perf_S01[[#This Row],[Year]]=BaseYr,IFERROR(Table_UtilityInputS1[Annual Fuel Oil'#2
(Gallon)]*138,0),
(G76-138*SUMIFS(Table_ECM_S01[Annual Fuel Oil'#2 Savings
(Gallon)],Table_ECM_S01[When will the measure installation be complete and operational?],Table_Perf_S01[[#This Row],[Year]],Table_ECM_S01[Would you like to Include this measure in the decarbonization pathway?],TRUE))))</f>
        <v>#N/A</v>
      </c>
      <c r="H77" s="100" t="e" cm="1">
        <f t="array" ref="H77">MAX(0,IF(Table_Perf_S01[[#This Row],[Year]]=BaseYr,IFERROR(Table_UtilityInputS1[Annual District Steam  
(Mlb for ConEd, kLb for others)]*1194,0),
(H76-1194*SUMIFS(Table_ECM_S01[Annual District Steam Savings
(Mlb for ConEd, klb for others)],Table_ECM_S01[When will the measure installation be complete and operational?],Table_Perf_S01[[#This Row],[Year]],Table_ECM_S01[Would you like to Include this measure in the decarbonization pathway?],TRUE))))</f>
        <v>#N/A</v>
      </c>
      <c r="I77" s="100" t="e" cm="1">
        <f t="array" ref="I77">MAX(0,IF(Table_Perf_S01[[#This Row],[Year]]=BaseYr,IFERROR(Table_UtilityInputS1[Annual Other Fuel 1
(kBtu)],0),
(I76-SUMIFS(Table_ECM_S01[Annual Other Fuel 1 Savings
(kBtu)],Table_ECM_S01[When will the measure installation be complete and operational?],Table_Perf_S01[[#This Row],[Year]],Table_ECM_S01[Would you like to Include this measure in the decarbonization pathway?],TRUE))))</f>
        <v>#N/A</v>
      </c>
      <c r="J77" s="100" t="e" cm="1">
        <f t="array" ref="J77">MAX(0,IF(Table_Perf_S01[[#This Row],[Year]]=BaseYr,IFERROR(Table_UtilityInputS1[Annual Other Fuel 2
(kBtu)],0),
(J76-SUMIFS(Table_ECM_S01[Annual Other Fuel 2 Savings
(kBtu)],Table_ECM_S01[When will the measure installation be complete and operational?],Table_Perf_S01[[#This Row],[Year]],Table_ECM_S01[Would you like to Include this measure in the decarbonization pathway?],TRUE))))</f>
        <v>#N/A</v>
      </c>
      <c r="K77" s="101">
        <f>-SUMIFS(Table_ECM_S01[Cost to Install Measures ($)],Table_ECM_S01[When will the measure installation be complete and operational?],Table_Perf_S01[[#This Row],[Year]],Table_ECM_S01[Would you like to Include this measure in the decarbonization pathway?],TRUE)</f>
        <v>0</v>
      </c>
      <c r="L77" s="102" cm="1">
        <f t="array" ref="L77">SUMIFS(Table_ECM_S01[Total Annual Utility Savings from Audit (for reference only)
($)],Table_ECM_S01[When will the measure installation be complete and operational?],"&lt;="&amp;Table_Perf_S01[[#This Row],[Year]],Table_ECM_S01[Would you like to Include this measure in the decarbonization pathway?],TRUE,Table_ECM_S01[When will the measure installation be complete and operational?],"&gt;="&amp;Table_UtilityInputS1[Usage Year])</f>
        <v>0</v>
      </c>
      <c r="M77" s="103"/>
      <c r="N77" s="100" t="e" cm="1">
        <f t="array" ref="N77">Table_Perf_S01[[#This Row],[Electricity (kBtu)]]*INDEX(Table_UtilityDecarb[Carbon Intensity (tCO2e/kBtu)],MATCH(N$46&amp;Table_Perf_S01[[#This Row],[Year]],Table_UtilityDecarb[Fuel Type]&amp;Table_UtilityDecarb[Year],0))</f>
        <v>#N/A</v>
      </c>
      <c r="O77" s="100" t="e">
        <f>Table_Perf_S01[[#This Row],[Natural Gas (kBtu)]]*INDEX(Table_UtilityDecarb[Carbon Intensity (tCO2e/kBtu)],MATCH(O$46,Table_UtilityDecarb[Fuel Type],0))</f>
        <v>#N/A</v>
      </c>
      <c r="P77" s="100" t="e">
        <f>Table_Perf_S01[[#This Row],[Fuel Oil'#2 (kBtu)]]*INDEX(Table_UtilityDecarb[Carbon Intensity (tCO2e/kBtu)],MATCH(P$46,Table_UtilityDecarb[Fuel Type],0))</f>
        <v>#N/A</v>
      </c>
      <c r="Q77" s="100" t="e" cm="1">
        <f t="array" ref="Q77">Table_Perf_S01[[#This Row],[District Steam (kBtu)]]*INDEX(Table_UtilityDecarb[Carbon Intensity (tCO2e/kBtu)],MATCH(Q$46&amp;Table_Perf_S01[[#This Row],[Year]],Table_UtilityDecarb[Fuel Type]&amp;Table_UtilityDecarb[Year],0))</f>
        <v>#N/A</v>
      </c>
      <c r="R77" s="100" cm="1">
        <f t="array" ref="R77">IF(OR(Table_UtilityInputS1[Annual Other Fuel 1
(kBtu)]="",NOT(ISNUMBER(Table_UtilityInputS1[Annual Other Fuel 1
(kBtu)]))),0,Table_Perf_S01[[#This Row],[Other Fuel 1 (kBtu)]]*INDEX(Table_UtilityDecarb[Carbon Intensity (tCO2e/kBtu)],MATCH(R$46,Table_UtilityDecarb[Fuel Type],0)))</f>
        <v>0</v>
      </c>
      <c r="S77" s="100" cm="1">
        <f t="array" ref="S77">IF(OR(Table_UtilityInputS1[Annual Other Fuel 2
(kBtu)]="",NOT(ISNUMBER(Table_UtilityInputS1[Annual Other Fuel 2
(kBtu)]))),0,Table_Perf_S01[[#This Row],[Other Fuel 2 (kBtu)]]*INDEX(Table_UtilityDecarb[Carbon Intensity (tCO2e/kBtu)],MATCH(S$46,Table_UtilityDecarb[Fuel Type],0)))</f>
        <v>0</v>
      </c>
      <c r="T77" s="100" t="e">
        <f>IF(Table_Perf_S01[[#This Row],[Year]]&gt;2050,NA(),_xlfn.AGGREGATE(9,6,Table_Perf_S01[[#This Row],[LL97 Electricity (tCO2e)]:[LL97 Other Fuel 2 (tCO2e)]]))</f>
        <v>#N/A</v>
      </c>
      <c r="U77" s="100" t="e">
        <f>IF(Table_Perf_S01[[#This Row],[Year]]&lt;2035,NA(),INDEX(Table_LimitsCalc_Sample1[Total Limits (tCO2e)],MATCH(Table_Perf_S01[[#This Row],[Year]],Table_LimitsCalc_Sample1[Year],0)))</f>
        <v>#N/A</v>
      </c>
      <c r="V77" s="100" t="e" cm="1">
        <f t="array" ref="V77">Table_UtilityInputS1[Annual Electricity 
(kWh)]*3.412*INDEX(Table_UtilityDecarb[Carbon Intensity (tCO2e/kBtu)],MATCH("Electricity"&amp;Table_Perf_S01[[#This Row],[Year]],Table_UtilityDecarb[Fuel Type]&amp;Table_UtilityDecarb[Year],0))+
Table_UtilityInputS1[Annual Natural Gas  
(therm)]*100*INDEX(Table_UtilityDecarb[Carbon Intensity (tCO2e/kBtu)],MATCH("Natural Gas",Table_UtilityDecarb[Fuel Type],0))+
Table_UtilityInputS1[Annual District Steam  
(Mlb for ConEd, kLb for others)]*1194*INDEX(Table_UtilityDecarb[Carbon Intensity (tCO2e/kBtu)],MATCH("District Steam"&amp;Table_Perf_S01[[#This Row],[Year]],Table_UtilityDecarb[Fuel Type]&amp;Table_UtilityDecarb[Year],0))+
Table_UtilityInputS1[Annual Fuel Oil'#2
(Gallon)]*138*INDEX(Table_UtilityDecarb[Carbon Intensity (tCO2e/kBtu)],MATCH("Fuel Oil #2",Table_UtilityDecarb[Fuel Type],0))+
IF(ISNUMBER(Table_UtilityInputS1[Annual Other Fuel 1
(kBtu)]),Table_UtilityInputS1[Annual Other Fuel 1
(kBtu)]*INDEX(Table_UtilityDecarb[Carbon Intensity (tCO2e/kBtu)],MATCH($L$8,Table_UtilityDecarb[Fuel Type],0)),0)+
IF(ISNUMBER(Table_UtilityInputS1[Annual Other Fuel 2
(kBtu)]),Table_UtilityInputS1[Annual Other Fuel 2
(kBtu)]*INDEX(Table_UtilityDecarb[Carbon Intensity (tCO2e/kBtu)],MATCH($M$8,Table_UtilityDecarb[Fuel Type],0)),0)</f>
        <v>#N/A</v>
      </c>
      <c r="W77" s="100" t="e">
        <f>IF(Table_Perf_S01[[#This Row],[LL97 Emissions Limit (tCO2e)]]="",0,MAX(0,Table_Perf_S01[[#This Row],[LL97 Business-As-Usual Emissions]]-Table_Perf_S01[[#This Row],[LL97 Emissions Limit (tCO2e)]]))</f>
        <v>#N/A</v>
      </c>
      <c r="X77" s="100" t="e">
        <f>IF(Table_Perf_S01[[#This Row],[LL97 Emissions Limit (tCO2e)]]="",0,MAX(0,Table_Perf_S01[[#This Row],[LL97 Emissions After Measures]]-Table_Perf_S01[[#This Row],[LL97 Emissions Limit (tCO2e)]]))</f>
        <v>#N/A</v>
      </c>
      <c r="Y77" s="100" t="e">
        <f>Table_Perf_S01[[#This Row],[LL97 Business-As-Usual Emissions]]-Table_Perf_S01[[#This Row],[LL97 Emissions After Measures]]</f>
        <v>#N/A</v>
      </c>
      <c r="Z77" s="102" t="e">
        <f>IF(Table_Perf_S01[[#This Row],[Year]]&lt;2024,"Not in enforcement period",IF(Table_Perf_S01[[#This Row],[LL97 Excess Emissions After Measures]]=0,"Compliant","Not-Compliant"))</f>
        <v>#N/A</v>
      </c>
      <c r="AA77" s="104">
        <f>IFERROR(-268*Table_Perf_S01[[#This Row],[LL97 Excess Emissions After Measures]],0)</f>
        <v>0</v>
      </c>
      <c r="AB77" s="102">
        <f>IFERROR(268*MIN(Table_Perf_S01[[#This Row],[LL97 BAU Excess Emissions]],Table_Perf_S01[[#This Row],[LL97 Emissions Reduced by Measures]]),0)</f>
        <v>0</v>
      </c>
      <c r="AC77" s="105" t="e">
        <f>IF(OR(Table_Perf_S01[[#This Row],[Year]]&lt;2024,Table_Perf_S01[[#This Row],[Year]]&gt;2050,ISERROR(Table_Perf_S01[[#This Row],[LL97 Adjusted Penalty After Measures]])),"",Table_Perf_S01[[#This Row],[LL97 Adjusted Penalty After Measures]])</f>
        <v>#N/A</v>
      </c>
      <c r="AD77" s="102" t="e">
        <f>IF(Table_Perf_S01[[#This Row],[Year]]&gt;2050,NA(),_xlfn.AGGREGATE(9,6,Table_Perf_S01[[#This Row],[Measure Cost ($)]],Table_Perf_S01[[#This Row],[Utility Savings ($)]],Table_Perf_S01[[#This Row],[LL97 Penalty Avoided by Measures ($)]]))</f>
        <v>#N/A</v>
      </c>
      <c r="AE77" s="102" t="e">
        <f>SUM($AD$48:AD77)</f>
        <v>#N/A</v>
      </c>
      <c r="AF77" s="102" t="e">
        <f>IF(Table_Perf_S01[[#This Row],[Year]]&gt;2050,NA(),_xlfn.AGGREGATE(9,6,Table_Perf_S01[[#This Row],[Measure Cost ($)]],Table_Perf_S01[[#This Row],[LL97 Adjusted Penalty After Measures]]))</f>
        <v>#N/A</v>
      </c>
      <c r="AG77" s="123" t="e">
        <f>Table_Perf_S01[[#This Row],[Year]]</f>
        <v>#N/A</v>
      </c>
      <c r="AH77" s="99">
        <f>COUNTIFS(Table_ECM_S01[When will the measure installation be complete and operational?],"&lt;="&amp;Table_Perf_S01[[#This Row],[Yr]],Table_ECM_S01[Would you like to Include this measure in the decarbonization pathway?],TRUE)</f>
        <v>0</v>
      </c>
      <c r="AI77" s="99" t="str">
        <f>IF(Table_Perf_S01[[#This Row],[Measure Qty]]=AH76,"",_xlfn.CONCAT(Table_Perf_S01[[#This Row],[Measure Qty]], " Measures Done"))</f>
        <v/>
      </c>
      <c r="AJ77" s="107" t="e">
        <f>IF(Table_Perf_S01[[#This Row],[Measure Label]]="",NA(),Table_Perf_S01[[#This Row],[LL97 Emissions After Measures]])</f>
        <v>#N/A</v>
      </c>
    </row>
    <row r="78" spans="1:55" s="10" customFormat="1" hidden="1" outlineLevel="1">
      <c r="C78" s="107" t="s">
        <v>167</v>
      </c>
      <c r="D78" s="99"/>
      <c r="E78" s="124"/>
      <c r="F78" s="124"/>
      <c r="G78" s="124"/>
      <c r="H78" s="124"/>
      <c r="I78" s="124"/>
      <c r="J78" s="124"/>
      <c r="K78" s="125">
        <f>_xlfn.AGGREGATE(9,6,Table_Perf_S01[Measure Cost ($)])</f>
        <v>-986780</v>
      </c>
      <c r="L78" s="126">
        <f>_xlfn.AGGREGATE(9,6,Table_Perf_S01[Utility Savings ($)])</f>
        <v>957714</v>
      </c>
      <c r="M78" s="127"/>
      <c r="N78" s="124"/>
      <c r="O78" s="124"/>
      <c r="P78" s="124"/>
      <c r="Q78" s="124"/>
      <c r="R78" s="124"/>
      <c r="S78" s="124"/>
      <c r="T78" s="124"/>
      <c r="U78" s="124"/>
      <c r="V78" s="124"/>
      <c r="W78" s="124"/>
      <c r="X78" s="124"/>
      <c r="Y78" s="128">
        <f>_xlfn.AGGREGATE(9,6,Table_Perf_S01[LL97 Emissions Reduced by Measures])</f>
        <v>3114.5445361499987</v>
      </c>
      <c r="Z78" s="126"/>
      <c r="AA78" s="126">
        <f>_xlfn.AGGREGATE(9,6,Table_Perf_S01[LL97 Adjusted Penalty After Measures])</f>
        <v>-77462.613443199953</v>
      </c>
      <c r="AB78" s="126">
        <f>_xlfn.AGGREGATE(9,6,Table_Perf_S01[LL97 Penalty Avoided by Measures ($)])</f>
        <v>583656.12343480007</v>
      </c>
      <c r="AC78" s="126"/>
      <c r="AD78" s="126">
        <f>_xlfn.AGGREGATE(9,6,Table_Perf_S01[Annual Total Cash Flow ($)])</f>
        <v>554590.12343479996</v>
      </c>
      <c r="AE78" s="126"/>
      <c r="AF78" s="126">
        <f>_xlfn.AGGREGATE(9,6,Table_Perf_S01[Annual Total Out-of-Pocket Cost ($)])</f>
        <v>-1064242.6134431998</v>
      </c>
      <c r="AG78" s="99"/>
      <c r="AH78" s="99"/>
      <c r="AI78" s="99"/>
      <c r="AJ78" s="99"/>
    </row>
    <row r="79" spans="1:55" s="14" customFormat="1">
      <c r="L79"/>
      <c r="M79"/>
      <c r="N79"/>
      <c r="O79"/>
      <c r="P79"/>
      <c r="Q79"/>
      <c r="R79"/>
      <c r="S79"/>
      <c r="T79"/>
      <c r="U79" s="16"/>
      <c r="V79" s="16"/>
      <c r="W79" s="16"/>
      <c r="X79" s="16"/>
      <c r="Y79" s="16"/>
      <c r="Z79" s="16"/>
      <c r="AA79" s="16"/>
      <c r="AB79" s="16"/>
      <c r="AC79" s="15"/>
      <c r="AD79" s="15"/>
      <c r="AE79" s="15"/>
      <c r="AF79" s="15"/>
      <c r="AN79" s="16"/>
      <c r="AO79" s="15"/>
      <c r="AP79" s="16"/>
      <c r="AQ79" s="16"/>
      <c r="AR79" s="16"/>
      <c r="AS79" s="16"/>
      <c r="AT79" s="16"/>
      <c r="AU79" s="15"/>
      <c r="AV79" s="15"/>
      <c r="AW79" s="15"/>
      <c r="AX79" s="15"/>
      <c r="AY79" s="15"/>
      <c r="BA79" s="15"/>
      <c r="BB79" s="15"/>
      <c r="BC79" s="15"/>
    </row>
    <row r="80" spans="1:55" s="29" customFormat="1" ht="23.25">
      <c r="A80" s="265"/>
      <c r="B80" s="266" t="s">
        <v>168</v>
      </c>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row>
    <row r="81" spans="1:26">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8">
      <c r="A82" s="129"/>
      <c r="B82" s="129"/>
      <c r="C82" s="191"/>
      <c r="D82" s="129"/>
      <c r="E82" s="129"/>
      <c r="F82" s="129"/>
      <c r="G82" s="129"/>
      <c r="H82" s="129"/>
      <c r="I82" s="129"/>
      <c r="J82" s="191"/>
      <c r="K82" s="129"/>
      <c r="L82" s="129"/>
      <c r="M82" s="129"/>
      <c r="N82" s="129"/>
      <c r="O82" s="129"/>
      <c r="P82" s="129"/>
      <c r="Q82" s="129"/>
      <c r="R82" s="129"/>
      <c r="S82" s="129"/>
      <c r="T82" s="129"/>
      <c r="U82" s="129"/>
      <c r="V82" s="129"/>
      <c r="W82" s="129"/>
      <c r="X82" s="129"/>
      <c r="Y82" s="129"/>
      <c r="Z82" s="129"/>
    </row>
    <row r="83" spans="1:26" ht="21">
      <c r="A83" s="129"/>
      <c r="B83" s="129"/>
      <c r="C83" s="192"/>
      <c r="D83" s="130" t="s">
        <v>169</v>
      </c>
      <c r="E83" s="130"/>
      <c r="F83" s="130"/>
      <c r="G83" s="130"/>
      <c r="H83" s="211"/>
      <c r="I83" s="129"/>
      <c r="J83" s="129"/>
      <c r="K83" s="129"/>
      <c r="L83" s="129"/>
      <c r="M83" s="129"/>
      <c r="N83" s="129"/>
      <c r="O83" s="129"/>
      <c r="P83" s="129"/>
      <c r="Q83" s="129"/>
      <c r="R83" s="129"/>
      <c r="S83" s="129"/>
      <c r="T83" s="129"/>
      <c r="U83" s="129"/>
      <c r="V83" s="129"/>
      <c r="W83" s="129"/>
      <c r="X83" s="129"/>
      <c r="Y83" s="129"/>
      <c r="Z83" s="129"/>
    </row>
    <row r="84" spans="1:26" ht="15.75">
      <c r="A84" s="129"/>
      <c r="B84" s="129"/>
      <c r="C84" s="129"/>
      <c r="D84" s="193" t="s">
        <v>170</v>
      </c>
      <c r="E84" s="131" t="str" cm="1">
        <f t="array" ref="E84">_xlfn.LET(_xlpm.Yrs, _xlfn._xlws.FILTER(Table_Perf_S01[Year],(NOT(ISERROR(Table_Perf_S01[Year])))*(Table_Perf_S01[LL97 Adjusted Penalty After Measures]&lt;0),"No Risk"), IFERROR(_xlfn.ARRAYTOTEXT(INDEX(_xlpm.Yrs,_xlfn.SEQUENCE(1,ROUNDUP(COUNT(_xlpm.Yrs)/2,0),1))),""))</f>
        <v>2035, 2036, 2037</v>
      </c>
      <c r="F84" s="129"/>
      <c r="G84" s="129"/>
      <c r="H84" s="129"/>
      <c r="I84" s="129"/>
      <c r="J84" s="129"/>
      <c r="K84" s="129"/>
      <c r="L84" s="129"/>
      <c r="M84" s="129"/>
      <c r="N84" s="129"/>
      <c r="O84" s="129"/>
      <c r="P84" s="129"/>
      <c r="Q84" s="129"/>
      <c r="R84" s="129"/>
      <c r="S84" s="129"/>
      <c r="T84" s="129"/>
      <c r="U84" s="129"/>
      <c r="V84" s="129"/>
      <c r="W84" s="129"/>
      <c r="X84" s="129"/>
      <c r="Y84" s="129"/>
      <c r="Z84" s="129"/>
    </row>
    <row r="85" spans="1:26">
      <c r="A85" s="129"/>
      <c r="B85" s="129"/>
      <c r="C85" s="129"/>
      <c r="D85" s="129"/>
      <c r="E85" s="131" t="str" cm="1">
        <f t="array" ref="E85">_xlfn.LET(_xlpm.Yrs, _xlfn._xlws.FILTER(Table_Perf_S01[Year],(NOT(ISERROR(Table_Perf_S01[Year])))*(Table_Perf_S01[LL97 Adjusted Penalty After Measures]&lt;0),"No Risk"), IFERROR(_xlfn.ARRAYTOTEXT(INDEX(_xlpm.Yrs,_xlfn.SEQUENCE(1,COUNT(_xlpm.Yrs)-ROUNDUP(COUNT(_xlpm.Yrs)/2,0),ROUNDUP(COUNT(_xlpm.Yrs)/2,0)+1,1))),""))</f>
        <v>2038, 2050</v>
      </c>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 r="A86" s="129"/>
      <c r="B86" s="129"/>
      <c r="C86" s="129"/>
      <c r="D86" s="194" t="s">
        <v>171</v>
      </c>
      <c r="E86" s="132">
        <f>-AVERAGE(Table_Perf_S01[LL97 Adjusted Penalty After Measures])</f>
        <v>2582.0871147733319</v>
      </c>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 r="A87" s="129"/>
      <c r="B87" s="129"/>
      <c r="C87" s="129"/>
      <c r="D87" s="194" t="s">
        <v>172</v>
      </c>
      <c r="E87" s="133">
        <f>IF($E$15=0, "Please input buiding areas above",E86/$E$15)</f>
        <v>4.0503327290562066E-2</v>
      </c>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 r="A88" s="129"/>
      <c r="B88" s="129"/>
      <c r="C88" s="129"/>
      <c r="D88" s="194" t="s">
        <v>173</v>
      </c>
      <c r="E88" s="134">
        <f>AVERAGE(Table_Perf_S01[LL97 Penalty Avoided by Measures ($)])</f>
        <v>19455.204114493336</v>
      </c>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 r="A89" s="129"/>
      <c r="B89" s="129"/>
      <c r="C89" s="129"/>
      <c r="D89" s="194" t="s">
        <v>174</v>
      </c>
      <c r="E89" s="135">
        <f>IF($E$15=0, "Please input buiding areas above",E88/$E$15)</f>
        <v>0.30517967238420918</v>
      </c>
      <c r="F89" s="129"/>
      <c r="G89" s="129"/>
      <c r="H89" s="129"/>
      <c r="I89" s="129"/>
      <c r="J89" s="129"/>
      <c r="K89" s="129"/>
      <c r="L89" s="129"/>
      <c r="M89" s="129"/>
      <c r="N89" s="129"/>
      <c r="O89" s="129"/>
      <c r="P89" s="129"/>
      <c r="Q89" s="129"/>
      <c r="R89" s="129"/>
      <c r="S89" s="129"/>
      <c r="T89" s="129"/>
      <c r="U89" s="129"/>
      <c r="V89" s="129"/>
      <c r="W89" s="129"/>
      <c r="X89" s="129"/>
      <c r="Y89" s="129"/>
      <c r="Z89" s="129"/>
    </row>
    <row r="90" spans="1:26">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21">
      <c r="A92" s="129"/>
      <c r="B92" s="129"/>
      <c r="C92" s="192"/>
      <c r="D92" s="195" t="s">
        <v>175</v>
      </c>
      <c r="E92" s="136" t="str">
        <f>_xlfn.LET(_xlpm.BEY,_xlfn.MINIFS(Table_Perf_S01[Year],Table_Perf_S01[Cumulative Net Savings ($)],"&gt;0",Table_Perf_S01[Year],"&gt;="&amp;_xlfn.MAXIFS(Table_ECM_S01[When will the measure installation be complete and operational?],Table_ECM_S01[Would you like to Include this measure in the decarbonization pathway?],TRUE)),IF(_xlpm.BEY=0,"No Payback Point by 2050 for the Pathway",
_xlfn.CONCAT(_xlpm.BEY-BaseYr,"-Yr Payback from ", BaseYr)))</f>
        <v>19-Yr Payback from 2024</v>
      </c>
      <c r="F92" s="137"/>
      <c r="G92" s="137"/>
      <c r="H92" s="211"/>
      <c r="I92" s="129"/>
      <c r="J92" s="129"/>
      <c r="K92" s="129"/>
      <c r="L92" s="129"/>
      <c r="M92" s="129"/>
      <c r="N92" s="129"/>
      <c r="O92" s="129"/>
      <c r="P92" s="129"/>
      <c r="Q92" s="129"/>
      <c r="R92" s="129"/>
      <c r="S92" s="129"/>
      <c r="T92" s="129"/>
      <c r="U92" s="129"/>
      <c r="V92" s="129"/>
      <c r="W92" s="129"/>
      <c r="X92" s="129"/>
      <c r="Y92" s="129"/>
      <c r="Z92" s="129"/>
    </row>
    <row r="93" spans="1:26" ht="15.75">
      <c r="A93" s="129"/>
      <c r="B93" s="129"/>
      <c r="C93" s="129"/>
      <c r="D93" s="193" t="s">
        <v>176</v>
      </c>
      <c r="E93" s="138" cm="1">
        <f t="array" ref="E93">_xlfn.LET(_xlpm.YBE,_xlfn.MINIFS(Table_Perf_S01[Year],Table_Perf_S01[Cumulative Net Savings ($)],"&gt;0",Table_Perf_S01[Year],"&gt;="&amp;_xlfn.MAXIFS(Table_ECM_S01[When will the measure installation be complete and operational?],Table_ECM_S01[Would you like to Include this measure in the decarbonization pathway?],TRUE),Table_Perf_S01[Year],"&gt;"&amp;BaseYr),IF(_xlpm.YBE=0,NA(),_xlpm.YBE))</f>
        <v>2043</v>
      </c>
      <c r="F93" s="129"/>
      <c r="G93" s="139"/>
      <c r="H93" s="129"/>
      <c r="I93" s="129"/>
      <c r="J93" s="129"/>
      <c r="K93" s="129"/>
      <c r="L93" s="129"/>
      <c r="M93" s="129"/>
      <c r="N93" s="129"/>
      <c r="O93" s="129"/>
      <c r="P93" s="129"/>
      <c r="Q93" s="129"/>
      <c r="R93" s="129"/>
      <c r="S93" s="129"/>
      <c r="T93" s="129"/>
      <c r="U93" s="129"/>
      <c r="V93" s="129"/>
      <c r="W93" s="129"/>
      <c r="X93" s="129"/>
      <c r="Y93" s="129"/>
      <c r="Z93" s="129"/>
    </row>
    <row r="94" spans="1:26" ht="15.75">
      <c r="A94" s="129"/>
      <c r="B94" s="129"/>
      <c r="C94" s="129"/>
      <c r="D94" s="193" t="s">
        <v>360</v>
      </c>
      <c r="E94" s="140">
        <f>INDEX(Table_Perf_S01[Cumulative Net Savings ($)],MATCH(2050,Table_Perf_S01[Year],0))</f>
        <v>554590.12343479996</v>
      </c>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 r="A95" s="129"/>
      <c r="B95" s="129"/>
      <c r="C95" s="129"/>
      <c r="D95" s="193" t="s">
        <v>178</v>
      </c>
      <c r="E95" s="141" t="str">
        <f>IF(_xlfn.MINIFS(Table_Perf_S01[Year],Table_Perf_S01[LL97 Emissions After Measures],"&lt;=0")=0," After 2050",
_xlfn.CONCAT("in ",_xlfn.MINIFS(Table_Perf_S01[Year],Table_Perf_S01[LL97 Emissions After Measures],"&lt;=0")))</f>
        <v xml:space="preserve"> After 2050</v>
      </c>
      <c r="F95" s="129"/>
      <c r="G95" s="129"/>
      <c r="H95" s="129"/>
      <c r="I95" s="129"/>
      <c r="J95" s="129"/>
      <c r="K95" s="129"/>
      <c r="L95" s="129"/>
      <c r="M95" s="129"/>
      <c r="N95" s="129"/>
      <c r="O95" s="129"/>
      <c r="P95" s="129"/>
      <c r="Q95" s="129"/>
      <c r="R95" s="129"/>
      <c r="S95" s="129"/>
      <c r="T95" s="129"/>
      <c r="U95" s="129"/>
      <c r="V95" s="129"/>
      <c r="W95" s="129"/>
      <c r="X95" s="129"/>
      <c r="Y95" s="129"/>
      <c r="Z95" s="129"/>
    </row>
    <row r="96" spans="1:26">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c r="A98" s="145"/>
      <c r="B98" s="145"/>
      <c r="C98" s="145"/>
      <c r="D98" s="145"/>
      <c r="E98" s="145"/>
      <c r="F98" s="145"/>
      <c r="G98" s="145"/>
      <c r="H98" s="145"/>
      <c r="I98" s="145"/>
      <c r="J98" s="129"/>
      <c r="K98" s="129"/>
      <c r="L98" s="129"/>
      <c r="M98" s="129"/>
      <c r="N98" s="129"/>
      <c r="O98" s="129"/>
      <c r="P98" s="129"/>
      <c r="Q98" s="129"/>
      <c r="R98" s="129"/>
      <c r="S98" s="129"/>
      <c r="T98" s="129"/>
      <c r="U98" s="129"/>
      <c r="V98" s="129"/>
      <c r="W98" s="129"/>
      <c r="X98" s="129"/>
      <c r="Y98" s="129"/>
      <c r="Z98" s="129"/>
    </row>
    <row r="99" spans="1:26" ht="15.75">
      <c r="A99" s="145"/>
      <c r="B99" s="145"/>
      <c r="C99" s="199"/>
      <c r="D99" s="196" t="s">
        <v>179</v>
      </c>
      <c r="E99" s="142"/>
      <c r="F99" s="148"/>
      <c r="G99" s="148"/>
      <c r="H99" s="148"/>
      <c r="I99" s="148"/>
      <c r="J99" s="129"/>
      <c r="K99" s="129"/>
      <c r="L99" s="129"/>
      <c r="M99" s="129"/>
      <c r="N99" s="129"/>
      <c r="O99" s="129"/>
      <c r="P99" s="129"/>
      <c r="Q99" s="129"/>
      <c r="R99" s="129"/>
      <c r="S99" s="129"/>
      <c r="T99" s="129"/>
      <c r="U99" s="129"/>
      <c r="V99" s="129"/>
      <c r="W99" s="129"/>
      <c r="X99" s="129"/>
      <c r="Y99" s="129"/>
      <c r="Z99" s="129"/>
    </row>
    <row r="100" spans="1:26" ht="15.75">
      <c r="A100" s="145"/>
      <c r="B100" s="145"/>
      <c r="C100" s="129"/>
      <c r="D100" s="147"/>
      <c r="E100" s="189" t="str" cm="1">
        <f t="array" ref="E100">IF(BaseYr&gt;2030,"",_xlfn.CONCAT(BaseYr," ~ 2029 Total"))</f>
        <v>2024 ~ 2029 Total</v>
      </c>
      <c r="F100" s="217" t="str" cm="1">
        <f t="array" ref="F100">IF(BaseYr&gt;2034,"",_xlfn.CONCAT("2030 ~ 2034 Total"))</f>
        <v>2030 ~ 2034 Total</v>
      </c>
      <c r="G100" s="219" t="str" cm="1">
        <f t="array" ref="G100">IF(BaseYr&gt;2039,"","2035 ~ 2039 Total")</f>
        <v>2035 ~ 2039 Total</v>
      </c>
      <c r="H100" s="219" t="str" cm="1">
        <f t="array" ref="H100">IF(BaseYr&gt;2049,"","2040 ~ 2049 Total")</f>
        <v>2040 ~ 2049 Total</v>
      </c>
      <c r="I100" s="230" t="s">
        <v>180</v>
      </c>
      <c r="J100" s="129"/>
      <c r="K100" s="129"/>
      <c r="L100" s="129"/>
      <c r="M100" s="129"/>
      <c r="N100" s="129"/>
      <c r="O100" s="129"/>
      <c r="P100" s="129"/>
      <c r="Q100" s="129"/>
      <c r="R100" s="129"/>
      <c r="S100" s="129"/>
      <c r="T100" s="129"/>
      <c r="U100" s="129"/>
      <c r="V100" s="129"/>
      <c r="W100" s="129"/>
      <c r="X100" s="129"/>
      <c r="Y100" s="129"/>
      <c r="Z100" s="129"/>
    </row>
    <row r="101" spans="1:26" ht="15.75">
      <c r="A101" s="145"/>
      <c r="B101" s="145"/>
      <c r="C101" s="129"/>
      <c r="D101" s="200" t="s">
        <v>357</v>
      </c>
      <c r="E101" s="149" cm="1">
        <f t="array" ref="E101">SUMIFS(Table_Perf_S01[Measure Cost ($)],Table_Perf_S01[Year],"&lt;="&amp;2029,Table_Perf_S01[Year],"&gt;="&amp;BaseYr)</f>
        <v>-326520</v>
      </c>
      <c r="F101" s="229">
        <f>SUMIFS(Table_Perf_S01[Measure Cost ($)],Table_Perf_S01[Year],"&lt;="&amp;2034,Table_Perf_S01[Year],"&gt;="&amp;2030)</f>
        <v>-178866</v>
      </c>
      <c r="G101" s="220">
        <f>SUMIFS(Table_Perf_S01[Measure Cost ($)],Table_Perf_S01[Year],"&lt;="&amp;2039,Table_Perf_S01[Year],"&gt;="&amp;2035)</f>
        <v>-481394</v>
      </c>
      <c r="H101" s="220">
        <f>SUMIFS(Table_Perf_S01[Measure Cost ($)],Table_Perf_S01[Year],"&lt;="&amp;2049,Table_Perf_S01[Year],"&gt;="&amp;2040)</f>
        <v>0</v>
      </c>
      <c r="I101" s="220">
        <f>_xlfn.AGGREGATE(9,6,E101:H101)</f>
        <v>-986780</v>
      </c>
      <c r="J101" s="129"/>
      <c r="K101" s="129"/>
      <c r="L101" s="129"/>
      <c r="M101" s="129"/>
      <c r="N101" s="129"/>
      <c r="O101" s="129"/>
      <c r="P101" s="129"/>
      <c r="Q101" s="129"/>
      <c r="R101" s="129"/>
      <c r="S101" s="129"/>
      <c r="T101" s="129"/>
      <c r="U101" s="129"/>
      <c r="V101" s="129"/>
      <c r="W101" s="129"/>
      <c r="X101" s="129"/>
      <c r="Y101" s="129"/>
      <c r="Z101" s="129"/>
    </row>
    <row r="102" spans="1:26" ht="15.75">
      <c r="A102" s="145"/>
      <c r="B102" s="145"/>
      <c r="C102" s="129"/>
      <c r="D102" s="197" t="s">
        <v>347</v>
      </c>
      <c r="E102" s="143" cm="1">
        <f t="array" ref="E102">SUMIFS(Table_Perf_S01[Utility Savings ($)],Table_Perf_S01[Year],"&lt;="&amp;2029,Table_Perf_S01[Year],"&gt;="&amp;BaseYr)</f>
        <v>189264</v>
      </c>
      <c r="F102" s="221">
        <f>SUMIFS(Table_Perf_S01[Utility Savings ($)],Table_Perf_S01[Year],"&lt;="&amp;2034,Table_Perf_S01[Year],"&gt;="&amp;2030)</f>
        <v>217970</v>
      </c>
      <c r="G102" s="221">
        <f>SUMIFS(Table_Perf_S01[Utility Savings ($)],Table_Perf_S01[Year],"&lt;="&amp;2039,Table_Perf_S01[Year],"&gt;="&amp;2035)</f>
        <v>205718</v>
      </c>
      <c r="H102" s="221">
        <f>SUMIFS(Table_Perf_S01[Utility Savings ($)],Table_Perf_S01[Year],"&lt;="&amp;2049,Table_Perf_S01[Year],"&gt;="&amp;2040)</f>
        <v>313420</v>
      </c>
      <c r="I102" s="221">
        <f>_xlfn.AGGREGATE(9,6,E102:H102)</f>
        <v>926372</v>
      </c>
      <c r="J102" s="129"/>
      <c r="K102" s="129"/>
      <c r="L102" s="129"/>
      <c r="M102" s="129"/>
      <c r="N102" s="129"/>
      <c r="O102" s="129"/>
      <c r="P102" s="129"/>
      <c r="Q102" s="129"/>
      <c r="R102" s="129"/>
      <c r="S102" s="129"/>
      <c r="T102" s="129"/>
      <c r="U102" s="129"/>
      <c r="V102" s="129"/>
      <c r="W102" s="129"/>
      <c r="X102" s="129"/>
      <c r="Y102" s="129"/>
      <c r="Z102" s="129"/>
    </row>
    <row r="103" spans="1:26" ht="15.75">
      <c r="A103" s="145"/>
      <c r="B103" s="145"/>
      <c r="C103" s="129"/>
      <c r="D103" s="198" t="s">
        <v>348</v>
      </c>
      <c r="E103" s="144" cm="1">
        <f t="array" ref="E103">SUMIFS(Table_Perf_S01[LL97 Penalty Avoided by Measures ($)],Table_Perf_S01[Year],"&lt;="&amp;2029,Table_Perf_S01[Year],"&gt;="&amp;BaseYr)</f>
        <v>0</v>
      </c>
      <c r="F103" s="222">
        <f>SUMIFS(Table_Perf_S01[LL97 Penalty Avoided by Measures ($)],Table_Perf_S01[Year],"&lt;="&amp;2034,Table_Perf_S01[Year],"&gt;="&amp;2030)</f>
        <v>0</v>
      </c>
      <c r="G103" s="222">
        <f>SUMIFS(Table_Perf_S01[LL97 Penalty Avoided by Measures ($)],Table_Perf_S01[Year],"&lt;="&amp;2039,Table_Perf_S01[Year],"&gt;="&amp;2035)</f>
        <v>126266.79168680002</v>
      </c>
      <c r="H103" s="222">
        <f>SUMIFS(Table_Perf_S01[LL97 Penalty Avoided by Measures ($)],Table_Perf_S01[Year],"&lt;="&amp;2049,Table_Perf_S01[Year],"&gt;="&amp;2040)</f>
        <v>415756.40274800005</v>
      </c>
      <c r="I103" s="221">
        <f>_xlfn.AGGREGATE(9,6,E103:H103)</f>
        <v>542023.19443480007</v>
      </c>
      <c r="J103" s="129"/>
      <c r="K103" s="129"/>
      <c r="L103" s="129"/>
      <c r="M103" s="129"/>
      <c r="N103" s="129"/>
      <c r="O103" s="129"/>
      <c r="P103" s="129"/>
      <c r="Q103" s="129"/>
      <c r="R103" s="129"/>
      <c r="S103" s="129"/>
      <c r="T103" s="129"/>
      <c r="U103" s="129"/>
      <c r="V103" s="129"/>
      <c r="W103" s="129"/>
      <c r="X103" s="129"/>
      <c r="Y103" s="129"/>
      <c r="Z103" s="129"/>
    </row>
    <row r="104" spans="1:26" ht="15.75">
      <c r="A104" s="145"/>
      <c r="B104" s="145"/>
      <c r="C104" s="129"/>
      <c r="D104" s="190" t="s">
        <v>361</v>
      </c>
      <c r="E104" s="146">
        <f>SUM(E101:E103)</f>
        <v>-137256</v>
      </c>
      <c r="F104" s="218">
        <f>SUM(F101:F103)</f>
        <v>39104</v>
      </c>
      <c r="G104" s="218">
        <f t="shared" ref="G104:H104" si="0">SUM(G101:G103)</f>
        <v>-149409.20831319998</v>
      </c>
      <c r="H104" s="218">
        <f t="shared" si="0"/>
        <v>729176.40274800011</v>
      </c>
      <c r="I104" s="231">
        <f>_xlfn.AGGREGATE(9,6,E104:H104)</f>
        <v>481615.19443480013</v>
      </c>
      <c r="J104" s="129"/>
      <c r="K104" s="129"/>
      <c r="L104" s="129"/>
      <c r="M104" s="129"/>
      <c r="N104" s="129"/>
      <c r="O104" s="129"/>
      <c r="P104" s="129"/>
      <c r="Q104" s="129"/>
      <c r="R104" s="129"/>
      <c r="S104" s="129"/>
      <c r="T104" s="129"/>
      <c r="U104" s="129"/>
      <c r="V104" s="129"/>
      <c r="W104" s="129"/>
      <c r="X104" s="129"/>
      <c r="Y104" s="129"/>
      <c r="Z104" s="129"/>
    </row>
    <row r="105" spans="1:26" ht="15.75" customHeight="1">
      <c r="A105" s="145"/>
      <c r="B105" s="145"/>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45"/>
      <c r="B106" s="145"/>
      <c r="C106" s="145"/>
      <c r="D106" s="145"/>
      <c r="E106" s="145"/>
      <c r="F106" s="145"/>
      <c r="G106" s="145"/>
      <c r="H106" s="145"/>
      <c r="I106" s="145"/>
      <c r="J106" s="129"/>
      <c r="K106" s="129"/>
      <c r="L106" s="129"/>
      <c r="M106" s="129"/>
      <c r="N106" s="129"/>
      <c r="O106" s="129"/>
      <c r="P106" s="129"/>
      <c r="Q106" s="129"/>
      <c r="R106" s="129"/>
      <c r="S106" s="129"/>
      <c r="T106" s="129"/>
      <c r="U106" s="129"/>
      <c r="V106" s="129"/>
      <c r="W106" s="129"/>
      <c r="X106" s="129"/>
      <c r="Y106" s="129"/>
      <c r="Z106" s="129"/>
    </row>
    <row r="107" spans="1:26" ht="15.75" customHeight="1">
      <c r="A107" s="145"/>
      <c r="B107" s="145"/>
      <c r="C107" s="145"/>
      <c r="D107" s="145"/>
      <c r="E107" s="145"/>
      <c r="F107" s="145"/>
      <c r="G107" s="145"/>
      <c r="H107" s="145"/>
      <c r="I107" s="145"/>
      <c r="J107" s="129"/>
      <c r="K107" s="129"/>
      <c r="L107" s="129"/>
      <c r="M107" s="129"/>
      <c r="N107" s="129"/>
      <c r="O107" s="129"/>
      <c r="P107" s="129"/>
      <c r="Q107" s="129"/>
      <c r="R107" s="129"/>
      <c r="S107" s="129"/>
      <c r="T107" s="129"/>
      <c r="U107" s="129"/>
      <c r="V107" s="129"/>
      <c r="W107" s="129"/>
      <c r="X107" s="129"/>
      <c r="Y107" s="129"/>
      <c r="Z107" s="129"/>
    </row>
    <row r="108" spans="1:26" ht="15.75" customHeight="1">
      <c r="A108" s="145"/>
      <c r="B108" s="145"/>
      <c r="C108" s="145"/>
      <c r="D108" s="145"/>
      <c r="E108" s="145"/>
      <c r="F108" s="145"/>
      <c r="G108" s="145"/>
      <c r="H108" s="145"/>
      <c r="I108" s="145"/>
      <c r="J108" s="129"/>
      <c r="K108" s="129"/>
      <c r="L108" s="129"/>
      <c r="M108" s="129"/>
      <c r="N108" s="129"/>
      <c r="O108" s="129"/>
      <c r="P108" s="129"/>
      <c r="Q108" s="129"/>
      <c r="R108" s="129"/>
      <c r="S108" s="129"/>
      <c r="T108" s="129"/>
      <c r="U108" s="129"/>
      <c r="V108" s="129"/>
      <c r="W108" s="129"/>
      <c r="X108" s="129"/>
      <c r="Y108" s="129"/>
      <c r="Z108" s="129"/>
    </row>
    <row r="109" spans="1:26" ht="15.75" customHeight="1">
      <c r="A109" s="145"/>
      <c r="B109" s="145"/>
      <c r="C109" s="145"/>
      <c r="D109" s="145"/>
      <c r="E109" s="145"/>
      <c r="F109" s="145"/>
      <c r="G109" s="145"/>
      <c r="H109" s="145"/>
      <c r="I109" s="145"/>
      <c r="J109" s="129"/>
      <c r="K109" s="129"/>
      <c r="L109" s="129"/>
      <c r="M109" s="129"/>
      <c r="N109" s="129"/>
      <c r="O109" s="129"/>
      <c r="P109" s="129"/>
      <c r="Q109" s="129"/>
      <c r="R109" s="129"/>
      <c r="S109" s="129"/>
      <c r="T109" s="129"/>
      <c r="U109" s="129"/>
      <c r="V109" s="129"/>
      <c r="W109" s="129"/>
      <c r="X109" s="129"/>
      <c r="Y109" s="129"/>
      <c r="Z109" s="129"/>
    </row>
    <row r="110" spans="1:26" ht="15.75" customHeight="1">
      <c r="A110" s="145"/>
      <c r="B110" s="145"/>
      <c r="C110" s="145"/>
      <c r="D110" s="145"/>
      <c r="E110" s="145"/>
      <c r="F110" s="145"/>
      <c r="G110" s="145"/>
      <c r="H110" s="145"/>
      <c r="I110" s="145"/>
      <c r="J110" s="129"/>
      <c r="K110" s="129"/>
      <c r="L110" s="129"/>
      <c r="M110" s="129"/>
      <c r="N110" s="129"/>
      <c r="O110" s="129"/>
      <c r="P110" s="129"/>
      <c r="Q110" s="129"/>
      <c r="R110" s="129"/>
      <c r="S110" s="129"/>
      <c r="T110" s="129"/>
      <c r="U110" s="129"/>
      <c r="V110" s="129"/>
      <c r="W110" s="129"/>
      <c r="X110" s="129"/>
      <c r="Y110" s="129"/>
      <c r="Z110" s="129"/>
    </row>
    <row r="111" spans="1:26" ht="15.75" customHeight="1">
      <c r="A111" s="145"/>
      <c r="B111" s="145"/>
      <c r="C111" s="145"/>
      <c r="D111" s="145"/>
      <c r="E111" s="145"/>
      <c r="F111" s="145"/>
      <c r="G111" s="145"/>
      <c r="H111" s="145"/>
      <c r="I111" s="145"/>
      <c r="J111" s="129"/>
      <c r="K111" s="129"/>
      <c r="L111" s="129"/>
      <c r="M111" s="129"/>
      <c r="N111" s="129"/>
      <c r="O111" s="129"/>
      <c r="P111" s="129"/>
      <c r="Q111" s="129"/>
      <c r="R111" s="129"/>
      <c r="S111" s="129"/>
      <c r="T111" s="129"/>
      <c r="U111" s="129"/>
      <c r="V111" s="129"/>
      <c r="W111" s="129"/>
      <c r="X111" s="129"/>
      <c r="Y111" s="129"/>
      <c r="Z111" s="129"/>
    </row>
    <row r="112" spans="1:26" ht="15.75" customHeight="1">
      <c r="A112" s="145"/>
      <c r="B112" s="145"/>
      <c r="C112" s="145"/>
      <c r="D112" s="145"/>
      <c r="E112" s="145"/>
      <c r="F112" s="145"/>
      <c r="G112" s="145"/>
      <c r="H112" s="145"/>
      <c r="I112" s="145"/>
      <c r="J112" s="129"/>
      <c r="K112" s="129"/>
      <c r="L112" s="129"/>
      <c r="M112" s="129"/>
      <c r="N112" s="129"/>
      <c r="O112" s="129"/>
      <c r="P112" s="129"/>
      <c r="Q112" s="129"/>
      <c r="R112" s="129"/>
      <c r="S112" s="129"/>
      <c r="T112" s="129"/>
      <c r="U112" s="129"/>
      <c r="V112" s="129"/>
      <c r="W112" s="129"/>
      <c r="X112" s="129"/>
      <c r="Y112" s="129"/>
      <c r="Z112" s="129"/>
    </row>
    <row r="113" spans="1:26" ht="15.75" customHeight="1">
      <c r="A113" s="145"/>
      <c r="B113" s="145"/>
      <c r="C113" s="145"/>
      <c r="D113" s="145"/>
      <c r="E113" s="145"/>
      <c r="F113" s="145"/>
      <c r="G113" s="145"/>
      <c r="H113" s="145"/>
      <c r="I113" s="145"/>
      <c r="J113" s="129"/>
      <c r="K113" s="129"/>
      <c r="L113" s="129"/>
      <c r="M113" s="129"/>
      <c r="N113" s="129"/>
      <c r="O113" s="129"/>
      <c r="P113" s="129"/>
      <c r="Q113" s="129"/>
      <c r="R113" s="129"/>
      <c r="S113" s="129"/>
      <c r="T113" s="129"/>
      <c r="U113" s="129"/>
      <c r="V113" s="129"/>
      <c r="W113" s="129"/>
      <c r="X113" s="129"/>
      <c r="Y113" s="129"/>
      <c r="Z113" s="129"/>
    </row>
    <row r="114" spans="1:26" ht="15.75" customHeight="1">
      <c r="A114" s="145"/>
      <c r="B114" s="145"/>
      <c r="C114" s="145"/>
      <c r="D114" s="145"/>
      <c r="E114" s="145"/>
      <c r="F114" s="145"/>
      <c r="G114" s="145"/>
      <c r="H114" s="145"/>
      <c r="I114" s="145"/>
      <c r="J114" s="129"/>
      <c r="K114" s="129"/>
      <c r="L114" s="129"/>
      <c r="M114" s="129"/>
      <c r="N114" s="129"/>
      <c r="O114" s="129"/>
      <c r="P114" s="129"/>
      <c r="Q114" s="129"/>
      <c r="R114" s="129"/>
      <c r="S114" s="129"/>
      <c r="T114" s="129"/>
      <c r="U114" s="129"/>
      <c r="V114" s="129"/>
      <c r="W114" s="129"/>
      <c r="X114" s="129"/>
      <c r="Y114" s="129"/>
      <c r="Z114" s="129"/>
    </row>
    <row r="115" spans="1:26" ht="15.75" customHeight="1">
      <c r="A115" s="145"/>
      <c r="B115" s="145"/>
      <c r="C115" s="145"/>
      <c r="D115" s="145"/>
      <c r="E115" s="145"/>
      <c r="F115" s="145"/>
      <c r="G115" s="145"/>
      <c r="H115" s="145"/>
      <c r="I115" s="145"/>
      <c r="J115" s="129"/>
      <c r="K115" s="129"/>
      <c r="L115" s="129"/>
      <c r="M115" s="129"/>
      <c r="N115" s="129"/>
      <c r="O115" s="129"/>
      <c r="P115" s="129"/>
      <c r="Q115" s="129"/>
      <c r="R115" s="129"/>
      <c r="S115" s="129"/>
      <c r="T115" s="129"/>
      <c r="U115" s="129"/>
      <c r="V115" s="129"/>
      <c r="W115" s="129"/>
      <c r="X115" s="129"/>
      <c r="Y115" s="129"/>
      <c r="Z115" s="129"/>
    </row>
    <row r="116" spans="1:26" ht="15.75" customHeight="1">
      <c r="A116" s="145"/>
      <c r="B116" s="145"/>
      <c r="C116" s="145"/>
      <c r="D116" s="145"/>
      <c r="E116" s="145"/>
      <c r="F116" s="145"/>
      <c r="G116" s="145"/>
      <c r="H116" s="145"/>
      <c r="I116" s="145"/>
      <c r="J116" s="129"/>
      <c r="K116" s="129"/>
      <c r="L116" s="129"/>
      <c r="M116" s="129"/>
      <c r="N116" s="129"/>
      <c r="O116" s="129"/>
      <c r="P116" s="129"/>
      <c r="Q116" s="129"/>
      <c r="R116" s="129"/>
      <c r="S116" s="129"/>
      <c r="T116" s="129"/>
      <c r="U116" s="129"/>
      <c r="V116" s="129"/>
      <c r="W116" s="129"/>
      <c r="X116" s="129"/>
      <c r="Y116" s="129"/>
      <c r="Z116" s="129"/>
    </row>
    <row r="117" spans="1:26" ht="15.75" customHeight="1">
      <c r="A117" s="145"/>
      <c r="B117" s="145"/>
      <c r="C117" s="145"/>
      <c r="D117" s="145"/>
      <c r="E117" s="145"/>
      <c r="F117" s="145"/>
      <c r="G117" s="145"/>
      <c r="H117" s="145"/>
      <c r="I117" s="145"/>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45"/>
      <c r="C118" s="129"/>
      <c r="D118" s="145"/>
      <c r="E118" s="145"/>
      <c r="F118" s="145"/>
      <c r="G118" s="145"/>
      <c r="H118" s="145"/>
      <c r="I118" s="145"/>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45"/>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45"/>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c r="A121" s="129"/>
      <c r="B121" s="145"/>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c r="A125" s="129"/>
      <c r="B125" s="129"/>
      <c r="C125" s="145"/>
      <c r="D125" s="145"/>
      <c r="E125" s="145"/>
      <c r="F125" s="145"/>
      <c r="G125" s="145"/>
      <c r="H125" s="145"/>
      <c r="I125" s="129"/>
      <c r="J125" s="129"/>
      <c r="K125" s="129"/>
      <c r="L125" s="129"/>
      <c r="M125" s="129"/>
      <c r="N125" s="129"/>
      <c r="O125" s="129"/>
      <c r="P125" s="129"/>
      <c r="Q125" s="129"/>
      <c r="R125" s="129"/>
      <c r="S125" s="129"/>
      <c r="T125" s="129"/>
      <c r="U125" s="129"/>
      <c r="V125" s="129"/>
      <c r="W125" s="129"/>
      <c r="X125" s="129"/>
      <c r="Y125" s="129"/>
      <c r="Z125" s="129"/>
    </row>
    <row r="126" spans="1:26">
      <c r="A126" s="129"/>
      <c r="B126" s="129"/>
      <c r="C126" s="145"/>
      <c r="D126" s="145"/>
      <c r="E126" s="145"/>
      <c r="F126" s="145"/>
      <c r="G126" s="145"/>
      <c r="H126" s="145"/>
      <c r="I126" s="129"/>
      <c r="J126" s="129"/>
      <c r="K126" s="129"/>
      <c r="L126" s="129"/>
      <c r="M126" s="129"/>
      <c r="N126" s="129"/>
      <c r="O126" s="129"/>
      <c r="P126" s="129"/>
      <c r="Q126" s="129"/>
      <c r="R126" s="129"/>
      <c r="S126" s="129"/>
      <c r="T126" s="129"/>
      <c r="U126" s="129"/>
      <c r="V126" s="129"/>
      <c r="W126" s="129"/>
      <c r="X126" s="129"/>
      <c r="Y126" s="129"/>
      <c r="Z126" s="129"/>
    </row>
    <row r="127" spans="1:26">
      <c r="A127" s="129"/>
      <c r="B127" s="129"/>
      <c r="C127" s="145"/>
      <c r="D127" s="145"/>
      <c r="E127" s="145"/>
      <c r="F127" s="145"/>
      <c r="G127" s="145"/>
      <c r="H127" s="145"/>
      <c r="I127" s="145"/>
      <c r="J127" s="145"/>
      <c r="K127" s="145"/>
      <c r="L127" s="145"/>
      <c r="M127" s="145"/>
      <c r="N127" s="145"/>
      <c r="O127" s="145"/>
      <c r="P127" s="145"/>
      <c r="Q127" s="145"/>
      <c r="R127" s="145"/>
      <c r="S127" s="145"/>
      <c r="T127" s="145"/>
      <c r="U127" s="129"/>
      <c r="V127" s="129"/>
      <c r="W127" s="129"/>
      <c r="X127" s="129"/>
      <c r="Y127" s="129"/>
      <c r="Z127" s="129"/>
    </row>
    <row r="128" spans="1:26">
      <c r="A128" s="129"/>
      <c r="B128" s="129"/>
      <c r="C128" s="145"/>
      <c r="D128" s="145"/>
      <c r="E128" s="145"/>
      <c r="F128" s="129"/>
      <c r="G128" s="145"/>
      <c r="H128" s="145"/>
      <c r="I128" s="145"/>
      <c r="J128" s="145"/>
      <c r="K128" s="145"/>
      <c r="L128" s="145"/>
      <c r="M128" s="145"/>
      <c r="N128" s="145"/>
      <c r="O128" s="145"/>
      <c r="P128" s="145"/>
      <c r="Q128" s="145"/>
      <c r="R128" s="145"/>
      <c r="S128" s="145"/>
      <c r="T128" s="145"/>
      <c r="U128" s="129"/>
      <c r="V128" s="129"/>
      <c r="W128" s="129"/>
      <c r="X128" s="129"/>
      <c r="Y128" s="129"/>
      <c r="Z128" s="129"/>
    </row>
    <row r="129" spans="1:26">
      <c r="A129" s="129"/>
      <c r="B129" s="129"/>
      <c r="C129" s="145"/>
      <c r="D129" s="145"/>
      <c r="E129" s="145"/>
      <c r="F129" s="145"/>
      <c r="G129" s="145"/>
      <c r="H129" s="145"/>
      <c r="I129" s="145"/>
      <c r="J129" s="145"/>
      <c r="K129" s="145"/>
      <c r="L129" s="145"/>
      <c r="M129" s="145"/>
      <c r="N129" s="145"/>
      <c r="O129" s="145"/>
      <c r="P129" s="145"/>
      <c r="Q129" s="145"/>
      <c r="R129" s="145"/>
      <c r="S129" s="145"/>
      <c r="T129" s="145"/>
      <c r="U129" s="129"/>
      <c r="V129" s="129"/>
      <c r="W129" s="129"/>
      <c r="X129" s="129"/>
      <c r="Y129" s="129"/>
      <c r="Z129" s="129"/>
    </row>
    <row r="130" spans="1:26">
      <c r="A130" s="129"/>
      <c r="B130" s="129"/>
      <c r="C130" s="129"/>
      <c r="D130" s="145"/>
      <c r="E130" s="145"/>
      <c r="F130" s="145"/>
      <c r="G130" s="145"/>
      <c r="H130" s="129"/>
      <c r="I130" s="145"/>
      <c r="J130" s="145"/>
      <c r="K130" s="145"/>
      <c r="L130" s="145"/>
      <c r="M130" s="145"/>
      <c r="N130" s="145"/>
      <c r="O130" s="145"/>
      <c r="P130" s="145"/>
      <c r="Q130" s="145"/>
      <c r="R130" s="145"/>
      <c r="S130" s="145"/>
      <c r="T130" s="145"/>
      <c r="U130" s="129"/>
      <c r="V130" s="129"/>
      <c r="W130" s="129"/>
      <c r="X130" s="129"/>
      <c r="Y130" s="129"/>
      <c r="Z130" s="129"/>
    </row>
    <row r="131" spans="1:26">
      <c r="A131" s="129"/>
      <c r="B131" s="129"/>
      <c r="C131" s="129"/>
      <c r="D131" s="129"/>
      <c r="E131" s="129"/>
      <c r="F131" s="129"/>
      <c r="G131" s="129"/>
      <c r="H131" s="129"/>
      <c r="I131" s="145"/>
      <c r="J131" s="145"/>
      <c r="K131" s="145"/>
      <c r="L131" s="145"/>
      <c r="M131" s="145"/>
      <c r="N131" s="145"/>
      <c r="O131" s="145"/>
      <c r="P131" s="145"/>
      <c r="Q131" s="145"/>
      <c r="R131" s="145"/>
      <c r="S131" s="145"/>
      <c r="T131" s="145"/>
      <c r="U131" s="129"/>
      <c r="V131" s="129"/>
      <c r="W131" s="129"/>
      <c r="X131" s="129"/>
      <c r="Y131" s="129"/>
      <c r="Z131" s="129"/>
    </row>
    <row r="132" spans="1:26">
      <c r="A132" s="129"/>
      <c r="B132" s="129"/>
      <c r="C132" s="129"/>
      <c r="D132" s="129"/>
      <c r="E132" s="129"/>
      <c r="F132" s="129"/>
      <c r="G132" s="129"/>
      <c r="H132" s="129"/>
      <c r="I132" s="145"/>
      <c r="J132" s="145"/>
      <c r="K132" s="145"/>
      <c r="L132" s="145"/>
      <c r="M132" s="145"/>
      <c r="N132" s="145"/>
      <c r="O132" s="145"/>
      <c r="P132" s="145"/>
      <c r="Q132" s="145"/>
      <c r="R132" s="145"/>
      <c r="S132" s="145"/>
      <c r="T132" s="145"/>
      <c r="U132" s="129"/>
      <c r="V132" s="129"/>
      <c r="W132" s="129"/>
      <c r="X132" s="129"/>
      <c r="Y132" s="129"/>
      <c r="Z132" s="129"/>
    </row>
    <row r="133" spans="1:26">
      <c r="I133"/>
      <c r="K133"/>
      <c r="L133"/>
      <c r="M133"/>
      <c r="N133"/>
      <c r="O133"/>
      <c r="P133"/>
      <c r="Q133"/>
      <c r="R133"/>
      <c r="S133"/>
      <c r="T133"/>
    </row>
    <row r="134" spans="1:26">
      <c r="I134"/>
      <c r="J134"/>
      <c r="K134"/>
      <c r="L134"/>
      <c r="M134"/>
      <c r="N134"/>
      <c r="O134"/>
      <c r="P134"/>
      <c r="Q134"/>
      <c r="R134"/>
      <c r="S134"/>
      <c r="T134"/>
    </row>
    <row r="135" spans="1:26">
      <c r="I135"/>
      <c r="J135"/>
      <c r="K135"/>
      <c r="L135"/>
      <c r="M135"/>
      <c r="N135"/>
      <c r="O135"/>
      <c r="P135"/>
      <c r="Q135"/>
      <c r="R135"/>
      <c r="S135"/>
      <c r="T135"/>
    </row>
    <row r="136" spans="1:26">
      <c r="I136"/>
      <c r="J136"/>
      <c r="K136"/>
      <c r="L136"/>
      <c r="M136"/>
      <c r="N136"/>
      <c r="O136"/>
      <c r="P136"/>
      <c r="Q136"/>
      <c r="R136"/>
      <c r="S136"/>
      <c r="T136"/>
    </row>
    <row r="137" spans="1:26">
      <c r="I137"/>
      <c r="J137"/>
      <c r="K137"/>
      <c r="L137"/>
      <c r="M137"/>
      <c r="N137"/>
      <c r="O137"/>
      <c r="P137"/>
      <c r="Q137"/>
      <c r="R137"/>
      <c r="S137"/>
      <c r="T137"/>
    </row>
    <row r="138" spans="1:26">
      <c r="I138"/>
      <c r="J138"/>
      <c r="K138"/>
      <c r="L138"/>
      <c r="M138"/>
      <c r="N138"/>
      <c r="O138"/>
      <c r="P138"/>
      <c r="Q138"/>
      <c r="R138"/>
      <c r="S138"/>
      <c r="T138"/>
    </row>
    <row r="139" spans="1:26">
      <c r="I139"/>
      <c r="J139"/>
      <c r="K139"/>
      <c r="L139"/>
      <c r="M139"/>
      <c r="N139"/>
      <c r="O139"/>
      <c r="P139"/>
      <c r="Q139"/>
      <c r="R139"/>
      <c r="S139"/>
      <c r="T139"/>
    </row>
    <row r="140" spans="1:26">
      <c r="I140"/>
      <c r="J140"/>
      <c r="K140"/>
      <c r="L140"/>
      <c r="M140"/>
      <c r="N140"/>
      <c r="O140"/>
      <c r="P140"/>
      <c r="Q140"/>
      <c r="R140"/>
      <c r="S140"/>
      <c r="T140"/>
    </row>
    <row r="141" spans="1:26">
      <c r="I141"/>
      <c r="J141"/>
      <c r="K141"/>
      <c r="L141"/>
      <c r="M141"/>
      <c r="N141"/>
      <c r="O141"/>
      <c r="P141"/>
      <c r="Q141"/>
      <c r="R141"/>
      <c r="S141"/>
      <c r="T141"/>
    </row>
    <row r="142" spans="1:26">
      <c r="I142"/>
      <c r="J142"/>
      <c r="K142"/>
      <c r="L142"/>
      <c r="M142"/>
      <c r="N142"/>
      <c r="O142"/>
      <c r="P142"/>
      <c r="Q142"/>
      <c r="R142"/>
      <c r="S142"/>
      <c r="T142"/>
    </row>
    <row r="143" spans="1:26">
      <c r="I143"/>
      <c r="J143"/>
      <c r="K143"/>
      <c r="L143"/>
      <c r="M143"/>
      <c r="N143"/>
      <c r="O143"/>
      <c r="P143"/>
      <c r="Q143"/>
      <c r="R143"/>
      <c r="S143"/>
      <c r="T143"/>
    </row>
    <row r="144" spans="1:26">
      <c r="I144"/>
      <c r="J144"/>
      <c r="K144"/>
      <c r="L144"/>
      <c r="M144"/>
      <c r="N144"/>
      <c r="O144"/>
      <c r="P144"/>
      <c r="Q144"/>
      <c r="R144"/>
      <c r="S144"/>
      <c r="T144"/>
    </row>
    <row r="145" spans="9:20">
      <c r="I145"/>
      <c r="J145"/>
      <c r="K145"/>
      <c r="L145"/>
      <c r="M145"/>
      <c r="N145"/>
      <c r="O145"/>
      <c r="P145"/>
      <c r="Q145"/>
      <c r="R145"/>
      <c r="S145"/>
      <c r="T145"/>
    </row>
    <row r="146" spans="9:20">
      <c r="I146"/>
      <c r="J146"/>
      <c r="K146"/>
      <c r="L146"/>
      <c r="M146"/>
      <c r="N146"/>
      <c r="O146"/>
      <c r="P146"/>
      <c r="Q146"/>
      <c r="R146"/>
      <c r="S146"/>
      <c r="T146"/>
    </row>
    <row r="147" spans="9:20">
      <c r="I147"/>
      <c r="J147"/>
      <c r="K147"/>
      <c r="L147"/>
      <c r="M147"/>
      <c r="N147"/>
      <c r="O147"/>
      <c r="P147"/>
      <c r="Q147"/>
      <c r="R147"/>
      <c r="S147"/>
      <c r="T147"/>
    </row>
    <row r="148" spans="9:20">
      <c r="I148"/>
      <c r="J148"/>
      <c r="K148"/>
      <c r="L148"/>
      <c r="M148"/>
      <c r="N148"/>
      <c r="O148"/>
      <c r="P148"/>
      <c r="Q148"/>
      <c r="R148"/>
      <c r="S148"/>
      <c r="T148"/>
    </row>
    <row r="149" spans="9:20">
      <c r="I149"/>
      <c r="J149"/>
      <c r="K149"/>
      <c r="L149"/>
      <c r="M149"/>
      <c r="N149"/>
      <c r="O149"/>
      <c r="P149"/>
      <c r="Q149"/>
      <c r="R149"/>
      <c r="S149"/>
      <c r="T149"/>
    </row>
    <row r="150" spans="9:20">
      <c r="I150"/>
      <c r="J150"/>
      <c r="K150"/>
      <c r="L150"/>
      <c r="M150"/>
      <c r="N150"/>
      <c r="O150"/>
      <c r="P150"/>
      <c r="Q150"/>
      <c r="R150"/>
      <c r="S150"/>
      <c r="T150"/>
    </row>
    <row r="151" spans="9:20">
      <c r="I151"/>
      <c r="J151"/>
      <c r="K151"/>
      <c r="L151"/>
      <c r="M151"/>
      <c r="N151"/>
      <c r="O151"/>
      <c r="P151"/>
      <c r="Q151"/>
      <c r="R151"/>
      <c r="S151"/>
      <c r="T151"/>
    </row>
    <row r="152" spans="9:20">
      <c r="I152"/>
      <c r="J152"/>
      <c r="K152"/>
      <c r="L152"/>
      <c r="M152"/>
      <c r="N152"/>
      <c r="O152"/>
      <c r="P152"/>
      <c r="Q152"/>
      <c r="R152"/>
      <c r="S152"/>
      <c r="T152"/>
    </row>
    <row r="153" spans="9:20">
      <c r="I153"/>
      <c r="J153"/>
      <c r="K153"/>
      <c r="L153"/>
      <c r="M153"/>
      <c r="N153"/>
      <c r="O153"/>
      <c r="P153"/>
      <c r="Q153"/>
      <c r="R153"/>
      <c r="S153"/>
      <c r="T153"/>
    </row>
    <row r="154" spans="9:20">
      <c r="I154"/>
      <c r="J154"/>
      <c r="K154"/>
      <c r="L154"/>
      <c r="M154"/>
      <c r="N154"/>
      <c r="O154"/>
      <c r="P154"/>
      <c r="Q154"/>
      <c r="R154"/>
      <c r="S154"/>
      <c r="T154"/>
    </row>
    <row r="155" spans="9:20">
      <c r="I155"/>
      <c r="J155"/>
      <c r="K155"/>
      <c r="L155"/>
      <c r="M155"/>
      <c r="N155"/>
      <c r="O155"/>
      <c r="P155"/>
      <c r="Q155"/>
      <c r="R155"/>
      <c r="S155"/>
      <c r="T155"/>
    </row>
    <row r="156" spans="9:20">
      <c r="I156"/>
      <c r="J156"/>
      <c r="K156"/>
      <c r="L156"/>
      <c r="M156"/>
      <c r="N156"/>
      <c r="O156"/>
      <c r="P156"/>
      <c r="Q156"/>
      <c r="R156"/>
      <c r="S156"/>
      <c r="T156"/>
    </row>
    <row r="157" spans="9:20">
      <c r="I157"/>
      <c r="J157"/>
      <c r="K157"/>
      <c r="L157"/>
      <c r="M157"/>
      <c r="N157"/>
      <c r="O157"/>
      <c r="P157"/>
      <c r="Q157"/>
      <c r="R157"/>
      <c r="S157"/>
      <c r="T157"/>
    </row>
    <row r="158" spans="9:20">
      <c r="I158"/>
      <c r="J158"/>
      <c r="K158"/>
      <c r="L158"/>
      <c r="M158"/>
      <c r="N158"/>
      <c r="O158"/>
      <c r="P158"/>
      <c r="Q158"/>
      <c r="R158"/>
      <c r="S158"/>
      <c r="T158"/>
    </row>
    <row r="159" spans="9:20">
      <c r="I159"/>
      <c r="J159"/>
      <c r="K159"/>
      <c r="L159"/>
      <c r="M159"/>
      <c r="N159"/>
      <c r="O159"/>
      <c r="P159"/>
      <c r="Q159"/>
      <c r="R159"/>
      <c r="S159"/>
      <c r="T159"/>
    </row>
  </sheetData>
  <mergeCells count="12">
    <mergeCell ref="R6:S6"/>
    <mergeCell ref="R7:S11"/>
    <mergeCell ref="X6:Z6"/>
    <mergeCell ref="X7:Z7"/>
    <mergeCell ref="X9:Z9"/>
    <mergeCell ref="X10:Z10"/>
    <mergeCell ref="X11:Z11"/>
    <mergeCell ref="G17:M17"/>
    <mergeCell ref="Q7:Q11"/>
    <mergeCell ref="X12:Z12"/>
    <mergeCell ref="W13:Z13"/>
    <mergeCell ref="P7:P11"/>
  </mergeCells>
  <phoneticPr fontId="3" type="noConversion"/>
  <conditionalFormatting sqref="E84:E85">
    <cfRule type="containsText" dxfId="124" priority="6" operator="containsText" text="No">
      <formula>NOT(ISERROR(SEARCH("No",E84)))</formula>
    </cfRule>
  </conditionalFormatting>
  <conditionalFormatting sqref="E93">
    <cfRule type="expression" dxfId="123" priority="2">
      <formula>ISERROR($E$93)</formula>
    </cfRule>
  </conditionalFormatting>
  <conditionalFormatting sqref="E94">
    <cfRule type="expression" dxfId="122" priority="7">
      <formula>$E$94&gt;0</formula>
    </cfRule>
    <cfRule type="expression" dxfId="121" priority="8">
      <formula>$E$94&lt;0</formula>
    </cfRule>
  </conditionalFormatting>
  <conditionalFormatting sqref="L8:M8">
    <cfRule type="expression" dxfId="120" priority="1">
      <formula>ISNUMBER(L$7)</formula>
    </cfRule>
  </conditionalFormatting>
  <dataValidations count="9">
    <dataValidation type="whole" allowBlank="1" showInputMessage="1" showErrorMessage="1" errorTitle="Out of Range" error="Please input a year between 2023 and 2050" sqref="G7" xr:uid="{2FC4F998-7503-4014-A55C-A00A8509C6B7}">
      <formula1>2021</formula1>
      <formula2>2050</formula2>
    </dataValidation>
    <dataValidation type="decimal" allowBlank="1" showInputMessage="1" showErrorMessage="1" errorTitle="Wrong Data Type" error="Please enter numerical values only" sqref="E7:E14" xr:uid="{301D6C3B-2B03-4EAE-B7A9-DEEC972D8575}">
      <formula1>0</formula1>
      <formula2>9.99999999999999E+25</formula2>
    </dataValidation>
    <dataValidation type="decimal" allowBlank="1" showInputMessage="1" showErrorMessage="1" errorTitle="Wrong Data Type" error="Enter Number Values Only" sqref="P19:P42 N19:N42" xr:uid="{CB3B9797-B5B7-40CC-8667-AD7A194A1657}">
      <formula1>-9.99999999999999E+40</formula1>
      <formula2>9.99999999999999E+36</formula2>
    </dataValidation>
    <dataValidation type="whole" allowBlank="1" showInputMessage="1" showErrorMessage="1" errorTitle="Wrong Data Type" error="Enter Year Values Only (Whole Number)" sqref="R19:R42" xr:uid="{0CE4F3E5-64C7-4F55-8188-9A01852DC7C5}">
      <formula1>0</formula1>
      <formula2>9999</formula2>
    </dataValidation>
    <dataValidation allowBlank="1" showInputMessage="1" showErrorMessage="1" errorTitle="Wrong Data Type" error="Enter Number Values Only" sqref="S19:T42 Y19 V19:X42" xr:uid="{25A778EF-B51F-4D09-8B6B-8B5207B98C0E}"/>
    <dataValidation type="list" allowBlank="1" showInputMessage="1" showErrorMessage="1" errorTitle="Wrong Data Type" error="Choose Default Scope Names in Drop-down List Only" sqref="U19:U42" xr:uid="{8718A064-E079-478B-A1C7-C74981D0367E}">
      <formula1>$B$19:$B$42</formula1>
    </dataValidation>
    <dataValidation type="list" allowBlank="1" showInputMessage="1" showErrorMessage="1" error="Choose Default Scope Names in Drop-down List Only" sqref="B19:B42" xr:uid="{B950F495-9505-408F-B82C-BC855B69109A}">
      <formula1>"Scope 1, Scope 2, Scope 3, Scope 4, Scope 5, Scope 6, Scope 7, Scope 8, Scope 9, Scope 10"</formula1>
    </dataValidation>
    <dataValidation type="decimal" allowBlank="1" showInputMessage="1" showErrorMessage="1" errorTitle="Wrong Data Type" error="Enter Numerical Values Only" sqref="E19:L42" xr:uid="{29964CFA-76FB-4364-A218-F3C284DF8C4C}">
      <formula1>-9.99999999999999E+40</formula1>
      <formula2>9.99999999999999E+36</formula2>
    </dataValidation>
    <dataValidation type="decimal" allowBlank="1" showInputMessage="1" showErrorMessage="1" errorTitle="Wrong Data Type" error="Please enter numerical values only" sqref="H7:M7" xr:uid="{501A0B92-5E70-438B-91C3-CBAD27C75898}">
      <formula1>-9.99999999999999E+25</formula1>
      <formula2>9.99999999999999E+25</formula2>
    </dataValidation>
  </dataValidations>
  <pageMargins left="0.7" right="0.7" top="0.75" bottom="0.75" header="0.3" footer="0.3"/>
  <pageSetup orientation="portrait" r:id="rId1"/>
  <ignoredErrors>
    <ignoredError sqref="V19:X19 V21:X42 V20:X20" unlockedFormula="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301C56D5-B8C9-4C9C-8765-13EECBD7D260}">
          <x14:formula1>
            <xm:f>References!$M$12:$M$71</xm:f>
          </x14:formula1>
          <xm:sqref>D7:D14</xm:sqref>
        </x14:dataValidation>
        <x14:dataValidation type="list" allowBlank="1" showInputMessage="1" showErrorMessage="1" xr:uid="{2C93433F-C494-4B3E-B172-8DD1F1095126}">
          <x14:formula1>
            <xm:f>References!$C$12:$C$32</xm:f>
          </x14:formula1>
          <xm:sqref>L8:M8</xm:sqref>
        </x14:dataValidation>
        <x14:dataValidation type="list" allowBlank="1" showInputMessage="1" showErrorMessage="1" xr:uid="{331AC8AC-9E28-45E8-A088-4099F9E55537}">
          <x14:formula1>
            <xm:f>'Adjustable Lists'!$L$8:$L$10</xm:f>
          </x14:formula1>
          <xm:sqref>Q7:Q11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6C9B-E8EF-4F65-909C-D0612C8356CF}">
  <sheetPr codeName="Sheet3">
    <tabColor theme="0" tint="-0.499984740745262"/>
  </sheetPr>
  <dimension ref="B1:CT164"/>
  <sheetViews>
    <sheetView showGridLines="0" zoomScale="70" zoomScaleNormal="70" workbookViewId="0">
      <selection activeCell="E23" sqref="E23:E30"/>
    </sheetView>
  </sheetViews>
  <sheetFormatPr defaultColWidth="9" defaultRowHeight="14.25" outlineLevelRow="1" outlineLevelCol="1"/>
  <cols>
    <col min="1" max="1" width="9" style="1"/>
    <col min="2" max="2" width="8.125" style="1" customWidth="1" outlineLevel="1"/>
    <col min="3" max="3" width="19.875" style="1" customWidth="1" outlineLevel="1"/>
    <col min="4" max="4" width="14.5" style="1" customWidth="1" outlineLevel="1"/>
    <col min="5" max="5" width="18.75" style="1" customWidth="1"/>
    <col min="6" max="6" width="10" style="1" customWidth="1"/>
    <col min="7" max="7" width="12.5" style="1" bestFit="1" customWidth="1"/>
    <col min="8" max="8" width="22.125" style="1" bestFit="1" customWidth="1"/>
    <col min="9" max="9" width="9.625" style="1" bestFit="1" customWidth="1"/>
    <col min="10" max="10" width="15.625" style="1" customWidth="1"/>
    <col min="11" max="11" width="32.25" style="1" bestFit="1" customWidth="1"/>
    <col min="12" max="12" width="9.625" style="1" bestFit="1" customWidth="1"/>
    <col min="13" max="13" width="50.875" style="1" customWidth="1"/>
    <col min="14" max="39" width="13.75" style="1" customWidth="1"/>
    <col min="40" max="40" width="9.875" style="1" customWidth="1"/>
    <col min="41" max="42" width="9" style="1"/>
    <col min="43" max="43" width="12" style="1" customWidth="1"/>
    <col min="44" max="44" width="11.625" style="1" customWidth="1"/>
    <col min="45" max="45" width="9" style="1"/>
    <col min="46" max="48" width="12.125" style="1" customWidth="1"/>
    <col min="49" max="51" width="11.25" style="1" customWidth="1"/>
    <col min="52" max="59" width="9" style="1"/>
    <col min="60" max="60" width="11.375" style="1" customWidth="1"/>
    <col min="61" max="62" width="5.125" style="1" customWidth="1"/>
    <col min="63" max="63" width="14.5" style="1" customWidth="1"/>
    <col min="64" max="79" width="9.75" style="1" customWidth="1"/>
    <col min="80" max="80" width="11" style="1" customWidth="1"/>
    <col min="81" max="82" width="3.5" style="1" customWidth="1"/>
    <col min="83" max="83" width="12.875" style="1" customWidth="1"/>
    <col min="84" max="95" width="11.25" style="1" customWidth="1"/>
    <col min="96" max="96" width="10.125" style="1" customWidth="1"/>
    <col min="97" max="16384" width="9" style="1"/>
  </cols>
  <sheetData>
    <row r="1" spans="2:98" outlineLevel="1"/>
    <row r="2" spans="2:98" outlineLevel="1">
      <c r="E2"/>
      <c r="F2"/>
      <c r="G2"/>
      <c r="H2"/>
      <c r="I2"/>
      <c r="J2"/>
    </row>
    <row r="3" spans="2:98" outlineLevel="1">
      <c r="B3" s="1" t="s">
        <v>184</v>
      </c>
      <c r="C3" s="21">
        <v>2050</v>
      </c>
      <c r="E3"/>
      <c r="F3"/>
      <c r="G3"/>
      <c r="H3"/>
      <c r="I3"/>
      <c r="J3"/>
    </row>
    <row r="4" spans="2:98" outlineLevel="1">
      <c r="B4" s="1" t="s">
        <v>185</v>
      </c>
      <c r="C4" s="21">
        <f>EndYr-BaseYr</f>
        <v>26</v>
      </c>
      <c r="E4"/>
      <c r="F4"/>
      <c r="G4"/>
      <c r="H4"/>
      <c r="I4"/>
      <c r="J4"/>
    </row>
    <row r="5" spans="2:98" outlineLevel="1"/>
    <row r="6" spans="2:98">
      <c r="CD6"/>
      <c r="CE6"/>
      <c r="CF6"/>
      <c r="CG6"/>
      <c r="CH6"/>
      <c r="CI6"/>
      <c r="CJ6"/>
      <c r="CK6"/>
      <c r="CL6"/>
      <c r="CM6"/>
      <c r="CN6"/>
      <c r="CO6"/>
      <c r="CP6"/>
      <c r="CQ6"/>
      <c r="CR6"/>
      <c r="CS6"/>
      <c r="CT6"/>
    </row>
    <row r="7" spans="2:98">
      <c r="BJ7"/>
      <c r="BK7"/>
      <c r="BL7"/>
      <c r="BM7"/>
      <c r="BN7"/>
      <c r="BO7"/>
      <c r="BP7"/>
      <c r="BQ7"/>
      <c r="BR7"/>
      <c r="BS7"/>
      <c r="BT7"/>
      <c r="BU7"/>
      <c r="CD7"/>
      <c r="CE7"/>
      <c r="CF7"/>
      <c r="CG7"/>
      <c r="CH7"/>
      <c r="CI7"/>
      <c r="CJ7"/>
      <c r="CK7"/>
      <c r="CL7"/>
      <c r="CM7"/>
      <c r="CN7"/>
      <c r="CO7"/>
      <c r="CP7"/>
      <c r="CQ7"/>
      <c r="CR7"/>
      <c r="CS7"/>
      <c r="CT7"/>
    </row>
    <row r="8" spans="2:98">
      <c r="BJ8"/>
      <c r="BK8"/>
      <c r="BL8"/>
      <c r="BM8"/>
      <c r="BN8"/>
      <c r="BO8"/>
      <c r="BP8"/>
      <c r="BQ8"/>
      <c r="BR8"/>
      <c r="BS8"/>
      <c r="BT8"/>
      <c r="BU8"/>
      <c r="CD8"/>
      <c r="CE8"/>
      <c r="CF8"/>
      <c r="CG8"/>
      <c r="CH8"/>
      <c r="CI8"/>
      <c r="CJ8"/>
      <c r="CK8"/>
      <c r="CL8"/>
      <c r="CM8"/>
      <c r="CN8"/>
      <c r="CO8"/>
      <c r="CP8"/>
      <c r="CQ8"/>
      <c r="CR8"/>
      <c r="CS8"/>
      <c r="CT8"/>
    </row>
    <row r="9" spans="2:98" ht="28.5">
      <c r="AQ9" s="52" t="s">
        <v>186</v>
      </c>
      <c r="AR9" s="82">
        <f>'LL97 Pathway'!E7</f>
        <v>0</v>
      </c>
      <c r="AS9" s="82">
        <f>'LL97 Pathway'!E8</f>
        <v>0</v>
      </c>
      <c r="AT9" s="82">
        <f>'LL97 Pathway'!E9</f>
        <v>0</v>
      </c>
      <c r="AU9" s="82">
        <f>'LL97 Pathway'!E10</f>
        <v>0</v>
      </c>
      <c r="AV9" s="82">
        <f>'LL97 Pathway'!E11</f>
        <v>0</v>
      </c>
      <c r="AW9" s="82">
        <f>'LL97 Pathway'!E12</f>
        <v>0</v>
      </c>
      <c r="AX9" s="82">
        <f>'LL97 Pathway'!E13</f>
        <v>0</v>
      </c>
      <c r="AY9" s="82">
        <f>'LL97 Pathway'!E14</f>
        <v>0</v>
      </c>
      <c r="BJ9"/>
      <c r="BK9" s="52" t="s">
        <v>187</v>
      </c>
      <c r="BL9" s="82">
        <f>'Pre-filled Sample-Old'!$E$7</f>
        <v>55300</v>
      </c>
      <c r="BM9" s="82">
        <f>'Pre-filled Sample-Old'!$E$8</f>
        <v>5000</v>
      </c>
      <c r="BN9" s="82">
        <f>'Pre-filled Sample-Old'!$E$9</f>
        <v>2000</v>
      </c>
      <c r="BO9" s="82">
        <f>'Pre-filled Sample-Old'!$E$10</f>
        <v>800</v>
      </c>
      <c r="BP9" s="82">
        <f>'Pre-filled Sample-Old'!$E$11</f>
        <v>650</v>
      </c>
      <c r="BQ9" s="82">
        <f>'Pre-filled Sample-Old'!$E$12</f>
        <v>0</v>
      </c>
      <c r="BR9" s="82">
        <f>'Pre-filled Sample-Old'!$E$13</f>
        <v>0</v>
      </c>
      <c r="BS9" s="82">
        <f>'Pre-filled Sample-Old'!$E$14</f>
        <v>0</v>
      </c>
      <c r="CD9"/>
      <c r="CE9"/>
      <c r="CF9"/>
      <c r="CG9"/>
      <c r="CH9"/>
      <c r="CI9"/>
      <c r="CJ9"/>
      <c r="CK9"/>
      <c r="CL9"/>
      <c r="CM9"/>
      <c r="CN9"/>
      <c r="CO9"/>
      <c r="CP9"/>
      <c r="CQ9"/>
      <c r="CR9"/>
      <c r="CS9"/>
      <c r="CT9"/>
    </row>
    <row r="10" spans="2:98" ht="57.75" customHeight="1">
      <c r="B10"/>
      <c r="C10" s="2" t="s">
        <v>188</v>
      </c>
      <c r="E10"/>
      <c r="M10" s="33" t="s">
        <v>189</v>
      </c>
      <c r="N10" s="34" t="s">
        <v>190</v>
      </c>
      <c r="O10" s="34"/>
      <c r="P10" s="34"/>
      <c r="Q10" s="34"/>
      <c r="R10" s="34"/>
      <c r="S10" s="34"/>
      <c r="T10" s="34" t="s">
        <v>190</v>
      </c>
      <c r="U10" s="34"/>
      <c r="V10" s="34"/>
      <c r="W10" s="34"/>
      <c r="X10" s="34"/>
      <c r="Y10" s="34" t="s">
        <v>190</v>
      </c>
      <c r="Z10" s="34"/>
      <c r="AA10" s="34"/>
      <c r="AB10" s="34"/>
      <c r="AC10" s="34"/>
      <c r="AD10" s="34" t="s">
        <v>190</v>
      </c>
      <c r="AE10" s="34"/>
      <c r="AF10" s="34"/>
      <c r="AG10" s="34"/>
      <c r="AH10" s="34"/>
      <c r="AI10" s="34"/>
      <c r="AJ10" s="34"/>
      <c r="AK10" s="34"/>
      <c r="AL10" s="34"/>
      <c r="AM10" s="34"/>
      <c r="AN10" s="34" t="s">
        <v>190</v>
      </c>
      <c r="AR10" s="83" t="str">
        <f>'LL97 Pathway'!D7</f>
        <v>Multifamily Housing</v>
      </c>
      <c r="AS10" s="83">
        <f>'LL97 Pathway'!D8</f>
        <v>0</v>
      </c>
      <c r="AT10" s="83">
        <f>'LL97 Pathway'!D9</f>
        <v>0</v>
      </c>
      <c r="AU10" s="83">
        <f>'LL97 Pathway'!D10</f>
        <v>0</v>
      </c>
      <c r="AV10" s="83">
        <f>'LL97 Pathway'!D11</f>
        <v>0</v>
      </c>
      <c r="AW10" s="83">
        <f>'LL97 Pathway'!D12</f>
        <v>0</v>
      </c>
      <c r="AX10" s="83">
        <f>'LL97 Pathway'!D13</f>
        <v>0</v>
      </c>
      <c r="AY10" s="83">
        <f>'LL97 Pathway'!D12</f>
        <v>0</v>
      </c>
      <c r="AZ10" s="3"/>
      <c r="BJ10"/>
      <c r="BL10" s="83" t="str">
        <f>'Pre-filled Sample-Old'!$D$7</f>
        <v>Multifamily Housing</v>
      </c>
      <c r="BM10" s="83" t="str">
        <f>'Pre-filled Sample-Old'!$D$8</f>
        <v>Self-Storage Facility</v>
      </c>
      <c r="BN10" s="83" t="str">
        <f>'Pre-filled Sample-Old'!$D$9</f>
        <v>Parking</v>
      </c>
      <c r="BO10" s="83" t="str">
        <f>'Pre-filled Sample-Old'!$D$10</f>
        <v>Food Service</v>
      </c>
      <c r="BP10" s="83" t="str">
        <f>'Pre-filled Sample-Old'!$D$11</f>
        <v>Retail Store</v>
      </c>
      <c r="BQ10" s="83">
        <f>'Pre-filled Sample-Old'!$D$12</f>
        <v>0</v>
      </c>
      <c r="BR10" s="83">
        <f>'Pre-filled Sample-Old'!$D$13</f>
        <v>0</v>
      </c>
      <c r="BS10" s="83">
        <f>'Pre-filled Sample-Old'!$D$14</f>
        <v>0</v>
      </c>
      <c r="BT10" s="3"/>
      <c r="CD10"/>
      <c r="CE10"/>
      <c r="CF10"/>
      <c r="CG10"/>
      <c r="CH10"/>
      <c r="CI10"/>
      <c r="CJ10"/>
      <c r="CK10"/>
      <c r="CL10"/>
      <c r="CM10"/>
      <c r="CN10"/>
      <c r="CO10"/>
      <c r="CP10"/>
      <c r="CQ10"/>
      <c r="CR10"/>
      <c r="CS10"/>
      <c r="CT10"/>
    </row>
    <row r="11" spans="2:98" ht="48.75" customHeight="1">
      <c r="B11"/>
      <c r="C11" s="75" t="s">
        <v>191</v>
      </c>
      <c r="D11"/>
      <c r="E11"/>
      <c r="M11" s="48" t="s">
        <v>192</v>
      </c>
      <c r="N11" s="48" t="s">
        <v>193</v>
      </c>
      <c r="O11" s="48" t="s">
        <v>194</v>
      </c>
      <c r="P11" s="48" t="s">
        <v>195</v>
      </c>
      <c r="Q11" s="48" t="s">
        <v>196</v>
      </c>
      <c r="R11" s="48" t="s">
        <v>197</v>
      </c>
      <c r="S11" s="48" t="s">
        <v>198</v>
      </c>
      <c r="T11" s="48" t="s">
        <v>199</v>
      </c>
      <c r="U11" s="48" t="s">
        <v>200</v>
      </c>
      <c r="V11" s="48" t="s">
        <v>201</v>
      </c>
      <c r="W11" s="48" t="s">
        <v>202</v>
      </c>
      <c r="X11" s="48" t="s">
        <v>203</v>
      </c>
      <c r="Y11" s="48" t="s">
        <v>204</v>
      </c>
      <c r="Z11" s="48" t="s">
        <v>205</v>
      </c>
      <c r="AA11" s="48" t="s">
        <v>206</v>
      </c>
      <c r="AB11" s="48" t="s">
        <v>207</v>
      </c>
      <c r="AC11" s="48" t="s">
        <v>208</v>
      </c>
      <c r="AD11" s="48" t="s">
        <v>209</v>
      </c>
      <c r="AE11" s="48" t="s">
        <v>210</v>
      </c>
      <c r="AF11" s="48" t="s">
        <v>211</v>
      </c>
      <c r="AG11" s="48" t="s">
        <v>212</v>
      </c>
      <c r="AH11" s="48" t="s">
        <v>213</v>
      </c>
      <c r="AI11" s="49" t="s">
        <v>214</v>
      </c>
      <c r="AJ11" s="49" t="s">
        <v>215</v>
      </c>
      <c r="AK11" s="49" t="s">
        <v>216</v>
      </c>
      <c r="AL11" s="49" t="s">
        <v>217</v>
      </c>
      <c r="AM11" s="49" t="s">
        <v>218</v>
      </c>
      <c r="AN11" s="49" t="s">
        <v>219</v>
      </c>
      <c r="AQ11" s="3" t="s">
        <v>134</v>
      </c>
      <c r="AR11" s="3" t="s">
        <v>220</v>
      </c>
      <c r="AS11" s="3" t="s">
        <v>221</v>
      </c>
      <c r="AT11" s="3" t="s">
        <v>222</v>
      </c>
      <c r="AU11" s="3" t="s">
        <v>223</v>
      </c>
      <c r="AV11" s="3" t="s">
        <v>224</v>
      </c>
      <c r="AW11" s="3" t="s">
        <v>225</v>
      </c>
      <c r="AX11" s="3" t="s">
        <v>226</v>
      </c>
      <c r="AY11" s="3" t="s">
        <v>227</v>
      </c>
      <c r="AZ11" s="53" t="s">
        <v>228</v>
      </c>
      <c r="BA11" s="3" t="s">
        <v>229</v>
      </c>
      <c r="BB11" s="3" t="s">
        <v>230</v>
      </c>
      <c r="BC11" s="3" t="s">
        <v>231</v>
      </c>
      <c r="BD11" s="3" t="s">
        <v>232</v>
      </c>
      <c r="BE11" s="3" t="s">
        <v>233</v>
      </c>
      <c r="BF11" s="3" t="s">
        <v>234</v>
      </c>
      <c r="BG11" s="3" t="s">
        <v>235</v>
      </c>
      <c r="BH11" s="3" t="s">
        <v>236</v>
      </c>
      <c r="BI11" s="3"/>
      <c r="BJ11"/>
      <c r="BK11" s="3" t="s">
        <v>134</v>
      </c>
      <c r="BL11" s="3" t="s">
        <v>220</v>
      </c>
      <c r="BM11" s="3" t="s">
        <v>221</v>
      </c>
      <c r="BN11" s="3" t="s">
        <v>222</v>
      </c>
      <c r="BO11" s="3" t="s">
        <v>223</v>
      </c>
      <c r="BP11" s="3" t="s">
        <v>224</v>
      </c>
      <c r="BQ11" s="3" t="s">
        <v>225</v>
      </c>
      <c r="BR11" s="3" t="s">
        <v>226</v>
      </c>
      <c r="BS11" s="3" t="s">
        <v>227</v>
      </c>
      <c r="BT11" s="53" t="s">
        <v>228</v>
      </c>
      <c r="BU11" s="3" t="s">
        <v>229</v>
      </c>
      <c r="BV11" s="3" t="s">
        <v>230</v>
      </c>
      <c r="BW11" s="3" t="s">
        <v>231</v>
      </c>
      <c r="BX11" s="3" t="s">
        <v>232</v>
      </c>
      <c r="BY11" s="3" t="s">
        <v>233</v>
      </c>
      <c r="BZ11" s="3" t="s">
        <v>234</v>
      </c>
      <c r="CA11" s="3" t="s">
        <v>235</v>
      </c>
      <c r="CB11" s="3" t="s">
        <v>236</v>
      </c>
      <c r="CD11"/>
      <c r="CE11"/>
      <c r="CF11"/>
      <c r="CG11"/>
      <c r="CH11"/>
      <c r="CI11"/>
      <c r="CJ11"/>
      <c r="CK11"/>
      <c r="CL11"/>
      <c r="CM11"/>
      <c r="CN11"/>
      <c r="CO11"/>
      <c r="CP11"/>
      <c r="CQ11"/>
      <c r="CR11"/>
      <c r="CS11"/>
      <c r="CT11"/>
    </row>
    <row r="12" spans="2:98">
      <c r="B12"/>
      <c r="C12" s="51" t="s">
        <v>237</v>
      </c>
      <c r="D12"/>
      <c r="E12"/>
      <c r="M12" s="35" t="s">
        <v>238</v>
      </c>
      <c r="N12" s="36">
        <v>7.5799999999999999E-3</v>
      </c>
      <c r="O12" s="36">
        <f>Table_LL97SpaceLimits[[#This Row],[2024]]</f>
        <v>7.5799999999999999E-3</v>
      </c>
      <c r="P12" s="36">
        <f>Table_LL97SpaceLimits[[#This Row],[2025]]</f>
        <v>7.5799999999999999E-3</v>
      </c>
      <c r="Q12" s="36">
        <f>Table_LL97SpaceLimits[[#This Row],[2026]]</f>
        <v>7.5799999999999999E-3</v>
      </c>
      <c r="R12" s="36">
        <f>Table_LL97SpaceLimits[[#This Row],[2027]]</f>
        <v>7.5799999999999999E-3</v>
      </c>
      <c r="S12" s="36">
        <f>Table_LL97SpaceLimits[[#This Row],[2028]]</f>
        <v>7.5799999999999999E-3</v>
      </c>
      <c r="T12" s="37">
        <v>3.5655280000000001E-3</v>
      </c>
      <c r="U12" s="37">
        <f>Table_LL97SpaceLimits[[#This Row],[2030]]</f>
        <v>3.5655280000000001E-3</v>
      </c>
      <c r="V12" s="37">
        <f>Table_LL97SpaceLimits[[#This Row],[2031]]</f>
        <v>3.5655280000000001E-3</v>
      </c>
      <c r="W12" s="37">
        <f>Table_LL97SpaceLimits[[#This Row],[2032]]</f>
        <v>3.5655280000000001E-3</v>
      </c>
      <c r="X12" s="37">
        <f>Table_LL97SpaceLimits[[#This Row],[2033]]</f>
        <v>3.5655280000000001E-3</v>
      </c>
      <c r="Y12" s="38">
        <v>2.6741460000000001E-3</v>
      </c>
      <c r="Z12" s="38">
        <f>Table_LL97SpaceLimits[[#This Row],[2035]]</f>
        <v>2.6741460000000001E-3</v>
      </c>
      <c r="AA12" s="38">
        <f>Table_LL97SpaceLimits[[#This Row],[2036]]</f>
        <v>2.6741460000000001E-3</v>
      </c>
      <c r="AB12" s="38">
        <f>Table_LL97SpaceLimits[[#This Row],[2037]]</f>
        <v>2.6741460000000001E-3</v>
      </c>
      <c r="AC12" s="38">
        <f>Table_LL97SpaceLimits[[#This Row],[2038]]</f>
        <v>2.6741460000000001E-3</v>
      </c>
      <c r="AD12" s="39">
        <v>1.7827640000000001E-3</v>
      </c>
      <c r="AE12" s="50">
        <f>Table_LL97SpaceLimits[[#This Row],[2040]]</f>
        <v>1.7827640000000001E-3</v>
      </c>
      <c r="AF12" s="50">
        <f>Table_LL97SpaceLimits[[#This Row],[2041]]</f>
        <v>1.7827640000000001E-3</v>
      </c>
      <c r="AG12" s="50">
        <f>Table_LL97SpaceLimits[[#This Row],[2042]]</f>
        <v>1.7827640000000001E-3</v>
      </c>
      <c r="AH12" s="50">
        <f>Table_LL97SpaceLimits[[#This Row],[2043]]</f>
        <v>1.7827640000000001E-3</v>
      </c>
      <c r="AI12" s="50">
        <f>Table_LL97SpaceLimits[[#This Row],[2044]]</f>
        <v>1.7827640000000001E-3</v>
      </c>
      <c r="AJ12" s="50">
        <f>Table_LL97SpaceLimits[[#This Row],[2045]]</f>
        <v>1.7827640000000001E-3</v>
      </c>
      <c r="AK12" s="50">
        <f>Table_LL97SpaceLimits[[#This Row],[2046]]</f>
        <v>1.7827640000000001E-3</v>
      </c>
      <c r="AL12" s="50">
        <f>Table_LL97SpaceLimits[[#This Row],[2047]]</f>
        <v>1.7827640000000001E-3</v>
      </c>
      <c r="AM12" s="50">
        <f>Table_LL97SpaceLimits[[#This Row],[2048]]</f>
        <v>1.7827640000000001E-3</v>
      </c>
      <c r="AN12" s="40">
        <v>0</v>
      </c>
      <c r="AQ12" s="5">
        <v>2024</v>
      </c>
      <c r="AR12" s="1" cm="1">
        <f t="array" ref="AR12">INDEX(Table_LL97SpaceLimits[],MATCH(AR$10,Table_LL97SpaceLimits[Property Type],0),MATCH(Table_LimitsCalc_Calculator[[#This Row],[Year]],VALUE(Table_LL97SpaceLimits[#Headers]),0))</f>
        <v>6.7499999999999999E-3</v>
      </c>
      <c r="AS12" s="1" t="e" cm="1">
        <f t="array" ref="AS12">INDEX(Table_LL97SpaceLimits[],MATCH(AS$10,Table_LL97SpaceLimits[Property Type],0),MATCH(Table_LimitsCalc_Calculator[[#This Row],[Year]],VALUE(Table_LL97SpaceLimits[#Headers]),0))</f>
        <v>#N/A</v>
      </c>
      <c r="AT12" s="1" t="e" cm="1">
        <f t="array" ref="AT12">INDEX(Table_LL97SpaceLimits[],MATCH(AT$10,Table_LL97SpaceLimits[Property Type],0),MATCH(Table_LimitsCalc_Calculator[[#This Row],[Year]],VALUE(Table_LL97SpaceLimits[#Headers]),0))</f>
        <v>#N/A</v>
      </c>
      <c r="AU12" s="1" t="e" cm="1">
        <f t="array" ref="AU12">INDEX(Table_LL97SpaceLimits[],MATCH(AU$10,Table_LL97SpaceLimits[Property Type],0),MATCH(Table_LimitsCalc_Calculator[[#This Row],[Year]],VALUE(Table_LL97SpaceLimits[#Headers]),0))</f>
        <v>#N/A</v>
      </c>
      <c r="AV12" s="1" t="e" cm="1">
        <f t="array" ref="AV12">INDEX(Table_LL97SpaceLimits[],MATCH(AV$10,Table_LL97SpaceLimits[Property Type],0),MATCH(Table_LimitsCalc_Calculator[[#This Row],[Year]],VALUE(Table_LL97SpaceLimits[#Headers]),0))</f>
        <v>#N/A</v>
      </c>
      <c r="AW12" s="1" t="e" cm="1">
        <f t="array" ref="AW12">INDEX(Table_LL97SpaceLimits[],MATCH(AW$10,Table_LL97SpaceLimits[Property Type],0),MATCH(Table_LimitsCalc_Calculator[[#This Row],[Year]],VALUE(Table_LL97SpaceLimits[#Headers]),0))</f>
        <v>#N/A</v>
      </c>
      <c r="AX12" s="1" t="e" cm="1">
        <f t="array" ref="AX12">INDEX(Table_LL97SpaceLimits[],MATCH(AX$10,Table_LL97SpaceLimits[Property Type],0),MATCH(Table_LimitsCalc_Calculator[[#This Row],[Year]],VALUE(Table_LL97SpaceLimits[#Headers]),0))</f>
        <v>#N/A</v>
      </c>
      <c r="AY12" s="1" t="e" cm="1">
        <f t="array" ref="AY12">INDEX(Table_LL97SpaceLimits[],MATCH(AY$10,Table_LL97SpaceLimits[Property Type],0),MATCH(Table_LimitsCalc_Calculator[[#This Row],[Year]],VALUE(Table_LL97SpaceLimits[#Headers]),0))</f>
        <v>#N/A</v>
      </c>
      <c r="AZ12" s="54">
        <f>Table_LimitsCalc_Calculator[[#This Row],[Space 1 Limit Intensity]]*AR$9</f>
        <v>0</v>
      </c>
      <c r="BA12" s="1" t="e">
        <f>Table_LimitsCalc_Calculator[[#This Row],[Space 2 Limit Intensity]]*AS$9</f>
        <v>#N/A</v>
      </c>
      <c r="BB12" s="1" t="e">
        <f>Table_LimitsCalc_Calculator[[#This Row],[Space 3 Limit Intensity]]*AT$9</f>
        <v>#N/A</v>
      </c>
      <c r="BC12" s="1" t="e">
        <f>Table_LimitsCalc_Calculator[[#This Row],[Space 4 Limit Intensity]]*AU$9</f>
        <v>#N/A</v>
      </c>
      <c r="BD12" s="1" t="e">
        <f>Table_LimitsCalc_Calculator[[#This Row],[Space 5 Limit Intensity]]*AV$9</f>
        <v>#N/A</v>
      </c>
      <c r="BE12" s="1" t="e">
        <f>Table_LimitsCalc_Calculator[[#This Row],[Space 6 Limit Intensity]]*AW$9</f>
        <v>#N/A</v>
      </c>
      <c r="BF12" s="1" t="e">
        <f>Table_LimitsCalc_Calculator[[#This Row],[Space 7 Limit Intensity]]*AX$9</f>
        <v>#N/A</v>
      </c>
      <c r="BG12" s="1" t="e">
        <f>Table_LimitsCalc_Calculator[[#This Row],[Space 8 Limit Intensity]]*AY$9</f>
        <v>#N/A</v>
      </c>
      <c r="BH12" s="84">
        <f>_xlfn.AGGREGATE(9,6,Table_LimitsCalc_Calculator[[#This Row],[Space 1 Limit (tCO2e)]:[Space 8 Limit (tCO2e)]])</f>
        <v>0</v>
      </c>
      <c r="BJ12"/>
      <c r="BK12" s="5">
        <v>2024</v>
      </c>
      <c r="BL12" s="1" cm="1">
        <f t="array" ref="BL12">INDEX(Table_LL97SpaceLimits[],MATCH(BL$10,Table_LL97SpaceLimits[Property Type],0),MATCH(Table_LimitsCalc_Sample1[[#This Row],[Year]],VALUE(Table_LL97SpaceLimits[#Headers]),0))</f>
        <v>6.7499999999999999E-3</v>
      </c>
      <c r="BM12" s="1" cm="1">
        <f t="array" ref="BM12">INDEX(Table_LL97SpaceLimits[],MATCH(BM$10,Table_LL97SpaceLimits[Property Type],0),MATCH(Table_LimitsCalc_Sample1[[#This Row],[Year]],VALUE(Table_LL97SpaceLimits[#Headers]),0))</f>
        <v>4.2599999999999999E-3</v>
      </c>
      <c r="BN12" s="1" cm="1">
        <f t="array" ref="BN12">INDEX(Table_LL97SpaceLimits[],MATCH(BN$10,Table_LL97SpaceLimits[Property Type],0),MATCH(Table_LimitsCalc_Sample1[[#This Row],[Year]],VALUE(Table_LL97SpaceLimits[#Headers]),0))</f>
        <v>4.2599999999999999E-3</v>
      </c>
      <c r="BO12" s="1" cm="1">
        <f t="array" ref="BO12">INDEX(Table_LL97SpaceLimits[],MATCH(BO$10,Table_LL97SpaceLimits[Property Type],0),MATCH(Table_LimitsCalc_Sample1[[#This Row],[Year]],VALUE(Table_LL97SpaceLimits[#Headers]),0))</f>
        <v>1.1809999999999999E-2</v>
      </c>
      <c r="BP12" s="1" cm="1">
        <f t="array" ref="BP12">INDEX(Table_LL97SpaceLimits[],MATCH(BP$10,Table_LL97SpaceLimits[Property Type],0),MATCH(Table_LimitsCalc_Sample1[[#This Row],[Year]],VALUE(Table_LL97SpaceLimits[#Headers]),0))</f>
        <v>7.5799999999999999E-3</v>
      </c>
      <c r="BQ12" s="1" t="e" cm="1">
        <f t="array" ref="BQ12">INDEX(Table_LL97SpaceLimits[],MATCH(BQ$10,Table_LL97SpaceLimits[Property Type],0),MATCH(Table_LimitsCalc_Sample1[[#This Row],[Year]],VALUE(Table_LL97SpaceLimits[#Headers]),0))</f>
        <v>#N/A</v>
      </c>
      <c r="BR12" s="1" t="e" cm="1">
        <f t="array" ref="BR12">INDEX(Table_LL97SpaceLimits[],MATCH(BR$10,Table_LL97SpaceLimits[Property Type],0),MATCH(Table_LimitsCalc_Sample1[[#This Row],[Year]],VALUE(Table_LL97SpaceLimits[#Headers]),0))</f>
        <v>#N/A</v>
      </c>
      <c r="BS12" s="1" t="e" cm="1">
        <f t="array" ref="BS12">INDEX(Table_LL97SpaceLimits[],MATCH(BS$10,Table_LL97SpaceLimits[Property Type],0),MATCH(Table_LimitsCalc_Sample1[[#This Row],[Year]],VALUE(Table_LL97SpaceLimits[#Headers]),0))</f>
        <v>#N/A</v>
      </c>
      <c r="BT12" s="54">
        <f>Table_LimitsCalc_Sample1[[#This Row],[Space 1 Limit Intensity]]*BL$9</f>
        <v>373.27499999999998</v>
      </c>
      <c r="BU12" s="1">
        <f>Table_LimitsCalc_Sample1[[#This Row],[Space 2 Limit Intensity]]*BM$9</f>
        <v>21.3</v>
      </c>
      <c r="BV12" s="1">
        <f>Table_LimitsCalc_Sample1[[#This Row],[Space 3 Limit Intensity]]*BN$9</f>
        <v>8.52</v>
      </c>
      <c r="BW12" s="1">
        <f>Table_LimitsCalc_Sample1[[#This Row],[Space 4 Limit Intensity]]*BO$9</f>
        <v>9.4479999999999986</v>
      </c>
      <c r="BX12" s="1">
        <f>Table_LimitsCalc_Sample1[[#This Row],[Space 5 Limit Intensity]]*BP$9</f>
        <v>4.9269999999999996</v>
      </c>
      <c r="BY12" s="1" t="e">
        <f>Table_LimitsCalc_Sample1[[#This Row],[Space 6 Limit Intensity]]*BQ$9</f>
        <v>#N/A</v>
      </c>
      <c r="BZ12" s="1" t="e">
        <f>Table_LimitsCalc_Sample1[[#This Row],[Space 6 Limit Intensity]]*BR$9</f>
        <v>#N/A</v>
      </c>
      <c r="CA12" s="1" t="e">
        <f>Table_LimitsCalc_Sample1[[#This Row],[Space 6 Limit Intensity]]*BS$9</f>
        <v>#N/A</v>
      </c>
      <c r="CB12" s="84">
        <f>_xlfn.AGGREGATE(9,6,Table_LimitsCalc_Sample1[[#This Row],[Space 1 Limit (tCO2e)]:[Space 6 Limit (tCO2e)]])</f>
        <v>417.46999999999997</v>
      </c>
      <c r="CD12"/>
      <c r="CE12"/>
      <c r="CF12"/>
      <c r="CG12"/>
      <c r="CH12"/>
      <c r="CI12"/>
      <c r="CJ12"/>
      <c r="CK12"/>
      <c r="CL12"/>
      <c r="CM12"/>
      <c r="CN12"/>
      <c r="CO12"/>
      <c r="CP12"/>
      <c r="CQ12"/>
      <c r="CR12"/>
      <c r="CS12"/>
      <c r="CT12"/>
    </row>
    <row r="13" spans="2:98">
      <c r="B13"/>
      <c r="C13" s="76" t="s">
        <v>239</v>
      </c>
      <c r="D13"/>
      <c r="E13"/>
      <c r="M13" s="35" t="s">
        <v>240</v>
      </c>
      <c r="N13" s="36">
        <v>1.1809999999999999E-2</v>
      </c>
      <c r="O13" s="36">
        <f>Table_LL97SpaceLimits[[#This Row],[2024]]</f>
        <v>1.1809999999999999E-2</v>
      </c>
      <c r="P13" s="36">
        <f>Table_LL97SpaceLimits[[#This Row],[2025]]</f>
        <v>1.1809999999999999E-2</v>
      </c>
      <c r="Q13" s="36">
        <f>Table_LL97SpaceLimits[[#This Row],[2026]]</f>
        <v>1.1809999999999999E-2</v>
      </c>
      <c r="R13" s="36">
        <f>Table_LL97SpaceLimits[[#This Row],[2027]]</f>
        <v>1.1809999999999999E-2</v>
      </c>
      <c r="S13" s="36">
        <f>Table_LL97SpaceLimits[[#This Row],[2028]]</f>
        <v>1.1809999999999999E-2</v>
      </c>
      <c r="T13" s="37">
        <v>8.9806120000000007E-3</v>
      </c>
      <c r="U13" s="37">
        <f>Table_LL97SpaceLimits[[#This Row],[2030]]</f>
        <v>8.9806120000000007E-3</v>
      </c>
      <c r="V13" s="37">
        <f>Table_LL97SpaceLimits[[#This Row],[2031]]</f>
        <v>8.9806120000000007E-3</v>
      </c>
      <c r="W13" s="37">
        <f>Table_LL97SpaceLimits[[#This Row],[2032]]</f>
        <v>8.9806120000000007E-3</v>
      </c>
      <c r="X13" s="37">
        <f>Table_LL97SpaceLimits[[#This Row],[2033]]</f>
        <v>8.9806120000000007E-3</v>
      </c>
      <c r="Y13" s="38">
        <v>6.7354590000000001E-3</v>
      </c>
      <c r="Z13" s="38">
        <f>Table_LL97SpaceLimits[[#This Row],[2035]]</f>
        <v>6.7354590000000001E-3</v>
      </c>
      <c r="AA13" s="38">
        <f>Table_LL97SpaceLimits[[#This Row],[2036]]</f>
        <v>6.7354590000000001E-3</v>
      </c>
      <c r="AB13" s="38">
        <f>Table_LL97SpaceLimits[[#This Row],[2037]]</f>
        <v>6.7354590000000001E-3</v>
      </c>
      <c r="AC13" s="38">
        <f>Table_LL97SpaceLimits[[#This Row],[2038]]</f>
        <v>6.7354590000000001E-3</v>
      </c>
      <c r="AD13" s="39">
        <v>4.4903060000000003E-3</v>
      </c>
      <c r="AE13" s="50">
        <f>Table_LL97SpaceLimits[[#This Row],[2040]]</f>
        <v>4.4903060000000003E-3</v>
      </c>
      <c r="AF13" s="50">
        <f>Table_LL97SpaceLimits[[#This Row],[2041]]</f>
        <v>4.4903060000000003E-3</v>
      </c>
      <c r="AG13" s="50">
        <f>Table_LL97SpaceLimits[[#This Row],[2042]]</f>
        <v>4.4903060000000003E-3</v>
      </c>
      <c r="AH13" s="50">
        <f>Table_LL97SpaceLimits[[#This Row],[2043]]</f>
        <v>4.4903060000000003E-3</v>
      </c>
      <c r="AI13" s="50">
        <f>Table_LL97SpaceLimits[[#This Row],[2044]]</f>
        <v>4.4903060000000003E-3</v>
      </c>
      <c r="AJ13" s="50">
        <f>Table_LL97SpaceLimits[[#This Row],[2045]]</f>
        <v>4.4903060000000003E-3</v>
      </c>
      <c r="AK13" s="50">
        <f>Table_LL97SpaceLimits[[#This Row],[2046]]</f>
        <v>4.4903060000000003E-3</v>
      </c>
      <c r="AL13" s="50">
        <f>Table_LL97SpaceLimits[[#This Row],[2047]]</f>
        <v>4.4903060000000003E-3</v>
      </c>
      <c r="AM13" s="50">
        <f>Table_LL97SpaceLimits[[#This Row],[2048]]</f>
        <v>4.4903060000000003E-3</v>
      </c>
      <c r="AN13" s="40">
        <v>0</v>
      </c>
      <c r="AQ13" s="5">
        <v>2025</v>
      </c>
      <c r="AR13" s="1" cm="1">
        <f t="array" ref="AR13">INDEX(Table_LL97SpaceLimits[],MATCH(AR$10,Table_LL97SpaceLimits[Property Type],0),MATCH(Table_LimitsCalc_Calculator[[#This Row],[Year]],VALUE(Table_LL97SpaceLimits[#Headers]),0))</f>
        <v>6.7499999999999999E-3</v>
      </c>
      <c r="AS13" s="1" t="e" cm="1">
        <f t="array" ref="AS13">INDEX(Table_LL97SpaceLimits[],MATCH(AS$10,Table_LL97SpaceLimits[Property Type],0),MATCH(Table_LimitsCalc_Calculator[[#This Row],[Year]],VALUE(Table_LL97SpaceLimits[#Headers]),0))</f>
        <v>#N/A</v>
      </c>
      <c r="AT13" s="1" t="e" cm="1">
        <f t="array" ref="AT13">INDEX(Table_LL97SpaceLimits[],MATCH(AT$10,Table_LL97SpaceLimits[Property Type],0),MATCH(Table_LimitsCalc_Calculator[[#This Row],[Year]],VALUE(Table_LL97SpaceLimits[#Headers]),0))</f>
        <v>#N/A</v>
      </c>
      <c r="AU13" s="1" t="e" cm="1">
        <f t="array" ref="AU13">INDEX(Table_LL97SpaceLimits[],MATCH(AU$10,Table_LL97SpaceLimits[Property Type],0),MATCH(Table_LimitsCalc_Calculator[[#This Row],[Year]],VALUE(Table_LL97SpaceLimits[#Headers]),0))</f>
        <v>#N/A</v>
      </c>
      <c r="AV13" s="1" t="e" cm="1">
        <f t="array" ref="AV13">INDEX(Table_LL97SpaceLimits[],MATCH(AV$10,Table_LL97SpaceLimits[Property Type],0),MATCH(Table_LimitsCalc_Calculator[[#This Row],[Year]],VALUE(Table_LL97SpaceLimits[#Headers]),0))</f>
        <v>#N/A</v>
      </c>
      <c r="AW13" s="1" t="e" cm="1">
        <f t="array" ref="AW13">INDEX(Table_LL97SpaceLimits[],MATCH(AW$10,Table_LL97SpaceLimits[Property Type],0),MATCH(Table_LimitsCalc_Calculator[[#This Row],[Year]],VALUE(Table_LL97SpaceLimits[#Headers]),0))</f>
        <v>#N/A</v>
      </c>
      <c r="AX13" s="1" t="e" cm="1">
        <f t="array" ref="AX13">INDEX(Table_LL97SpaceLimits[],MATCH(AX$10,Table_LL97SpaceLimits[Property Type],0),MATCH(Table_LimitsCalc_Calculator[[#This Row],[Year]],VALUE(Table_LL97SpaceLimits[#Headers]),0))</f>
        <v>#N/A</v>
      </c>
      <c r="AY13" s="1" t="e" cm="1">
        <f t="array" ref="AY13">INDEX(Table_LL97SpaceLimits[],MATCH(AY$10,Table_LL97SpaceLimits[Property Type],0),MATCH(Table_LimitsCalc_Calculator[[#This Row],[Year]],VALUE(Table_LL97SpaceLimits[#Headers]),0))</f>
        <v>#N/A</v>
      </c>
      <c r="AZ13" s="54">
        <f>Table_LimitsCalc_Calculator[[#This Row],[Space 1 Limit Intensity]]*AR$9</f>
        <v>0</v>
      </c>
      <c r="BA13" s="1" t="e">
        <f>Table_LimitsCalc_Calculator[[#This Row],[Space 2 Limit Intensity]]*AS$9</f>
        <v>#N/A</v>
      </c>
      <c r="BB13" s="1" t="e">
        <f>Table_LimitsCalc_Calculator[[#This Row],[Space 3 Limit Intensity]]*AT$9</f>
        <v>#N/A</v>
      </c>
      <c r="BC13" s="1" t="e">
        <f>Table_LimitsCalc_Calculator[[#This Row],[Space 4 Limit Intensity]]*AU$9</f>
        <v>#N/A</v>
      </c>
      <c r="BD13" s="1" t="e">
        <f>Table_LimitsCalc_Calculator[[#This Row],[Space 5 Limit Intensity]]*AV$9</f>
        <v>#N/A</v>
      </c>
      <c r="BE13" s="1" t="e">
        <f>Table_LimitsCalc_Calculator[[#This Row],[Space 6 Limit Intensity]]*AW$9</f>
        <v>#N/A</v>
      </c>
      <c r="BF13" s="1" t="e">
        <f>Table_LimitsCalc_Calculator[[#This Row],[Space 7 Limit Intensity]]*AX$9</f>
        <v>#N/A</v>
      </c>
      <c r="BG13" s="1" t="e">
        <f>Table_LimitsCalc_Calculator[[#This Row],[Space 8 Limit Intensity]]*AY$9</f>
        <v>#N/A</v>
      </c>
      <c r="BH13" s="84">
        <f>_xlfn.AGGREGATE(9,6,Table_LimitsCalc_Calculator[[#This Row],[Space 1 Limit (tCO2e)]:[Space 8 Limit (tCO2e)]])</f>
        <v>0</v>
      </c>
      <c r="BJ13"/>
      <c r="BK13" s="5">
        <v>2025</v>
      </c>
      <c r="BL13" s="1" cm="1">
        <f t="array" ref="BL13">INDEX(Table_LL97SpaceLimits[],MATCH(BL$10,Table_LL97SpaceLimits[Property Type],0),MATCH(Table_LimitsCalc_Sample1[[#This Row],[Year]],VALUE(Table_LL97SpaceLimits[#Headers]),0))</f>
        <v>6.7499999999999999E-3</v>
      </c>
      <c r="BM13" s="1" cm="1">
        <f t="array" ref="BM13">INDEX(Table_LL97SpaceLimits[],MATCH(BM$10,Table_LL97SpaceLimits[Property Type],0),MATCH(Table_LimitsCalc_Sample1[[#This Row],[Year]],VALUE(Table_LL97SpaceLimits[#Headers]),0))</f>
        <v>4.2599999999999999E-3</v>
      </c>
      <c r="BN13" s="1" cm="1">
        <f t="array" ref="BN13">INDEX(Table_LL97SpaceLimits[],MATCH(BN$10,Table_LL97SpaceLimits[Property Type],0),MATCH(Table_LimitsCalc_Sample1[[#This Row],[Year]],VALUE(Table_LL97SpaceLimits[#Headers]),0))</f>
        <v>4.2599999999999999E-3</v>
      </c>
      <c r="BO13" s="1" cm="1">
        <f t="array" ref="BO13">INDEX(Table_LL97SpaceLimits[],MATCH(BO$10,Table_LL97SpaceLimits[Property Type],0),MATCH(Table_LimitsCalc_Sample1[[#This Row],[Year]],VALUE(Table_LL97SpaceLimits[#Headers]),0))</f>
        <v>1.1809999999999999E-2</v>
      </c>
      <c r="BP13" s="1" cm="1">
        <f t="array" ref="BP13">INDEX(Table_LL97SpaceLimits[],MATCH(BP$10,Table_LL97SpaceLimits[Property Type],0),MATCH(Table_LimitsCalc_Sample1[[#This Row],[Year]],VALUE(Table_LL97SpaceLimits[#Headers]),0))</f>
        <v>7.5799999999999999E-3</v>
      </c>
      <c r="BQ13" s="1" t="e" cm="1">
        <f t="array" ref="BQ13">INDEX(Table_LL97SpaceLimits[],MATCH(BQ$10,Table_LL97SpaceLimits[Property Type],0),MATCH(Table_LimitsCalc_Sample1[[#This Row],[Year]],VALUE(Table_LL97SpaceLimits[#Headers]),0))</f>
        <v>#N/A</v>
      </c>
      <c r="BR13" s="1" t="e" cm="1">
        <f t="array" ref="BR13">INDEX(Table_LL97SpaceLimits[],MATCH(BR$10,Table_LL97SpaceLimits[Property Type],0),MATCH(Table_LimitsCalc_Sample1[[#This Row],[Year]],VALUE(Table_LL97SpaceLimits[#Headers]),0))</f>
        <v>#N/A</v>
      </c>
      <c r="BS13" s="1" t="e" cm="1">
        <f t="array" ref="BS13">INDEX(Table_LL97SpaceLimits[],MATCH(BS$10,Table_LL97SpaceLimits[Property Type],0),MATCH(Table_LimitsCalc_Sample1[[#This Row],[Year]],VALUE(Table_LL97SpaceLimits[#Headers]),0))</f>
        <v>#N/A</v>
      </c>
      <c r="BT13" s="54">
        <f>Table_LimitsCalc_Sample1[[#This Row],[Space 1 Limit Intensity]]*BL$9</f>
        <v>373.27499999999998</v>
      </c>
      <c r="BU13" s="1">
        <f>Table_LimitsCalc_Sample1[[#This Row],[Space 2 Limit Intensity]]*BM$9</f>
        <v>21.3</v>
      </c>
      <c r="BV13" s="1">
        <f>Table_LimitsCalc_Sample1[[#This Row],[Space 3 Limit Intensity]]*BN$9</f>
        <v>8.52</v>
      </c>
      <c r="BW13" s="1">
        <f>Table_LimitsCalc_Sample1[[#This Row],[Space 4 Limit Intensity]]*BO$9</f>
        <v>9.4479999999999986</v>
      </c>
      <c r="BX13" s="1">
        <f>Table_LimitsCalc_Sample1[[#This Row],[Space 5 Limit Intensity]]*BP$9</f>
        <v>4.9269999999999996</v>
      </c>
      <c r="BY13" s="1" t="e">
        <f>Table_LimitsCalc_Sample1[[#This Row],[Space 6 Limit Intensity]]*BQ$9</f>
        <v>#N/A</v>
      </c>
      <c r="BZ13" s="1" t="e">
        <f>Table_LimitsCalc_Sample1[[#This Row],[Space 6 Limit Intensity]]*BR$9</f>
        <v>#N/A</v>
      </c>
      <c r="CA13" s="1" t="e">
        <f>Table_LimitsCalc_Sample1[[#This Row],[Space 6 Limit Intensity]]*BS$9</f>
        <v>#N/A</v>
      </c>
      <c r="CB13" s="84">
        <f>_xlfn.AGGREGATE(9,6,Table_LimitsCalc_Sample1[[#This Row],[Space 1 Limit (tCO2e)]:[Space 6 Limit (tCO2e)]])</f>
        <v>417.46999999999997</v>
      </c>
      <c r="CD13"/>
      <c r="CE13"/>
      <c r="CF13"/>
      <c r="CG13"/>
      <c r="CH13"/>
      <c r="CI13"/>
      <c r="CJ13"/>
      <c r="CK13"/>
      <c r="CL13"/>
      <c r="CM13"/>
      <c r="CN13"/>
      <c r="CO13"/>
      <c r="CP13"/>
      <c r="CQ13"/>
      <c r="CR13"/>
      <c r="CS13"/>
      <c r="CT13"/>
    </row>
    <row r="14" spans="2:98">
      <c r="B14"/>
      <c r="C14" s="76" t="s">
        <v>241</v>
      </c>
      <c r="D14"/>
      <c r="E14"/>
      <c r="M14" s="35" t="s">
        <v>242</v>
      </c>
      <c r="N14" s="36">
        <v>6.7499999999999999E-3</v>
      </c>
      <c r="O14" s="36">
        <f>Table_LL97SpaceLimits[[#This Row],[2024]]</f>
        <v>6.7499999999999999E-3</v>
      </c>
      <c r="P14" s="36">
        <f>Table_LL97SpaceLimits[[#This Row],[2025]]</f>
        <v>6.7499999999999999E-3</v>
      </c>
      <c r="Q14" s="36">
        <f>Table_LL97SpaceLimits[[#This Row],[2026]]</f>
        <v>6.7499999999999999E-3</v>
      </c>
      <c r="R14" s="36">
        <f>Table_LL97SpaceLimits[[#This Row],[2027]]</f>
        <v>6.7499999999999999E-3</v>
      </c>
      <c r="S14" s="36">
        <f>Table_LL97SpaceLimits[[#This Row],[2028]]</f>
        <v>6.7499999999999999E-3</v>
      </c>
      <c r="T14" s="37">
        <v>2.8240969999999998E-3</v>
      </c>
      <c r="U14" s="37">
        <f>Table_LL97SpaceLimits[[#This Row],[2030]]</f>
        <v>2.8240969999999998E-3</v>
      </c>
      <c r="V14" s="37">
        <f>Table_LL97SpaceLimits[[#This Row],[2031]]</f>
        <v>2.8240969999999998E-3</v>
      </c>
      <c r="W14" s="37">
        <f>Table_LL97SpaceLimits[[#This Row],[2032]]</f>
        <v>2.8240969999999998E-3</v>
      </c>
      <c r="X14" s="37">
        <f>Table_LL97SpaceLimits[[#This Row],[2033]]</f>
        <v>2.8240969999999998E-3</v>
      </c>
      <c r="Y14" s="38">
        <v>2.1180719999999999E-3</v>
      </c>
      <c r="Z14" s="38">
        <f>Table_LL97SpaceLimits[[#This Row],[2035]]</f>
        <v>2.1180719999999999E-3</v>
      </c>
      <c r="AA14" s="38">
        <f>Table_LL97SpaceLimits[[#This Row],[2036]]</f>
        <v>2.1180719999999999E-3</v>
      </c>
      <c r="AB14" s="38">
        <f>Table_LL97SpaceLimits[[#This Row],[2037]]</f>
        <v>2.1180719999999999E-3</v>
      </c>
      <c r="AC14" s="38">
        <f>Table_LL97SpaceLimits[[#This Row],[2038]]</f>
        <v>2.1180719999999999E-3</v>
      </c>
      <c r="AD14" s="39">
        <v>1.4120479999999999E-3</v>
      </c>
      <c r="AE14" s="50">
        <f>Table_LL97SpaceLimits[[#This Row],[2040]]</f>
        <v>1.4120479999999999E-3</v>
      </c>
      <c r="AF14" s="50">
        <f>Table_LL97SpaceLimits[[#This Row],[2041]]</f>
        <v>1.4120479999999999E-3</v>
      </c>
      <c r="AG14" s="50">
        <f>Table_LL97SpaceLimits[[#This Row],[2042]]</f>
        <v>1.4120479999999999E-3</v>
      </c>
      <c r="AH14" s="50">
        <f>Table_LL97SpaceLimits[[#This Row],[2043]]</f>
        <v>1.4120479999999999E-3</v>
      </c>
      <c r="AI14" s="50">
        <f>Table_LL97SpaceLimits[[#This Row],[2044]]</f>
        <v>1.4120479999999999E-3</v>
      </c>
      <c r="AJ14" s="50">
        <f>Table_LL97SpaceLimits[[#This Row],[2045]]</f>
        <v>1.4120479999999999E-3</v>
      </c>
      <c r="AK14" s="50">
        <f>Table_LL97SpaceLimits[[#This Row],[2046]]</f>
        <v>1.4120479999999999E-3</v>
      </c>
      <c r="AL14" s="50">
        <f>Table_LL97SpaceLimits[[#This Row],[2047]]</f>
        <v>1.4120479999999999E-3</v>
      </c>
      <c r="AM14" s="50">
        <f>Table_LL97SpaceLimits[[#This Row],[2048]]</f>
        <v>1.4120479999999999E-3</v>
      </c>
      <c r="AN14" s="40">
        <v>0</v>
      </c>
      <c r="AQ14" s="5">
        <v>2026</v>
      </c>
      <c r="AR14" s="1" cm="1">
        <f t="array" ref="AR14">INDEX(Table_LL97SpaceLimits[],MATCH(AR$10,Table_LL97SpaceLimits[Property Type],0),MATCH(Table_LimitsCalc_Calculator[[#This Row],[Year]],VALUE(Table_LL97SpaceLimits[#Headers]),0))</f>
        <v>6.7499999999999999E-3</v>
      </c>
      <c r="AS14" s="1" t="e" cm="1">
        <f t="array" ref="AS14">INDEX(Table_LL97SpaceLimits[],MATCH(AS$10,Table_LL97SpaceLimits[Property Type],0),MATCH(Table_LimitsCalc_Calculator[[#This Row],[Year]],VALUE(Table_LL97SpaceLimits[#Headers]),0))</f>
        <v>#N/A</v>
      </c>
      <c r="AT14" s="1" t="e" cm="1">
        <f t="array" ref="AT14">INDEX(Table_LL97SpaceLimits[],MATCH(AT$10,Table_LL97SpaceLimits[Property Type],0),MATCH(Table_LimitsCalc_Calculator[[#This Row],[Year]],VALUE(Table_LL97SpaceLimits[#Headers]),0))</f>
        <v>#N/A</v>
      </c>
      <c r="AU14" s="1" t="e" cm="1">
        <f t="array" ref="AU14">INDEX(Table_LL97SpaceLimits[],MATCH(AU$10,Table_LL97SpaceLimits[Property Type],0),MATCH(Table_LimitsCalc_Calculator[[#This Row],[Year]],VALUE(Table_LL97SpaceLimits[#Headers]),0))</f>
        <v>#N/A</v>
      </c>
      <c r="AV14" s="1" t="e" cm="1">
        <f t="array" ref="AV14">INDEX(Table_LL97SpaceLimits[],MATCH(AV$10,Table_LL97SpaceLimits[Property Type],0),MATCH(Table_LimitsCalc_Calculator[[#This Row],[Year]],VALUE(Table_LL97SpaceLimits[#Headers]),0))</f>
        <v>#N/A</v>
      </c>
      <c r="AW14" s="1" t="e" cm="1">
        <f t="array" ref="AW14">INDEX(Table_LL97SpaceLimits[],MATCH(AW$10,Table_LL97SpaceLimits[Property Type],0),MATCH(Table_LimitsCalc_Calculator[[#This Row],[Year]],VALUE(Table_LL97SpaceLimits[#Headers]),0))</f>
        <v>#N/A</v>
      </c>
      <c r="AX14" s="1" t="e" cm="1">
        <f t="array" ref="AX14">INDEX(Table_LL97SpaceLimits[],MATCH(AX$10,Table_LL97SpaceLimits[Property Type],0),MATCH(Table_LimitsCalc_Calculator[[#This Row],[Year]],VALUE(Table_LL97SpaceLimits[#Headers]),0))</f>
        <v>#N/A</v>
      </c>
      <c r="AY14" s="1" t="e" cm="1">
        <f t="array" ref="AY14">INDEX(Table_LL97SpaceLimits[],MATCH(AY$10,Table_LL97SpaceLimits[Property Type],0),MATCH(Table_LimitsCalc_Calculator[[#This Row],[Year]],VALUE(Table_LL97SpaceLimits[#Headers]),0))</f>
        <v>#N/A</v>
      </c>
      <c r="AZ14" s="54">
        <f>Table_LimitsCalc_Calculator[[#This Row],[Space 1 Limit Intensity]]*AR$9</f>
        <v>0</v>
      </c>
      <c r="BA14" s="1" t="e">
        <f>Table_LimitsCalc_Calculator[[#This Row],[Space 2 Limit Intensity]]*AS$9</f>
        <v>#N/A</v>
      </c>
      <c r="BB14" s="1" t="e">
        <f>Table_LimitsCalc_Calculator[[#This Row],[Space 3 Limit Intensity]]*AT$9</f>
        <v>#N/A</v>
      </c>
      <c r="BC14" s="1" t="e">
        <f>Table_LimitsCalc_Calculator[[#This Row],[Space 4 Limit Intensity]]*AU$9</f>
        <v>#N/A</v>
      </c>
      <c r="BD14" s="1" t="e">
        <f>Table_LimitsCalc_Calculator[[#This Row],[Space 5 Limit Intensity]]*AV$9</f>
        <v>#N/A</v>
      </c>
      <c r="BE14" s="1" t="e">
        <f>Table_LimitsCalc_Calculator[[#This Row],[Space 6 Limit Intensity]]*AW$9</f>
        <v>#N/A</v>
      </c>
      <c r="BF14" s="1" t="e">
        <f>Table_LimitsCalc_Calculator[[#This Row],[Space 7 Limit Intensity]]*AX$9</f>
        <v>#N/A</v>
      </c>
      <c r="BG14" s="1" t="e">
        <f>Table_LimitsCalc_Calculator[[#This Row],[Space 8 Limit Intensity]]*AY$9</f>
        <v>#N/A</v>
      </c>
      <c r="BH14" s="84">
        <f>_xlfn.AGGREGATE(9,6,Table_LimitsCalc_Calculator[[#This Row],[Space 1 Limit (tCO2e)]:[Space 8 Limit (tCO2e)]])</f>
        <v>0</v>
      </c>
      <c r="BJ14"/>
      <c r="BK14" s="5">
        <v>2026</v>
      </c>
      <c r="BL14" s="1" cm="1">
        <f t="array" ref="BL14">INDEX(Table_LL97SpaceLimits[],MATCH(BL$10,Table_LL97SpaceLimits[Property Type],0),MATCH(Table_LimitsCalc_Sample1[[#This Row],[Year]],VALUE(Table_LL97SpaceLimits[#Headers]),0))</f>
        <v>6.7499999999999999E-3</v>
      </c>
      <c r="BM14" s="1" cm="1">
        <f t="array" ref="BM14">INDEX(Table_LL97SpaceLimits[],MATCH(BM$10,Table_LL97SpaceLimits[Property Type],0),MATCH(Table_LimitsCalc_Sample1[[#This Row],[Year]],VALUE(Table_LL97SpaceLimits[#Headers]),0))</f>
        <v>4.2599999999999999E-3</v>
      </c>
      <c r="BN14" s="1" cm="1">
        <f t="array" ref="BN14">INDEX(Table_LL97SpaceLimits[],MATCH(BN$10,Table_LL97SpaceLimits[Property Type],0),MATCH(Table_LimitsCalc_Sample1[[#This Row],[Year]],VALUE(Table_LL97SpaceLimits[#Headers]),0))</f>
        <v>4.2599999999999999E-3</v>
      </c>
      <c r="BO14" s="1" cm="1">
        <f t="array" ref="BO14">INDEX(Table_LL97SpaceLimits[],MATCH(BO$10,Table_LL97SpaceLimits[Property Type],0),MATCH(Table_LimitsCalc_Sample1[[#This Row],[Year]],VALUE(Table_LL97SpaceLimits[#Headers]),0))</f>
        <v>1.1809999999999999E-2</v>
      </c>
      <c r="BP14" s="1" cm="1">
        <f t="array" ref="BP14">INDEX(Table_LL97SpaceLimits[],MATCH(BP$10,Table_LL97SpaceLimits[Property Type],0),MATCH(Table_LimitsCalc_Sample1[[#This Row],[Year]],VALUE(Table_LL97SpaceLimits[#Headers]),0))</f>
        <v>7.5799999999999999E-3</v>
      </c>
      <c r="BQ14" s="1" t="e" cm="1">
        <f t="array" ref="BQ14">INDEX(Table_LL97SpaceLimits[],MATCH(BQ$10,Table_LL97SpaceLimits[Property Type],0),MATCH(Table_LimitsCalc_Sample1[[#This Row],[Year]],VALUE(Table_LL97SpaceLimits[#Headers]),0))</f>
        <v>#N/A</v>
      </c>
      <c r="BR14" s="1" t="e" cm="1">
        <f t="array" ref="BR14">INDEX(Table_LL97SpaceLimits[],MATCH(BR$10,Table_LL97SpaceLimits[Property Type],0),MATCH(Table_LimitsCalc_Sample1[[#This Row],[Year]],VALUE(Table_LL97SpaceLimits[#Headers]),0))</f>
        <v>#N/A</v>
      </c>
      <c r="BS14" s="1" t="e" cm="1">
        <f t="array" ref="BS14">INDEX(Table_LL97SpaceLimits[],MATCH(BS$10,Table_LL97SpaceLimits[Property Type],0),MATCH(Table_LimitsCalc_Sample1[[#This Row],[Year]],VALUE(Table_LL97SpaceLimits[#Headers]),0))</f>
        <v>#N/A</v>
      </c>
      <c r="BT14" s="54">
        <f>Table_LimitsCalc_Sample1[[#This Row],[Space 1 Limit Intensity]]*BL$9</f>
        <v>373.27499999999998</v>
      </c>
      <c r="BU14" s="1">
        <f>Table_LimitsCalc_Sample1[[#This Row],[Space 2 Limit Intensity]]*BM$9</f>
        <v>21.3</v>
      </c>
      <c r="BV14" s="1">
        <f>Table_LimitsCalc_Sample1[[#This Row],[Space 3 Limit Intensity]]*BN$9</f>
        <v>8.52</v>
      </c>
      <c r="BW14" s="1">
        <f>Table_LimitsCalc_Sample1[[#This Row],[Space 4 Limit Intensity]]*BO$9</f>
        <v>9.4479999999999986</v>
      </c>
      <c r="BX14" s="1">
        <f>Table_LimitsCalc_Sample1[[#This Row],[Space 5 Limit Intensity]]*BP$9</f>
        <v>4.9269999999999996</v>
      </c>
      <c r="BY14" s="1" t="e">
        <f>Table_LimitsCalc_Sample1[[#This Row],[Space 6 Limit Intensity]]*BQ$9</f>
        <v>#N/A</v>
      </c>
      <c r="BZ14" s="1" t="e">
        <f>Table_LimitsCalc_Sample1[[#This Row],[Space 6 Limit Intensity]]*BR$9</f>
        <v>#N/A</v>
      </c>
      <c r="CA14" s="1" t="e">
        <f>Table_LimitsCalc_Sample1[[#This Row],[Space 6 Limit Intensity]]*BS$9</f>
        <v>#N/A</v>
      </c>
      <c r="CB14" s="84">
        <f>_xlfn.AGGREGATE(9,6,Table_LimitsCalc_Sample1[[#This Row],[Space 1 Limit (tCO2e)]:[Space 6 Limit (tCO2e)]])</f>
        <v>417.46999999999997</v>
      </c>
      <c r="CD14"/>
      <c r="CE14"/>
      <c r="CF14"/>
      <c r="CG14"/>
      <c r="CH14"/>
      <c r="CI14"/>
      <c r="CJ14"/>
      <c r="CK14"/>
      <c r="CL14"/>
      <c r="CM14"/>
      <c r="CN14"/>
      <c r="CO14"/>
      <c r="CP14"/>
      <c r="CQ14"/>
      <c r="CR14"/>
      <c r="CS14"/>
      <c r="CT14"/>
    </row>
    <row r="15" spans="2:98">
      <c r="B15"/>
      <c r="C15" s="76" t="s">
        <v>243</v>
      </c>
      <c r="D15"/>
      <c r="E15"/>
      <c r="M15" s="35" t="s">
        <v>244</v>
      </c>
      <c r="N15" s="36">
        <v>9.8700000000000003E-3</v>
      </c>
      <c r="O15" s="36">
        <f>Table_LL97SpaceLimits[[#This Row],[2024]]</f>
        <v>9.8700000000000003E-3</v>
      </c>
      <c r="P15" s="36">
        <f>Table_LL97SpaceLimits[[#This Row],[2025]]</f>
        <v>9.8700000000000003E-3</v>
      </c>
      <c r="Q15" s="36">
        <f>Table_LL97SpaceLimits[[#This Row],[2026]]</f>
        <v>9.8700000000000003E-3</v>
      </c>
      <c r="R15" s="36">
        <f>Table_LL97SpaceLimits[[#This Row],[2027]]</f>
        <v>9.8700000000000003E-3</v>
      </c>
      <c r="S15" s="36">
        <f>Table_LL97SpaceLimits[[#This Row],[2028]]</f>
        <v>9.8700000000000003E-3</v>
      </c>
      <c r="T15" s="37">
        <v>4.0361720000000002E-3</v>
      </c>
      <c r="U15" s="37">
        <f>Table_LL97SpaceLimits[[#This Row],[2030]]</f>
        <v>4.0361720000000002E-3</v>
      </c>
      <c r="V15" s="37">
        <f>Table_LL97SpaceLimits[[#This Row],[2031]]</f>
        <v>4.0361720000000002E-3</v>
      </c>
      <c r="W15" s="37">
        <f>Table_LL97SpaceLimits[[#This Row],[2032]]</f>
        <v>4.0361720000000002E-3</v>
      </c>
      <c r="X15" s="37">
        <f>Table_LL97SpaceLimits[[#This Row],[2033]]</f>
        <v>4.0361720000000002E-3</v>
      </c>
      <c r="Y15" s="38">
        <v>3.0271289999999999E-3</v>
      </c>
      <c r="Z15" s="38">
        <f>Table_LL97SpaceLimits[[#This Row],[2035]]</f>
        <v>3.0271289999999999E-3</v>
      </c>
      <c r="AA15" s="38">
        <f>Table_LL97SpaceLimits[[#This Row],[2036]]</f>
        <v>3.0271289999999999E-3</v>
      </c>
      <c r="AB15" s="38">
        <f>Table_LL97SpaceLimits[[#This Row],[2037]]</f>
        <v>3.0271289999999999E-3</v>
      </c>
      <c r="AC15" s="38">
        <f>Table_LL97SpaceLimits[[#This Row],[2038]]</f>
        <v>3.0271289999999999E-3</v>
      </c>
      <c r="AD15" s="39">
        <v>2.0180860000000001E-3</v>
      </c>
      <c r="AE15" s="50">
        <f>Table_LL97SpaceLimits[[#This Row],[2040]]</f>
        <v>2.0180860000000001E-3</v>
      </c>
      <c r="AF15" s="50">
        <f>Table_LL97SpaceLimits[[#This Row],[2041]]</f>
        <v>2.0180860000000001E-3</v>
      </c>
      <c r="AG15" s="50">
        <f>Table_LL97SpaceLimits[[#This Row],[2042]]</f>
        <v>2.0180860000000001E-3</v>
      </c>
      <c r="AH15" s="50">
        <f>Table_LL97SpaceLimits[[#This Row],[2043]]</f>
        <v>2.0180860000000001E-3</v>
      </c>
      <c r="AI15" s="50">
        <f>Table_LL97SpaceLimits[[#This Row],[2044]]</f>
        <v>2.0180860000000001E-3</v>
      </c>
      <c r="AJ15" s="50">
        <f>Table_LL97SpaceLimits[[#This Row],[2045]]</f>
        <v>2.0180860000000001E-3</v>
      </c>
      <c r="AK15" s="50">
        <f>Table_LL97SpaceLimits[[#This Row],[2046]]</f>
        <v>2.0180860000000001E-3</v>
      </c>
      <c r="AL15" s="50">
        <f>Table_LL97SpaceLimits[[#This Row],[2047]]</f>
        <v>2.0180860000000001E-3</v>
      </c>
      <c r="AM15" s="50">
        <f>Table_LL97SpaceLimits[[#This Row],[2048]]</f>
        <v>2.0180860000000001E-3</v>
      </c>
      <c r="AN15" s="40">
        <v>0</v>
      </c>
      <c r="AQ15" s="5">
        <v>2027</v>
      </c>
      <c r="AR15" s="1" cm="1">
        <f t="array" ref="AR15">INDEX(Table_LL97SpaceLimits[],MATCH(AR$10,Table_LL97SpaceLimits[Property Type],0),MATCH(Table_LimitsCalc_Calculator[[#This Row],[Year]],VALUE(Table_LL97SpaceLimits[#Headers]),0))</f>
        <v>6.7499999999999999E-3</v>
      </c>
      <c r="AS15" s="1" t="e" cm="1">
        <f t="array" ref="AS15">INDEX(Table_LL97SpaceLimits[],MATCH(AS$10,Table_LL97SpaceLimits[Property Type],0),MATCH(Table_LimitsCalc_Calculator[[#This Row],[Year]],VALUE(Table_LL97SpaceLimits[#Headers]),0))</f>
        <v>#N/A</v>
      </c>
      <c r="AT15" s="1" t="e" cm="1">
        <f t="array" ref="AT15">INDEX(Table_LL97SpaceLimits[],MATCH(AT$10,Table_LL97SpaceLimits[Property Type],0),MATCH(Table_LimitsCalc_Calculator[[#This Row],[Year]],VALUE(Table_LL97SpaceLimits[#Headers]),0))</f>
        <v>#N/A</v>
      </c>
      <c r="AU15" s="1" t="e" cm="1">
        <f t="array" ref="AU15">INDEX(Table_LL97SpaceLimits[],MATCH(AU$10,Table_LL97SpaceLimits[Property Type],0),MATCH(Table_LimitsCalc_Calculator[[#This Row],[Year]],VALUE(Table_LL97SpaceLimits[#Headers]),0))</f>
        <v>#N/A</v>
      </c>
      <c r="AV15" s="1" t="e" cm="1">
        <f t="array" ref="AV15">INDEX(Table_LL97SpaceLimits[],MATCH(AV$10,Table_LL97SpaceLimits[Property Type],0),MATCH(Table_LimitsCalc_Calculator[[#This Row],[Year]],VALUE(Table_LL97SpaceLimits[#Headers]),0))</f>
        <v>#N/A</v>
      </c>
      <c r="AW15" s="1" t="e" cm="1">
        <f t="array" ref="AW15">INDEX(Table_LL97SpaceLimits[],MATCH(AW$10,Table_LL97SpaceLimits[Property Type],0),MATCH(Table_LimitsCalc_Calculator[[#This Row],[Year]],VALUE(Table_LL97SpaceLimits[#Headers]),0))</f>
        <v>#N/A</v>
      </c>
      <c r="AX15" s="1" t="e" cm="1">
        <f t="array" ref="AX15">INDEX(Table_LL97SpaceLimits[],MATCH(AX$10,Table_LL97SpaceLimits[Property Type],0),MATCH(Table_LimitsCalc_Calculator[[#This Row],[Year]],VALUE(Table_LL97SpaceLimits[#Headers]),0))</f>
        <v>#N/A</v>
      </c>
      <c r="AY15" s="1" t="e" cm="1">
        <f t="array" ref="AY15">INDEX(Table_LL97SpaceLimits[],MATCH(AY$10,Table_LL97SpaceLimits[Property Type],0),MATCH(Table_LimitsCalc_Calculator[[#This Row],[Year]],VALUE(Table_LL97SpaceLimits[#Headers]),0))</f>
        <v>#N/A</v>
      </c>
      <c r="AZ15" s="54">
        <f>Table_LimitsCalc_Calculator[[#This Row],[Space 1 Limit Intensity]]*AR$9</f>
        <v>0</v>
      </c>
      <c r="BA15" s="1" t="e">
        <f>Table_LimitsCalc_Calculator[[#This Row],[Space 2 Limit Intensity]]*AS$9</f>
        <v>#N/A</v>
      </c>
      <c r="BB15" s="1" t="e">
        <f>Table_LimitsCalc_Calculator[[#This Row],[Space 3 Limit Intensity]]*AT$9</f>
        <v>#N/A</v>
      </c>
      <c r="BC15" s="1" t="e">
        <f>Table_LimitsCalc_Calculator[[#This Row],[Space 4 Limit Intensity]]*AU$9</f>
        <v>#N/A</v>
      </c>
      <c r="BD15" s="1" t="e">
        <f>Table_LimitsCalc_Calculator[[#This Row],[Space 5 Limit Intensity]]*AV$9</f>
        <v>#N/A</v>
      </c>
      <c r="BE15" s="1" t="e">
        <f>Table_LimitsCalc_Calculator[[#This Row],[Space 6 Limit Intensity]]*AW$9</f>
        <v>#N/A</v>
      </c>
      <c r="BF15" s="1" t="e">
        <f>Table_LimitsCalc_Calculator[[#This Row],[Space 7 Limit Intensity]]*AX$9</f>
        <v>#N/A</v>
      </c>
      <c r="BG15" s="1" t="e">
        <f>Table_LimitsCalc_Calculator[[#This Row],[Space 8 Limit Intensity]]*AY$9</f>
        <v>#N/A</v>
      </c>
      <c r="BH15" s="84">
        <f>_xlfn.AGGREGATE(9,6,Table_LimitsCalc_Calculator[[#This Row],[Space 1 Limit (tCO2e)]:[Space 8 Limit (tCO2e)]])</f>
        <v>0</v>
      </c>
      <c r="BJ15"/>
      <c r="BK15" s="5">
        <v>2027</v>
      </c>
      <c r="BL15" s="1" cm="1">
        <f t="array" ref="BL15">INDEX(Table_LL97SpaceLimits[],MATCH(BL$10,Table_LL97SpaceLimits[Property Type],0),MATCH(Table_LimitsCalc_Sample1[[#This Row],[Year]],VALUE(Table_LL97SpaceLimits[#Headers]),0))</f>
        <v>6.7499999999999999E-3</v>
      </c>
      <c r="BM15" s="1" cm="1">
        <f t="array" ref="BM15">INDEX(Table_LL97SpaceLimits[],MATCH(BM$10,Table_LL97SpaceLimits[Property Type],0),MATCH(Table_LimitsCalc_Sample1[[#This Row],[Year]],VALUE(Table_LL97SpaceLimits[#Headers]),0))</f>
        <v>4.2599999999999999E-3</v>
      </c>
      <c r="BN15" s="1" cm="1">
        <f t="array" ref="BN15">INDEX(Table_LL97SpaceLimits[],MATCH(BN$10,Table_LL97SpaceLimits[Property Type],0),MATCH(Table_LimitsCalc_Sample1[[#This Row],[Year]],VALUE(Table_LL97SpaceLimits[#Headers]),0))</f>
        <v>4.2599999999999999E-3</v>
      </c>
      <c r="BO15" s="1" cm="1">
        <f t="array" ref="BO15">INDEX(Table_LL97SpaceLimits[],MATCH(BO$10,Table_LL97SpaceLimits[Property Type],0),MATCH(Table_LimitsCalc_Sample1[[#This Row],[Year]],VALUE(Table_LL97SpaceLimits[#Headers]),0))</f>
        <v>1.1809999999999999E-2</v>
      </c>
      <c r="BP15" s="1" cm="1">
        <f t="array" ref="BP15">INDEX(Table_LL97SpaceLimits[],MATCH(BP$10,Table_LL97SpaceLimits[Property Type],0),MATCH(Table_LimitsCalc_Sample1[[#This Row],[Year]],VALUE(Table_LL97SpaceLimits[#Headers]),0))</f>
        <v>7.5799999999999999E-3</v>
      </c>
      <c r="BQ15" s="1" t="e" cm="1">
        <f t="array" ref="BQ15">INDEX(Table_LL97SpaceLimits[],MATCH(BQ$10,Table_LL97SpaceLimits[Property Type],0),MATCH(Table_LimitsCalc_Sample1[[#This Row],[Year]],VALUE(Table_LL97SpaceLimits[#Headers]),0))</f>
        <v>#N/A</v>
      </c>
      <c r="BR15" s="1" t="e" cm="1">
        <f t="array" ref="BR15">INDEX(Table_LL97SpaceLimits[],MATCH(BR$10,Table_LL97SpaceLimits[Property Type],0),MATCH(Table_LimitsCalc_Sample1[[#This Row],[Year]],VALUE(Table_LL97SpaceLimits[#Headers]),0))</f>
        <v>#N/A</v>
      </c>
      <c r="BS15" s="1" t="e" cm="1">
        <f t="array" ref="BS15">INDEX(Table_LL97SpaceLimits[],MATCH(BS$10,Table_LL97SpaceLimits[Property Type],0),MATCH(Table_LimitsCalc_Sample1[[#This Row],[Year]],VALUE(Table_LL97SpaceLimits[#Headers]),0))</f>
        <v>#N/A</v>
      </c>
      <c r="BT15" s="54">
        <f>Table_LimitsCalc_Sample1[[#This Row],[Space 1 Limit Intensity]]*BL$9</f>
        <v>373.27499999999998</v>
      </c>
      <c r="BU15" s="1">
        <f>Table_LimitsCalc_Sample1[[#This Row],[Space 2 Limit Intensity]]*BM$9</f>
        <v>21.3</v>
      </c>
      <c r="BV15" s="1">
        <f>Table_LimitsCalc_Sample1[[#This Row],[Space 3 Limit Intensity]]*BN$9</f>
        <v>8.52</v>
      </c>
      <c r="BW15" s="1">
        <f>Table_LimitsCalc_Sample1[[#This Row],[Space 4 Limit Intensity]]*BO$9</f>
        <v>9.4479999999999986</v>
      </c>
      <c r="BX15" s="1">
        <f>Table_LimitsCalc_Sample1[[#This Row],[Space 5 Limit Intensity]]*BP$9</f>
        <v>4.9269999999999996</v>
      </c>
      <c r="BY15" s="1" t="e">
        <f>Table_LimitsCalc_Sample1[[#This Row],[Space 6 Limit Intensity]]*BQ$9</f>
        <v>#N/A</v>
      </c>
      <c r="BZ15" s="1" t="e">
        <f>Table_LimitsCalc_Sample1[[#This Row],[Space 6 Limit Intensity]]*BR$9</f>
        <v>#N/A</v>
      </c>
      <c r="CA15" s="1" t="e">
        <f>Table_LimitsCalc_Sample1[[#This Row],[Space 6 Limit Intensity]]*BS$9</f>
        <v>#N/A</v>
      </c>
      <c r="CB15" s="84">
        <f>_xlfn.AGGREGATE(9,6,Table_LimitsCalc_Sample1[[#This Row],[Space 1 Limit (tCO2e)]:[Space 6 Limit (tCO2e)]])</f>
        <v>417.46999999999997</v>
      </c>
      <c r="CD15"/>
      <c r="CE15"/>
      <c r="CF15"/>
      <c r="CG15"/>
      <c r="CH15"/>
      <c r="CI15"/>
      <c r="CJ15"/>
      <c r="CK15"/>
      <c r="CL15"/>
      <c r="CM15"/>
      <c r="CN15"/>
      <c r="CO15"/>
      <c r="CP15"/>
      <c r="CQ15"/>
      <c r="CR15"/>
      <c r="CS15"/>
      <c r="CT15"/>
    </row>
    <row r="16" spans="2:98">
      <c r="B16"/>
      <c r="C16" s="76" t="s">
        <v>245</v>
      </c>
      <c r="D16"/>
      <c r="E16"/>
      <c r="M16" s="35" t="s">
        <v>246</v>
      </c>
      <c r="N16" s="36">
        <v>5.7400000000000003E-3</v>
      </c>
      <c r="O16" s="36">
        <f>Table_LL97SpaceLimits[[#This Row],[2024]]</f>
        <v>5.7400000000000003E-3</v>
      </c>
      <c r="P16" s="36">
        <f>Table_LL97SpaceLimits[[#This Row],[2025]]</f>
        <v>5.7400000000000003E-3</v>
      </c>
      <c r="Q16" s="36">
        <f>Table_LL97SpaceLimits[[#This Row],[2026]]</f>
        <v>5.7400000000000003E-3</v>
      </c>
      <c r="R16" s="36">
        <f>Table_LL97SpaceLimits[[#This Row],[2027]]</f>
        <v>5.7400000000000003E-3</v>
      </c>
      <c r="S16" s="36">
        <f>Table_LL97SpaceLimits[[#This Row],[2028]]</f>
        <v>5.7400000000000003E-3</v>
      </c>
      <c r="T16" s="37">
        <v>3.1038149999999998E-3</v>
      </c>
      <c r="U16" s="37">
        <f>Table_LL97SpaceLimits[[#This Row],[2030]]</f>
        <v>3.1038149999999998E-3</v>
      </c>
      <c r="V16" s="37">
        <f>Table_LL97SpaceLimits[[#This Row],[2031]]</f>
        <v>3.1038149999999998E-3</v>
      </c>
      <c r="W16" s="37">
        <f>Table_LL97SpaceLimits[[#This Row],[2032]]</f>
        <v>3.1038149999999998E-3</v>
      </c>
      <c r="X16" s="37">
        <f>Table_LL97SpaceLimits[[#This Row],[2033]]</f>
        <v>3.1038149999999998E-3</v>
      </c>
      <c r="Y16" s="38">
        <v>2.3278610000000001E-3</v>
      </c>
      <c r="Z16" s="38">
        <f>Table_LL97SpaceLimits[[#This Row],[2035]]</f>
        <v>2.3278610000000001E-3</v>
      </c>
      <c r="AA16" s="38">
        <f>Table_LL97SpaceLimits[[#This Row],[2036]]</f>
        <v>2.3278610000000001E-3</v>
      </c>
      <c r="AB16" s="38">
        <f>Table_LL97SpaceLimits[[#This Row],[2037]]</f>
        <v>2.3278610000000001E-3</v>
      </c>
      <c r="AC16" s="38">
        <f>Table_LL97SpaceLimits[[#This Row],[2038]]</f>
        <v>2.3278610000000001E-3</v>
      </c>
      <c r="AD16" s="39">
        <v>1.5519069999999999E-3</v>
      </c>
      <c r="AE16" s="50">
        <f>Table_LL97SpaceLimits[[#This Row],[2040]]</f>
        <v>1.5519069999999999E-3</v>
      </c>
      <c r="AF16" s="50">
        <f>Table_LL97SpaceLimits[[#This Row],[2041]]</f>
        <v>1.5519069999999999E-3</v>
      </c>
      <c r="AG16" s="50">
        <f>Table_LL97SpaceLimits[[#This Row],[2042]]</f>
        <v>1.5519069999999999E-3</v>
      </c>
      <c r="AH16" s="50">
        <f>Table_LL97SpaceLimits[[#This Row],[2043]]</f>
        <v>1.5519069999999999E-3</v>
      </c>
      <c r="AI16" s="50">
        <f>Table_LL97SpaceLimits[[#This Row],[2044]]</f>
        <v>1.5519069999999999E-3</v>
      </c>
      <c r="AJ16" s="50">
        <f>Table_LL97SpaceLimits[[#This Row],[2045]]</f>
        <v>1.5519069999999999E-3</v>
      </c>
      <c r="AK16" s="50">
        <f>Table_LL97SpaceLimits[[#This Row],[2046]]</f>
        <v>1.5519069999999999E-3</v>
      </c>
      <c r="AL16" s="50">
        <f>Table_LL97SpaceLimits[[#This Row],[2047]]</f>
        <v>1.5519069999999999E-3</v>
      </c>
      <c r="AM16" s="50">
        <f>Table_LL97SpaceLimits[[#This Row],[2048]]</f>
        <v>1.5519069999999999E-3</v>
      </c>
      <c r="AN16" s="40">
        <v>0</v>
      </c>
      <c r="AQ16" s="5">
        <v>2028</v>
      </c>
      <c r="AR16" s="1" cm="1">
        <f t="array" ref="AR16">INDEX(Table_LL97SpaceLimits[],MATCH(AR$10,Table_LL97SpaceLimits[Property Type],0),MATCH(Table_LimitsCalc_Calculator[[#This Row],[Year]],VALUE(Table_LL97SpaceLimits[#Headers]),0))</f>
        <v>6.7499999999999999E-3</v>
      </c>
      <c r="AS16" s="1" t="e" cm="1">
        <f t="array" ref="AS16">INDEX(Table_LL97SpaceLimits[],MATCH(AS$10,Table_LL97SpaceLimits[Property Type],0),MATCH(Table_LimitsCalc_Calculator[[#This Row],[Year]],VALUE(Table_LL97SpaceLimits[#Headers]),0))</f>
        <v>#N/A</v>
      </c>
      <c r="AT16" s="1" t="e" cm="1">
        <f t="array" ref="AT16">INDEX(Table_LL97SpaceLimits[],MATCH(AT$10,Table_LL97SpaceLimits[Property Type],0),MATCH(Table_LimitsCalc_Calculator[[#This Row],[Year]],VALUE(Table_LL97SpaceLimits[#Headers]),0))</f>
        <v>#N/A</v>
      </c>
      <c r="AU16" s="1" t="e" cm="1">
        <f t="array" ref="AU16">INDEX(Table_LL97SpaceLimits[],MATCH(AU$10,Table_LL97SpaceLimits[Property Type],0),MATCH(Table_LimitsCalc_Calculator[[#This Row],[Year]],VALUE(Table_LL97SpaceLimits[#Headers]),0))</f>
        <v>#N/A</v>
      </c>
      <c r="AV16" s="1" t="e" cm="1">
        <f t="array" ref="AV16">INDEX(Table_LL97SpaceLimits[],MATCH(AV$10,Table_LL97SpaceLimits[Property Type],0),MATCH(Table_LimitsCalc_Calculator[[#This Row],[Year]],VALUE(Table_LL97SpaceLimits[#Headers]),0))</f>
        <v>#N/A</v>
      </c>
      <c r="AW16" s="1" t="e" cm="1">
        <f t="array" ref="AW16">INDEX(Table_LL97SpaceLimits[],MATCH(AW$10,Table_LL97SpaceLimits[Property Type],0),MATCH(Table_LimitsCalc_Calculator[[#This Row],[Year]],VALUE(Table_LL97SpaceLimits[#Headers]),0))</f>
        <v>#N/A</v>
      </c>
      <c r="AX16" s="1" t="e" cm="1">
        <f t="array" ref="AX16">INDEX(Table_LL97SpaceLimits[],MATCH(AX$10,Table_LL97SpaceLimits[Property Type],0),MATCH(Table_LimitsCalc_Calculator[[#This Row],[Year]],VALUE(Table_LL97SpaceLimits[#Headers]),0))</f>
        <v>#N/A</v>
      </c>
      <c r="AY16" s="1" t="e" cm="1">
        <f t="array" ref="AY16">INDEX(Table_LL97SpaceLimits[],MATCH(AY$10,Table_LL97SpaceLimits[Property Type],0),MATCH(Table_LimitsCalc_Calculator[[#This Row],[Year]],VALUE(Table_LL97SpaceLimits[#Headers]),0))</f>
        <v>#N/A</v>
      </c>
      <c r="AZ16" s="54">
        <f>Table_LimitsCalc_Calculator[[#This Row],[Space 1 Limit Intensity]]*AR$9</f>
        <v>0</v>
      </c>
      <c r="BA16" s="1" t="e">
        <f>Table_LimitsCalc_Calculator[[#This Row],[Space 2 Limit Intensity]]*AS$9</f>
        <v>#N/A</v>
      </c>
      <c r="BB16" s="1" t="e">
        <f>Table_LimitsCalc_Calculator[[#This Row],[Space 3 Limit Intensity]]*AT$9</f>
        <v>#N/A</v>
      </c>
      <c r="BC16" s="1" t="e">
        <f>Table_LimitsCalc_Calculator[[#This Row],[Space 4 Limit Intensity]]*AU$9</f>
        <v>#N/A</v>
      </c>
      <c r="BD16" s="1" t="e">
        <f>Table_LimitsCalc_Calculator[[#This Row],[Space 5 Limit Intensity]]*AV$9</f>
        <v>#N/A</v>
      </c>
      <c r="BE16" s="1" t="e">
        <f>Table_LimitsCalc_Calculator[[#This Row],[Space 6 Limit Intensity]]*AW$9</f>
        <v>#N/A</v>
      </c>
      <c r="BF16" s="1" t="e">
        <f>Table_LimitsCalc_Calculator[[#This Row],[Space 7 Limit Intensity]]*AX$9</f>
        <v>#N/A</v>
      </c>
      <c r="BG16" s="1" t="e">
        <f>Table_LimitsCalc_Calculator[[#This Row],[Space 8 Limit Intensity]]*AY$9</f>
        <v>#N/A</v>
      </c>
      <c r="BH16" s="84">
        <f>_xlfn.AGGREGATE(9,6,Table_LimitsCalc_Calculator[[#This Row],[Space 1 Limit (tCO2e)]:[Space 8 Limit (tCO2e)]])</f>
        <v>0</v>
      </c>
      <c r="BJ16"/>
      <c r="BK16" s="5">
        <v>2028</v>
      </c>
      <c r="BL16" s="1" cm="1">
        <f t="array" ref="BL16">INDEX(Table_LL97SpaceLimits[],MATCH(BL$10,Table_LL97SpaceLimits[Property Type],0),MATCH(Table_LimitsCalc_Sample1[[#This Row],[Year]],VALUE(Table_LL97SpaceLimits[#Headers]),0))</f>
        <v>6.7499999999999999E-3</v>
      </c>
      <c r="BM16" s="1" cm="1">
        <f t="array" ref="BM16">INDEX(Table_LL97SpaceLimits[],MATCH(BM$10,Table_LL97SpaceLimits[Property Type],0),MATCH(Table_LimitsCalc_Sample1[[#This Row],[Year]],VALUE(Table_LL97SpaceLimits[#Headers]),0))</f>
        <v>4.2599999999999999E-3</v>
      </c>
      <c r="BN16" s="1" cm="1">
        <f t="array" ref="BN16">INDEX(Table_LL97SpaceLimits[],MATCH(BN$10,Table_LL97SpaceLimits[Property Type],0),MATCH(Table_LimitsCalc_Sample1[[#This Row],[Year]],VALUE(Table_LL97SpaceLimits[#Headers]),0))</f>
        <v>4.2599999999999999E-3</v>
      </c>
      <c r="BO16" s="1" cm="1">
        <f t="array" ref="BO16">INDEX(Table_LL97SpaceLimits[],MATCH(BO$10,Table_LL97SpaceLimits[Property Type],0),MATCH(Table_LimitsCalc_Sample1[[#This Row],[Year]],VALUE(Table_LL97SpaceLimits[#Headers]),0))</f>
        <v>1.1809999999999999E-2</v>
      </c>
      <c r="BP16" s="1" cm="1">
        <f t="array" ref="BP16">INDEX(Table_LL97SpaceLimits[],MATCH(BP$10,Table_LL97SpaceLimits[Property Type],0),MATCH(Table_LimitsCalc_Sample1[[#This Row],[Year]],VALUE(Table_LL97SpaceLimits[#Headers]),0))</f>
        <v>7.5799999999999999E-3</v>
      </c>
      <c r="BQ16" s="1" t="e" cm="1">
        <f t="array" ref="BQ16">INDEX(Table_LL97SpaceLimits[],MATCH(BQ$10,Table_LL97SpaceLimits[Property Type],0),MATCH(Table_LimitsCalc_Sample1[[#This Row],[Year]],VALUE(Table_LL97SpaceLimits[#Headers]),0))</f>
        <v>#N/A</v>
      </c>
      <c r="BR16" s="1" t="e" cm="1">
        <f t="array" ref="BR16">INDEX(Table_LL97SpaceLimits[],MATCH(BR$10,Table_LL97SpaceLimits[Property Type],0),MATCH(Table_LimitsCalc_Sample1[[#This Row],[Year]],VALUE(Table_LL97SpaceLimits[#Headers]),0))</f>
        <v>#N/A</v>
      </c>
      <c r="BS16" s="1" t="e" cm="1">
        <f t="array" ref="BS16">INDEX(Table_LL97SpaceLimits[],MATCH(BS$10,Table_LL97SpaceLimits[Property Type],0),MATCH(Table_LimitsCalc_Sample1[[#This Row],[Year]],VALUE(Table_LL97SpaceLimits[#Headers]),0))</f>
        <v>#N/A</v>
      </c>
      <c r="BT16" s="54">
        <f>Table_LimitsCalc_Sample1[[#This Row],[Space 1 Limit Intensity]]*BL$9</f>
        <v>373.27499999999998</v>
      </c>
      <c r="BU16" s="1">
        <f>Table_LimitsCalc_Sample1[[#This Row],[Space 2 Limit Intensity]]*BM$9</f>
        <v>21.3</v>
      </c>
      <c r="BV16" s="1">
        <f>Table_LimitsCalc_Sample1[[#This Row],[Space 3 Limit Intensity]]*BN$9</f>
        <v>8.52</v>
      </c>
      <c r="BW16" s="1">
        <f>Table_LimitsCalc_Sample1[[#This Row],[Space 4 Limit Intensity]]*BO$9</f>
        <v>9.4479999999999986</v>
      </c>
      <c r="BX16" s="1">
        <f>Table_LimitsCalc_Sample1[[#This Row],[Space 5 Limit Intensity]]*BP$9</f>
        <v>4.9269999999999996</v>
      </c>
      <c r="BY16" s="1" t="e">
        <f>Table_LimitsCalc_Sample1[[#This Row],[Space 6 Limit Intensity]]*BQ$9</f>
        <v>#N/A</v>
      </c>
      <c r="BZ16" s="1" t="e">
        <f>Table_LimitsCalc_Sample1[[#This Row],[Space 6 Limit Intensity]]*BR$9</f>
        <v>#N/A</v>
      </c>
      <c r="CA16" s="1" t="e">
        <f>Table_LimitsCalc_Sample1[[#This Row],[Space 6 Limit Intensity]]*BS$9</f>
        <v>#N/A</v>
      </c>
      <c r="CB16" s="84">
        <f>_xlfn.AGGREGATE(9,6,Table_LimitsCalc_Sample1[[#This Row],[Space 1 Limit (tCO2e)]:[Space 6 Limit (tCO2e)]])</f>
        <v>417.46999999999997</v>
      </c>
      <c r="CD16"/>
      <c r="CE16"/>
      <c r="CF16"/>
      <c r="CG16"/>
      <c r="CH16"/>
      <c r="CI16"/>
      <c r="CJ16"/>
      <c r="CK16"/>
      <c r="CL16"/>
      <c r="CM16"/>
      <c r="CN16"/>
      <c r="CO16"/>
      <c r="CP16"/>
      <c r="CQ16"/>
      <c r="CR16"/>
      <c r="CS16"/>
      <c r="CT16"/>
    </row>
    <row r="17" spans="2:98">
      <c r="B17"/>
      <c r="C17" s="76" t="s">
        <v>247</v>
      </c>
      <c r="D17"/>
      <c r="E17"/>
      <c r="M17" s="35" t="s">
        <v>248</v>
      </c>
      <c r="N17" s="36">
        <v>9.8700000000000003E-3</v>
      </c>
      <c r="O17" s="36">
        <f>Table_LL97SpaceLimits[[#This Row],[2024]]</f>
        <v>9.8700000000000003E-3</v>
      </c>
      <c r="P17" s="36">
        <f>Table_LL97SpaceLimits[[#This Row],[2025]]</f>
        <v>9.8700000000000003E-3</v>
      </c>
      <c r="Q17" s="36">
        <f>Table_LL97SpaceLimits[[#This Row],[2026]]</f>
        <v>9.8700000000000003E-3</v>
      </c>
      <c r="R17" s="36">
        <f>Table_LL97SpaceLimits[[#This Row],[2027]]</f>
        <v>9.8700000000000003E-3</v>
      </c>
      <c r="S17" s="36">
        <f>Table_LL97SpaceLimits[[#This Row],[2028]]</f>
        <v>9.8700000000000003E-3</v>
      </c>
      <c r="T17" s="37">
        <v>2.0997479999999998E-3</v>
      </c>
      <c r="U17" s="37">
        <f>Table_LL97SpaceLimits[[#This Row],[2030]]</f>
        <v>2.0997479999999998E-3</v>
      </c>
      <c r="V17" s="37">
        <f>Table_LL97SpaceLimits[[#This Row],[2031]]</f>
        <v>2.0997479999999998E-3</v>
      </c>
      <c r="W17" s="37">
        <f>Table_LL97SpaceLimits[[#This Row],[2032]]</f>
        <v>2.0997479999999998E-3</v>
      </c>
      <c r="X17" s="37">
        <f>Table_LL97SpaceLimits[[#This Row],[2033]]</f>
        <v>2.0997479999999998E-3</v>
      </c>
      <c r="Y17" s="38">
        <v>1.236322E-3</v>
      </c>
      <c r="Z17" s="38">
        <f>Table_LL97SpaceLimits[[#This Row],[2035]]</f>
        <v>1.236322E-3</v>
      </c>
      <c r="AA17" s="38">
        <f>Table_LL97SpaceLimits[[#This Row],[2036]]</f>
        <v>1.236322E-3</v>
      </c>
      <c r="AB17" s="38">
        <f>Table_LL97SpaceLimits[[#This Row],[2037]]</f>
        <v>1.236322E-3</v>
      </c>
      <c r="AC17" s="38">
        <f>Table_LL97SpaceLimits[[#This Row],[2038]]</f>
        <v>1.236322E-3</v>
      </c>
      <c r="AD17" s="39">
        <v>1.8081799999999999E-4</v>
      </c>
      <c r="AE17" s="50">
        <f>Table_LL97SpaceLimits[[#This Row],[2040]]</f>
        <v>1.8081799999999999E-4</v>
      </c>
      <c r="AF17" s="50">
        <f>Table_LL97SpaceLimits[[#This Row],[2041]]</f>
        <v>1.8081799999999999E-4</v>
      </c>
      <c r="AG17" s="50">
        <f>Table_LL97SpaceLimits[[#This Row],[2042]]</f>
        <v>1.8081799999999999E-4</v>
      </c>
      <c r="AH17" s="50">
        <f>Table_LL97SpaceLimits[[#This Row],[2043]]</f>
        <v>1.8081799999999999E-4</v>
      </c>
      <c r="AI17" s="50">
        <f>Table_LL97SpaceLimits[[#This Row],[2044]]</f>
        <v>1.8081799999999999E-4</v>
      </c>
      <c r="AJ17" s="50">
        <f>Table_LL97SpaceLimits[[#This Row],[2045]]</f>
        <v>1.8081799999999999E-4</v>
      </c>
      <c r="AK17" s="50">
        <f>Table_LL97SpaceLimits[[#This Row],[2046]]</f>
        <v>1.8081799999999999E-4</v>
      </c>
      <c r="AL17" s="50">
        <f>Table_LL97SpaceLimits[[#This Row],[2047]]</f>
        <v>1.8081799999999999E-4</v>
      </c>
      <c r="AM17" s="50">
        <f>Table_LL97SpaceLimits[[#This Row],[2048]]</f>
        <v>1.8081799999999999E-4</v>
      </c>
      <c r="AN17" s="40">
        <v>0</v>
      </c>
      <c r="AQ17" s="5">
        <v>2029</v>
      </c>
      <c r="AR17" s="1" cm="1">
        <f t="array" ref="AR17">INDEX(Table_LL97SpaceLimits[],MATCH(AR$10,Table_LL97SpaceLimits[Property Type],0),MATCH(Table_LimitsCalc_Calculator[[#This Row],[Year]],VALUE(Table_LL97SpaceLimits[#Headers]),0))</f>
        <v>6.7499999999999999E-3</v>
      </c>
      <c r="AS17" s="1" t="e" cm="1">
        <f t="array" ref="AS17">INDEX(Table_LL97SpaceLimits[],MATCH(AS$10,Table_LL97SpaceLimits[Property Type],0),MATCH(Table_LimitsCalc_Calculator[[#This Row],[Year]],VALUE(Table_LL97SpaceLimits[#Headers]),0))</f>
        <v>#N/A</v>
      </c>
      <c r="AT17" s="1" t="e" cm="1">
        <f t="array" ref="AT17">INDEX(Table_LL97SpaceLimits[],MATCH(AT$10,Table_LL97SpaceLimits[Property Type],0),MATCH(Table_LimitsCalc_Calculator[[#This Row],[Year]],VALUE(Table_LL97SpaceLimits[#Headers]),0))</f>
        <v>#N/A</v>
      </c>
      <c r="AU17" s="1" t="e" cm="1">
        <f t="array" ref="AU17">INDEX(Table_LL97SpaceLimits[],MATCH(AU$10,Table_LL97SpaceLimits[Property Type],0),MATCH(Table_LimitsCalc_Calculator[[#This Row],[Year]],VALUE(Table_LL97SpaceLimits[#Headers]),0))</f>
        <v>#N/A</v>
      </c>
      <c r="AV17" s="1" t="e" cm="1">
        <f t="array" ref="AV17">INDEX(Table_LL97SpaceLimits[],MATCH(AV$10,Table_LL97SpaceLimits[Property Type],0),MATCH(Table_LimitsCalc_Calculator[[#This Row],[Year]],VALUE(Table_LL97SpaceLimits[#Headers]),0))</f>
        <v>#N/A</v>
      </c>
      <c r="AW17" s="1" t="e" cm="1">
        <f t="array" ref="AW17">INDEX(Table_LL97SpaceLimits[],MATCH(AW$10,Table_LL97SpaceLimits[Property Type],0),MATCH(Table_LimitsCalc_Calculator[[#This Row],[Year]],VALUE(Table_LL97SpaceLimits[#Headers]),0))</f>
        <v>#N/A</v>
      </c>
      <c r="AX17" s="1" t="e" cm="1">
        <f t="array" ref="AX17">INDEX(Table_LL97SpaceLimits[],MATCH(AX$10,Table_LL97SpaceLimits[Property Type],0),MATCH(Table_LimitsCalc_Calculator[[#This Row],[Year]],VALUE(Table_LL97SpaceLimits[#Headers]),0))</f>
        <v>#N/A</v>
      </c>
      <c r="AY17" s="1" t="e" cm="1">
        <f t="array" ref="AY17">INDEX(Table_LL97SpaceLimits[],MATCH(AY$10,Table_LL97SpaceLimits[Property Type],0),MATCH(Table_LimitsCalc_Calculator[[#This Row],[Year]],VALUE(Table_LL97SpaceLimits[#Headers]),0))</f>
        <v>#N/A</v>
      </c>
      <c r="AZ17" s="54">
        <f>Table_LimitsCalc_Calculator[[#This Row],[Space 1 Limit Intensity]]*AR$9</f>
        <v>0</v>
      </c>
      <c r="BA17" s="1" t="e">
        <f>Table_LimitsCalc_Calculator[[#This Row],[Space 2 Limit Intensity]]*AS$9</f>
        <v>#N/A</v>
      </c>
      <c r="BB17" s="1" t="e">
        <f>Table_LimitsCalc_Calculator[[#This Row],[Space 3 Limit Intensity]]*AT$9</f>
        <v>#N/A</v>
      </c>
      <c r="BC17" s="1" t="e">
        <f>Table_LimitsCalc_Calculator[[#This Row],[Space 4 Limit Intensity]]*AU$9</f>
        <v>#N/A</v>
      </c>
      <c r="BD17" s="1" t="e">
        <f>Table_LimitsCalc_Calculator[[#This Row],[Space 5 Limit Intensity]]*AV$9</f>
        <v>#N/A</v>
      </c>
      <c r="BE17" s="1" t="e">
        <f>Table_LimitsCalc_Calculator[[#This Row],[Space 6 Limit Intensity]]*AW$9</f>
        <v>#N/A</v>
      </c>
      <c r="BF17" s="1" t="e">
        <f>Table_LimitsCalc_Calculator[[#This Row],[Space 7 Limit Intensity]]*AX$9</f>
        <v>#N/A</v>
      </c>
      <c r="BG17" s="1" t="e">
        <f>Table_LimitsCalc_Calculator[[#This Row],[Space 8 Limit Intensity]]*AY$9</f>
        <v>#N/A</v>
      </c>
      <c r="BH17" s="84">
        <f>_xlfn.AGGREGATE(9,6,Table_LimitsCalc_Calculator[[#This Row],[Space 1 Limit (tCO2e)]:[Space 8 Limit (tCO2e)]])</f>
        <v>0</v>
      </c>
      <c r="BJ17"/>
      <c r="BK17" s="5">
        <v>2029</v>
      </c>
      <c r="BL17" s="1" cm="1">
        <f t="array" ref="BL17">INDEX(Table_LL97SpaceLimits[],MATCH(BL$10,Table_LL97SpaceLimits[Property Type],0),MATCH(Table_LimitsCalc_Sample1[[#This Row],[Year]],VALUE(Table_LL97SpaceLimits[#Headers]),0))</f>
        <v>6.7499999999999999E-3</v>
      </c>
      <c r="BM17" s="1" cm="1">
        <f t="array" ref="BM17">INDEX(Table_LL97SpaceLimits[],MATCH(BM$10,Table_LL97SpaceLimits[Property Type],0),MATCH(Table_LimitsCalc_Sample1[[#This Row],[Year]],VALUE(Table_LL97SpaceLimits[#Headers]),0))</f>
        <v>4.2599999999999999E-3</v>
      </c>
      <c r="BN17" s="1" cm="1">
        <f t="array" ref="BN17">INDEX(Table_LL97SpaceLimits[],MATCH(BN$10,Table_LL97SpaceLimits[Property Type],0),MATCH(Table_LimitsCalc_Sample1[[#This Row],[Year]],VALUE(Table_LL97SpaceLimits[#Headers]),0))</f>
        <v>4.2599999999999999E-3</v>
      </c>
      <c r="BO17" s="1" cm="1">
        <f t="array" ref="BO17">INDEX(Table_LL97SpaceLimits[],MATCH(BO$10,Table_LL97SpaceLimits[Property Type],0),MATCH(Table_LimitsCalc_Sample1[[#This Row],[Year]],VALUE(Table_LL97SpaceLimits[#Headers]),0))</f>
        <v>1.1809999999999999E-2</v>
      </c>
      <c r="BP17" s="1" cm="1">
        <f t="array" ref="BP17">INDEX(Table_LL97SpaceLimits[],MATCH(BP$10,Table_LL97SpaceLimits[Property Type],0),MATCH(Table_LimitsCalc_Sample1[[#This Row],[Year]],VALUE(Table_LL97SpaceLimits[#Headers]),0))</f>
        <v>7.5799999999999999E-3</v>
      </c>
      <c r="BQ17" s="1" t="e" cm="1">
        <f t="array" ref="BQ17">INDEX(Table_LL97SpaceLimits[],MATCH(BQ$10,Table_LL97SpaceLimits[Property Type],0),MATCH(Table_LimitsCalc_Sample1[[#This Row],[Year]],VALUE(Table_LL97SpaceLimits[#Headers]),0))</f>
        <v>#N/A</v>
      </c>
      <c r="BR17" s="1" t="e" cm="1">
        <f t="array" ref="BR17">INDEX(Table_LL97SpaceLimits[],MATCH(BR$10,Table_LL97SpaceLimits[Property Type],0),MATCH(Table_LimitsCalc_Sample1[[#This Row],[Year]],VALUE(Table_LL97SpaceLimits[#Headers]),0))</f>
        <v>#N/A</v>
      </c>
      <c r="BS17" s="1" t="e" cm="1">
        <f t="array" ref="BS17">INDEX(Table_LL97SpaceLimits[],MATCH(BS$10,Table_LL97SpaceLimits[Property Type],0),MATCH(Table_LimitsCalc_Sample1[[#This Row],[Year]],VALUE(Table_LL97SpaceLimits[#Headers]),0))</f>
        <v>#N/A</v>
      </c>
      <c r="BT17" s="54">
        <f>Table_LimitsCalc_Sample1[[#This Row],[Space 1 Limit Intensity]]*BL$9</f>
        <v>373.27499999999998</v>
      </c>
      <c r="BU17" s="1">
        <f>Table_LimitsCalc_Sample1[[#This Row],[Space 2 Limit Intensity]]*BM$9</f>
        <v>21.3</v>
      </c>
      <c r="BV17" s="1">
        <f>Table_LimitsCalc_Sample1[[#This Row],[Space 3 Limit Intensity]]*BN$9</f>
        <v>8.52</v>
      </c>
      <c r="BW17" s="1">
        <f>Table_LimitsCalc_Sample1[[#This Row],[Space 4 Limit Intensity]]*BO$9</f>
        <v>9.4479999999999986</v>
      </c>
      <c r="BX17" s="1">
        <f>Table_LimitsCalc_Sample1[[#This Row],[Space 5 Limit Intensity]]*BP$9</f>
        <v>4.9269999999999996</v>
      </c>
      <c r="BY17" s="1" t="e">
        <f>Table_LimitsCalc_Sample1[[#This Row],[Space 6 Limit Intensity]]*BQ$9</f>
        <v>#N/A</v>
      </c>
      <c r="BZ17" s="1" t="e">
        <f>Table_LimitsCalc_Sample1[[#This Row],[Space 6 Limit Intensity]]*BR$9</f>
        <v>#N/A</v>
      </c>
      <c r="CA17" s="1" t="e">
        <f>Table_LimitsCalc_Sample1[[#This Row],[Space 6 Limit Intensity]]*BS$9</f>
        <v>#N/A</v>
      </c>
      <c r="CB17" s="84">
        <f>_xlfn.AGGREGATE(9,6,Table_LimitsCalc_Sample1[[#This Row],[Space 1 Limit (tCO2e)]:[Space 6 Limit (tCO2e)]])</f>
        <v>417.46999999999997</v>
      </c>
      <c r="CD17"/>
      <c r="CE17"/>
      <c r="CF17"/>
      <c r="CG17"/>
      <c r="CH17"/>
      <c r="CI17"/>
      <c r="CJ17"/>
      <c r="CK17"/>
      <c r="CL17"/>
      <c r="CM17"/>
      <c r="CN17"/>
      <c r="CO17"/>
      <c r="CP17"/>
      <c r="CQ17"/>
      <c r="CR17"/>
      <c r="CS17"/>
      <c r="CT17"/>
    </row>
    <row r="18" spans="2:98">
      <c r="B18"/>
      <c r="C18" s="76" t="s">
        <v>249</v>
      </c>
      <c r="D18"/>
      <c r="E18"/>
      <c r="M18" s="35" t="s">
        <v>250</v>
      </c>
      <c r="N18" s="36">
        <v>6.7499999999999999E-3</v>
      </c>
      <c r="O18" s="36">
        <f>Table_LL97SpaceLimits[[#This Row],[2024]]</f>
        <v>6.7499999999999999E-3</v>
      </c>
      <c r="P18" s="36">
        <f>Table_LL97SpaceLimits[[#This Row],[2025]]</f>
        <v>6.7499999999999999E-3</v>
      </c>
      <c r="Q18" s="36">
        <f>Table_LL97SpaceLimits[[#This Row],[2026]]</f>
        <v>6.7499999999999999E-3</v>
      </c>
      <c r="R18" s="36">
        <f>Table_LL97SpaceLimits[[#This Row],[2027]]</f>
        <v>6.7499999999999999E-3</v>
      </c>
      <c r="S18" s="36">
        <f>Table_LL97SpaceLimits[[#This Row],[2028]]</f>
        <v>6.7499999999999999E-3</v>
      </c>
      <c r="T18" s="37">
        <v>3.5400319999999998E-3</v>
      </c>
      <c r="U18" s="37">
        <f>Table_LL97SpaceLimits[[#This Row],[2030]]</f>
        <v>3.5400319999999998E-3</v>
      </c>
      <c r="V18" s="37">
        <f>Table_LL97SpaceLimits[[#This Row],[2031]]</f>
        <v>3.5400319999999998E-3</v>
      </c>
      <c r="W18" s="37">
        <f>Table_LL97SpaceLimits[[#This Row],[2032]]</f>
        <v>3.5400319999999998E-3</v>
      </c>
      <c r="X18" s="37">
        <f>Table_LL97SpaceLimits[[#This Row],[2033]]</f>
        <v>3.5400319999999998E-3</v>
      </c>
      <c r="Y18" s="38">
        <v>2.6550240000000002E-3</v>
      </c>
      <c r="Z18" s="38">
        <f>Table_LL97SpaceLimits[[#This Row],[2035]]</f>
        <v>2.6550240000000002E-3</v>
      </c>
      <c r="AA18" s="38">
        <f>Table_LL97SpaceLimits[[#This Row],[2036]]</f>
        <v>2.6550240000000002E-3</v>
      </c>
      <c r="AB18" s="38">
        <f>Table_LL97SpaceLimits[[#This Row],[2037]]</f>
        <v>2.6550240000000002E-3</v>
      </c>
      <c r="AC18" s="38">
        <f>Table_LL97SpaceLimits[[#This Row],[2038]]</f>
        <v>2.6550240000000002E-3</v>
      </c>
      <c r="AD18" s="39">
        <v>1.7700159999999999E-3</v>
      </c>
      <c r="AE18" s="50">
        <f>Table_LL97SpaceLimits[[#This Row],[2040]]</f>
        <v>1.7700159999999999E-3</v>
      </c>
      <c r="AF18" s="50">
        <f>Table_LL97SpaceLimits[[#This Row],[2041]]</f>
        <v>1.7700159999999999E-3</v>
      </c>
      <c r="AG18" s="50">
        <f>Table_LL97SpaceLimits[[#This Row],[2042]]</f>
        <v>1.7700159999999999E-3</v>
      </c>
      <c r="AH18" s="50">
        <f>Table_LL97SpaceLimits[[#This Row],[2043]]</f>
        <v>1.7700159999999999E-3</v>
      </c>
      <c r="AI18" s="50">
        <f>Table_LL97SpaceLimits[[#This Row],[2044]]</f>
        <v>1.7700159999999999E-3</v>
      </c>
      <c r="AJ18" s="50">
        <f>Table_LL97SpaceLimits[[#This Row],[2045]]</f>
        <v>1.7700159999999999E-3</v>
      </c>
      <c r="AK18" s="50">
        <f>Table_LL97SpaceLimits[[#This Row],[2046]]</f>
        <v>1.7700159999999999E-3</v>
      </c>
      <c r="AL18" s="50">
        <f>Table_LL97SpaceLimits[[#This Row],[2047]]</f>
        <v>1.7700159999999999E-3</v>
      </c>
      <c r="AM18" s="50">
        <f>Table_LL97SpaceLimits[[#This Row],[2048]]</f>
        <v>1.7700159999999999E-3</v>
      </c>
      <c r="AN18" s="40">
        <v>0</v>
      </c>
      <c r="AQ18" s="5">
        <v>2030</v>
      </c>
      <c r="AR18" s="1" cm="1">
        <f t="array" ref="AR18">INDEX(Table_LL97SpaceLimits[],MATCH(AR$10,Table_LL97SpaceLimits[Property Type],0),MATCH(Table_LimitsCalc_Calculator[[#This Row],[Year]],VALUE(Table_LL97SpaceLimits[#Headers]),0))</f>
        <v>3.3466400000000001E-3</v>
      </c>
      <c r="AS18" s="1" t="e" cm="1">
        <f t="array" ref="AS18">INDEX(Table_LL97SpaceLimits[],MATCH(AS$10,Table_LL97SpaceLimits[Property Type],0),MATCH(Table_LimitsCalc_Calculator[[#This Row],[Year]],VALUE(Table_LL97SpaceLimits[#Headers]),0))</f>
        <v>#N/A</v>
      </c>
      <c r="AT18" s="1" t="e" cm="1">
        <f t="array" ref="AT18">INDEX(Table_LL97SpaceLimits[],MATCH(AT$10,Table_LL97SpaceLimits[Property Type],0),MATCH(Table_LimitsCalc_Calculator[[#This Row],[Year]],VALUE(Table_LL97SpaceLimits[#Headers]),0))</f>
        <v>#N/A</v>
      </c>
      <c r="AU18" s="1" t="e" cm="1">
        <f t="array" ref="AU18">INDEX(Table_LL97SpaceLimits[],MATCH(AU$10,Table_LL97SpaceLimits[Property Type],0),MATCH(Table_LimitsCalc_Calculator[[#This Row],[Year]],VALUE(Table_LL97SpaceLimits[#Headers]),0))</f>
        <v>#N/A</v>
      </c>
      <c r="AV18" s="1" t="e" cm="1">
        <f t="array" ref="AV18">INDEX(Table_LL97SpaceLimits[],MATCH(AV$10,Table_LL97SpaceLimits[Property Type],0),MATCH(Table_LimitsCalc_Calculator[[#This Row],[Year]],VALUE(Table_LL97SpaceLimits[#Headers]),0))</f>
        <v>#N/A</v>
      </c>
      <c r="AW18" s="1" t="e" cm="1">
        <f t="array" ref="AW18">INDEX(Table_LL97SpaceLimits[],MATCH(AW$10,Table_LL97SpaceLimits[Property Type],0),MATCH(Table_LimitsCalc_Calculator[[#This Row],[Year]],VALUE(Table_LL97SpaceLimits[#Headers]),0))</f>
        <v>#N/A</v>
      </c>
      <c r="AX18" s="1" t="e" cm="1">
        <f t="array" ref="AX18">INDEX(Table_LL97SpaceLimits[],MATCH(AX$10,Table_LL97SpaceLimits[Property Type],0),MATCH(Table_LimitsCalc_Calculator[[#This Row],[Year]],VALUE(Table_LL97SpaceLimits[#Headers]),0))</f>
        <v>#N/A</v>
      </c>
      <c r="AY18" s="1" t="e" cm="1">
        <f t="array" ref="AY18">INDEX(Table_LL97SpaceLimits[],MATCH(AY$10,Table_LL97SpaceLimits[Property Type],0),MATCH(Table_LimitsCalc_Calculator[[#This Row],[Year]],VALUE(Table_LL97SpaceLimits[#Headers]),0))</f>
        <v>#N/A</v>
      </c>
      <c r="AZ18" s="54">
        <f>Table_LimitsCalc_Calculator[[#This Row],[Space 1 Limit Intensity]]*AR$9</f>
        <v>0</v>
      </c>
      <c r="BA18" s="1" t="e">
        <f>Table_LimitsCalc_Calculator[[#This Row],[Space 2 Limit Intensity]]*AS$9</f>
        <v>#N/A</v>
      </c>
      <c r="BB18" s="1" t="e">
        <f>Table_LimitsCalc_Calculator[[#This Row],[Space 3 Limit Intensity]]*AT$9</f>
        <v>#N/A</v>
      </c>
      <c r="BC18" s="1" t="e">
        <f>Table_LimitsCalc_Calculator[[#This Row],[Space 4 Limit Intensity]]*AU$9</f>
        <v>#N/A</v>
      </c>
      <c r="BD18" s="1" t="e">
        <f>Table_LimitsCalc_Calculator[[#This Row],[Space 5 Limit Intensity]]*AV$9</f>
        <v>#N/A</v>
      </c>
      <c r="BE18" s="1" t="e">
        <f>Table_LimitsCalc_Calculator[[#This Row],[Space 6 Limit Intensity]]*AW$9</f>
        <v>#N/A</v>
      </c>
      <c r="BF18" s="1" t="e">
        <f>Table_LimitsCalc_Calculator[[#This Row],[Space 7 Limit Intensity]]*AX$9</f>
        <v>#N/A</v>
      </c>
      <c r="BG18" s="1" t="e">
        <f>Table_LimitsCalc_Calculator[[#This Row],[Space 8 Limit Intensity]]*AY$9</f>
        <v>#N/A</v>
      </c>
      <c r="BH18" s="84">
        <f>_xlfn.AGGREGATE(9,6,Table_LimitsCalc_Calculator[[#This Row],[Space 1 Limit (tCO2e)]:[Space 8 Limit (tCO2e)]])</f>
        <v>0</v>
      </c>
      <c r="BJ18"/>
      <c r="BK18" s="5">
        <v>2030</v>
      </c>
      <c r="BL18" s="1" cm="1">
        <f t="array" ref="BL18">INDEX(Table_LL97SpaceLimits[],MATCH(BL$10,Table_LL97SpaceLimits[Property Type],0),MATCH(Table_LimitsCalc_Sample1[[#This Row],[Year]],VALUE(Table_LL97SpaceLimits[#Headers]),0))</f>
        <v>3.3466400000000001E-3</v>
      </c>
      <c r="BM18" s="1" cm="1">
        <f t="array" ref="BM18">INDEX(Table_LL97SpaceLimits[],MATCH(BM$10,Table_LL97SpaceLimits[Property Type],0),MATCH(Table_LimitsCalc_Sample1[[#This Row],[Year]],VALUE(Table_LL97SpaceLimits[#Headers]),0))</f>
        <v>6.1182999999999995E-4</v>
      </c>
      <c r="BN18" s="1" cm="1">
        <f t="array" ref="BN18">INDEX(Table_LL97SpaceLimits[],MATCH(BN$10,Table_LL97SpaceLimits[Property Type],0),MATCH(Table_LimitsCalc_Sample1[[#This Row],[Year]],VALUE(Table_LL97SpaceLimits[#Headers]),0))</f>
        <v>2.1442100000000001E-4</v>
      </c>
      <c r="BO18" s="1" cm="1">
        <f t="array" ref="BO18">INDEX(Table_LL97SpaceLimits[],MATCH(BO$10,Table_LL97SpaceLimits[Property Type],0),MATCH(Table_LimitsCalc_Sample1[[#This Row],[Year]],VALUE(Table_LL97SpaceLimits[#Headers]),0))</f>
        <v>7.7494139999999996E-3</v>
      </c>
      <c r="BP18" s="1" cm="1">
        <f t="array" ref="BP18">INDEX(Table_LL97SpaceLimits[],MATCH(BP$10,Table_LL97SpaceLimits[Property Type],0),MATCH(Table_LimitsCalc_Sample1[[#This Row],[Year]],VALUE(Table_LL97SpaceLimits[#Headers]),0))</f>
        <v>2.1044900000000001E-3</v>
      </c>
      <c r="BQ18" s="1" t="e" cm="1">
        <f t="array" ref="BQ18">INDEX(Table_LL97SpaceLimits[],MATCH(BQ$10,Table_LL97SpaceLimits[Property Type],0),MATCH(Table_LimitsCalc_Sample1[[#This Row],[Year]],VALUE(Table_LL97SpaceLimits[#Headers]),0))</f>
        <v>#N/A</v>
      </c>
      <c r="BR18" s="1" t="e" cm="1">
        <f t="array" ref="BR18">INDEX(Table_LL97SpaceLimits[],MATCH(BR$10,Table_LL97SpaceLimits[Property Type],0),MATCH(Table_LimitsCalc_Sample1[[#This Row],[Year]],VALUE(Table_LL97SpaceLimits[#Headers]),0))</f>
        <v>#N/A</v>
      </c>
      <c r="BS18" s="1" t="e" cm="1">
        <f t="array" ref="BS18">INDEX(Table_LL97SpaceLimits[],MATCH(BS$10,Table_LL97SpaceLimits[Property Type],0),MATCH(Table_LimitsCalc_Sample1[[#This Row],[Year]],VALUE(Table_LL97SpaceLimits[#Headers]),0))</f>
        <v>#N/A</v>
      </c>
      <c r="BT18" s="54">
        <f>Table_LimitsCalc_Sample1[[#This Row],[Space 1 Limit Intensity]]*BL$9</f>
        <v>185.06919200000002</v>
      </c>
      <c r="BU18" s="1">
        <f>Table_LimitsCalc_Sample1[[#This Row],[Space 2 Limit Intensity]]*BM$9</f>
        <v>3.0591499999999998</v>
      </c>
      <c r="BV18" s="1">
        <f>Table_LimitsCalc_Sample1[[#This Row],[Space 3 Limit Intensity]]*BN$9</f>
        <v>0.428842</v>
      </c>
      <c r="BW18" s="1">
        <f>Table_LimitsCalc_Sample1[[#This Row],[Space 4 Limit Intensity]]*BO$9</f>
        <v>6.1995312</v>
      </c>
      <c r="BX18" s="1">
        <f>Table_LimitsCalc_Sample1[[#This Row],[Space 5 Limit Intensity]]*BP$9</f>
        <v>1.3679185</v>
      </c>
      <c r="BY18" s="1" t="e">
        <f>Table_LimitsCalc_Sample1[[#This Row],[Space 6 Limit Intensity]]*BQ$9</f>
        <v>#N/A</v>
      </c>
      <c r="BZ18" s="1" t="e">
        <f>Table_LimitsCalc_Sample1[[#This Row],[Space 6 Limit Intensity]]*BR$9</f>
        <v>#N/A</v>
      </c>
      <c r="CA18" s="1" t="e">
        <f>Table_LimitsCalc_Sample1[[#This Row],[Space 6 Limit Intensity]]*BS$9</f>
        <v>#N/A</v>
      </c>
      <c r="CB18" s="84">
        <f>_xlfn.AGGREGATE(9,6,Table_LimitsCalc_Sample1[[#This Row],[Space 1 Limit (tCO2e)]:[Space 6 Limit (tCO2e)]])</f>
        <v>196.1246337</v>
      </c>
      <c r="CD18"/>
      <c r="CE18"/>
      <c r="CF18"/>
      <c r="CG18"/>
      <c r="CH18"/>
      <c r="CI18"/>
      <c r="CJ18"/>
      <c r="CK18"/>
      <c r="CL18"/>
      <c r="CM18"/>
      <c r="CN18"/>
      <c r="CO18"/>
      <c r="CP18"/>
      <c r="CQ18"/>
      <c r="CR18"/>
      <c r="CS18"/>
      <c r="CT18"/>
    </row>
    <row r="19" spans="2:98">
      <c r="C19" s="76" t="s">
        <v>251</v>
      </c>
      <c r="D19"/>
      <c r="E19"/>
      <c r="M19" s="35" t="s">
        <v>252</v>
      </c>
      <c r="N19" s="36">
        <v>4.2599999999999999E-3</v>
      </c>
      <c r="O19" s="36">
        <f>Table_LL97SpaceLimits[[#This Row],[2024]]</f>
        <v>4.2599999999999999E-3</v>
      </c>
      <c r="P19" s="36">
        <f>Table_LL97SpaceLimits[[#This Row],[2025]]</f>
        <v>4.2599999999999999E-3</v>
      </c>
      <c r="Q19" s="36">
        <f>Table_LL97SpaceLimits[[#This Row],[2026]]</f>
        <v>4.2599999999999999E-3</v>
      </c>
      <c r="R19" s="36">
        <f>Table_LL97SpaceLimits[[#This Row],[2027]]</f>
        <v>4.2599999999999999E-3</v>
      </c>
      <c r="S19" s="36">
        <f>Table_LL97SpaceLimits[[#This Row],[2028]]</f>
        <v>4.2599999999999999E-3</v>
      </c>
      <c r="T19" s="37">
        <v>1.480533E-3</v>
      </c>
      <c r="U19" s="37">
        <f>Table_LL97SpaceLimits[[#This Row],[2030]]</f>
        <v>1.480533E-3</v>
      </c>
      <c r="V19" s="37">
        <f>Table_LL97SpaceLimits[[#This Row],[2031]]</f>
        <v>1.480533E-3</v>
      </c>
      <c r="W19" s="37">
        <f>Table_LL97SpaceLimits[[#This Row],[2032]]</f>
        <v>1.480533E-3</v>
      </c>
      <c r="X19" s="37">
        <f>Table_LL97SpaceLimits[[#This Row],[2033]]</f>
        <v>1.480533E-3</v>
      </c>
      <c r="Y19" s="38">
        <v>1.1104000000000001E-3</v>
      </c>
      <c r="Z19" s="38">
        <f>Table_LL97SpaceLimits[[#This Row],[2035]]</f>
        <v>1.1104000000000001E-3</v>
      </c>
      <c r="AA19" s="38">
        <f>Table_LL97SpaceLimits[[#This Row],[2036]]</f>
        <v>1.1104000000000001E-3</v>
      </c>
      <c r="AB19" s="38">
        <f>Table_LL97SpaceLimits[[#This Row],[2037]]</f>
        <v>1.1104000000000001E-3</v>
      </c>
      <c r="AC19" s="38">
        <f>Table_LL97SpaceLimits[[#This Row],[2038]]</f>
        <v>1.1104000000000001E-3</v>
      </c>
      <c r="AD19" s="39">
        <v>7.4026599999999995E-4</v>
      </c>
      <c r="AE19" s="50">
        <f>Table_LL97SpaceLimits[[#This Row],[2040]]</f>
        <v>7.4026599999999995E-4</v>
      </c>
      <c r="AF19" s="50">
        <f>Table_LL97SpaceLimits[[#This Row],[2041]]</f>
        <v>7.4026599999999995E-4</v>
      </c>
      <c r="AG19" s="50">
        <f>Table_LL97SpaceLimits[[#This Row],[2042]]</f>
        <v>7.4026599999999995E-4</v>
      </c>
      <c r="AH19" s="50">
        <f>Table_LL97SpaceLimits[[#This Row],[2043]]</f>
        <v>7.4026599999999995E-4</v>
      </c>
      <c r="AI19" s="50">
        <f>Table_LL97SpaceLimits[[#This Row],[2044]]</f>
        <v>7.4026599999999995E-4</v>
      </c>
      <c r="AJ19" s="50">
        <f>Table_LL97SpaceLimits[[#This Row],[2045]]</f>
        <v>7.4026599999999995E-4</v>
      </c>
      <c r="AK19" s="50">
        <f>Table_LL97SpaceLimits[[#This Row],[2046]]</f>
        <v>7.4026599999999995E-4</v>
      </c>
      <c r="AL19" s="50">
        <f>Table_LL97SpaceLimits[[#This Row],[2047]]</f>
        <v>7.4026599999999995E-4</v>
      </c>
      <c r="AM19" s="50">
        <f>Table_LL97SpaceLimits[[#This Row],[2048]]</f>
        <v>7.4026599999999995E-4</v>
      </c>
      <c r="AN19" s="40">
        <v>0</v>
      </c>
      <c r="AQ19" s="5">
        <v>2031</v>
      </c>
      <c r="AR19" s="1" cm="1">
        <f t="array" ref="AR19">INDEX(Table_LL97SpaceLimits[],MATCH(AR$10,Table_LL97SpaceLimits[Property Type],0),MATCH(Table_LimitsCalc_Calculator[[#This Row],[Year]],VALUE(Table_LL97SpaceLimits[#Headers]),0))</f>
        <v>3.3466400000000001E-3</v>
      </c>
      <c r="AS19" s="1" t="e" cm="1">
        <f t="array" ref="AS19">INDEX(Table_LL97SpaceLimits[],MATCH(AS$10,Table_LL97SpaceLimits[Property Type],0),MATCH(Table_LimitsCalc_Calculator[[#This Row],[Year]],VALUE(Table_LL97SpaceLimits[#Headers]),0))</f>
        <v>#N/A</v>
      </c>
      <c r="AT19" s="1" t="e" cm="1">
        <f t="array" ref="AT19">INDEX(Table_LL97SpaceLimits[],MATCH(AT$10,Table_LL97SpaceLimits[Property Type],0),MATCH(Table_LimitsCalc_Calculator[[#This Row],[Year]],VALUE(Table_LL97SpaceLimits[#Headers]),0))</f>
        <v>#N/A</v>
      </c>
      <c r="AU19" s="1" t="e" cm="1">
        <f t="array" ref="AU19">INDEX(Table_LL97SpaceLimits[],MATCH(AU$10,Table_LL97SpaceLimits[Property Type],0),MATCH(Table_LimitsCalc_Calculator[[#This Row],[Year]],VALUE(Table_LL97SpaceLimits[#Headers]),0))</f>
        <v>#N/A</v>
      </c>
      <c r="AV19" s="1" t="e" cm="1">
        <f t="array" ref="AV19">INDEX(Table_LL97SpaceLimits[],MATCH(AV$10,Table_LL97SpaceLimits[Property Type],0),MATCH(Table_LimitsCalc_Calculator[[#This Row],[Year]],VALUE(Table_LL97SpaceLimits[#Headers]),0))</f>
        <v>#N/A</v>
      </c>
      <c r="AW19" s="1" t="e" cm="1">
        <f t="array" ref="AW19">INDEX(Table_LL97SpaceLimits[],MATCH(AW$10,Table_LL97SpaceLimits[Property Type],0),MATCH(Table_LimitsCalc_Calculator[[#This Row],[Year]],VALUE(Table_LL97SpaceLimits[#Headers]),0))</f>
        <v>#N/A</v>
      </c>
      <c r="AX19" s="1" t="e" cm="1">
        <f t="array" ref="AX19">INDEX(Table_LL97SpaceLimits[],MATCH(AX$10,Table_LL97SpaceLimits[Property Type],0),MATCH(Table_LimitsCalc_Calculator[[#This Row],[Year]],VALUE(Table_LL97SpaceLimits[#Headers]),0))</f>
        <v>#N/A</v>
      </c>
      <c r="AY19" s="1" t="e" cm="1">
        <f t="array" ref="AY19">INDEX(Table_LL97SpaceLimits[],MATCH(AY$10,Table_LL97SpaceLimits[Property Type],0),MATCH(Table_LimitsCalc_Calculator[[#This Row],[Year]],VALUE(Table_LL97SpaceLimits[#Headers]),0))</f>
        <v>#N/A</v>
      </c>
      <c r="AZ19" s="54">
        <f>Table_LimitsCalc_Calculator[[#This Row],[Space 1 Limit Intensity]]*AR$9</f>
        <v>0</v>
      </c>
      <c r="BA19" s="1" t="e">
        <f>Table_LimitsCalc_Calculator[[#This Row],[Space 2 Limit Intensity]]*AS$9</f>
        <v>#N/A</v>
      </c>
      <c r="BB19" s="1" t="e">
        <f>Table_LimitsCalc_Calculator[[#This Row],[Space 3 Limit Intensity]]*AT$9</f>
        <v>#N/A</v>
      </c>
      <c r="BC19" s="1" t="e">
        <f>Table_LimitsCalc_Calculator[[#This Row],[Space 4 Limit Intensity]]*AU$9</f>
        <v>#N/A</v>
      </c>
      <c r="BD19" s="1" t="e">
        <f>Table_LimitsCalc_Calculator[[#This Row],[Space 5 Limit Intensity]]*AV$9</f>
        <v>#N/A</v>
      </c>
      <c r="BE19" s="1" t="e">
        <f>Table_LimitsCalc_Calculator[[#This Row],[Space 6 Limit Intensity]]*AW$9</f>
        <v>#N/A</v>
      </c>
      <c r="BF19" s="1" t="e">
        <f>Table_LimitsCalc_Calculator[[#This Row],[Space 7 Limit Intensity]]*AX$9</f>
        <v>#N/A</v>
      </c>
      <c r="BG19" s="1" t="e">
        <f>Table_LimitsCalc_Calculator[[#This Row],[Space 8 Limit Intensity]]*AY$9</f>
        <v>#N/A</v>
      </c>
      <c r="BH19" s="84">
        <f>_xlfn.AGGREGATE(9,6,Table_LimitsCalc_Calculator[[#This Row],[Space 1 Limit (tCO2e)]:[Space 8 Limit (tCO2e)]])</f>
        <v>0</v>
      </c>
      <c r="BJ19"/>
      <c r="BK19" s="5">
        <v>2031</v>
      </c>
      <c r="BL19" s="1" cm="1">
        <f t="array" ref="BL19">INDEX(Table_LL97SpaceLimits[],MATCH(BL$10,Table_LL97SpaceLimits[Property Type],0),MATCH(Table_LimitsCalc_Sample1[[#This Row],[Year]],VALUE(Table_LL97SpaceLimits[#Headers]),0))</f>
        <v>3.3466400000000001E-3</v>
      </c>
      <c r="BM19" s="1" cm="1">
        <f t="array" ref="BM19">INDEX(Table_LL97SpaceLimits[],MATCH(BM$10,Table_LL97SpaceLimits[Property Type],0),MATCH(Table_LimitsCalc_Sample1[[#This Row],[Year]],VALUE(Table_LL97SpaceLimits[#Headers]),0))</f>
        <v>6.1182999999999995E-4</v>
      </c>
      <c r="BN19" s="1" cm="1">
        <f t="array" ref="BN19">INDEX(Table_LL97SpaceLimits[],MATCH(BN$10,Table_LL97SpaceLimits[Property Type],0),MATCH(Table_LimitsCalc_Sample1[[#This Row],[Year]],VALUE(Table_LL97SpaceLimits[#Headers]),0))</f>
        <v>2.1442100000000001E-4</v>
      </c>
      <c r="BO19" s="1" cm="1">
        <f t="array" ref="BO19">INDEX(Table_LL97SpaceLimits[],MATCH(BO$10,Table_LL97SpaceLimits[Property Type],0),MATCH(Table_LimitsCalc_Sample1[[#This Row],[Year]],VALUE(Table_LL97SpaceLimits[#Headers]),0))</f>
        <v>7.7494139999999996E-3</v>
      </c>
      <c r="BP19" s="1" cm="1">
        <f t="array" ref="BP19">INDEX(Table_LL97SpaceLimits[],MATCH(BP$10,Table_LL97SpaceLimits[Property Type],0),MATCH(Table_LimitsCalc_Sample1[[#This Row],[Year]],VALUE(Table_LL97SpaceLimits[#Headers]),0))</f>
        <v>2.1044900000000001E-3</v>
      </c>
      <c r="BQ19" s="1" t="e" cm="1">
        <f t="array" ref="BQ19">INDEX(Table_LL97SpaceLimits[],MATCH(BQ$10,Table_LL97SpaceLimits[Property Type],0),MATCH(Table_LimitsCalc_Sample1[[#This Row],[Year]],VALUE(Table_LL97SpaceLimits[#Headers]),0))</f>
        <v>#N/A</v>
      </c>
      <c r="BR19" s="1" t="e" cm="1">
        <f t="array" ref="BR19">INDEX(Table_LL97SpaceLimits[],MATCH(BR$10,Table_LL97SpaceLimits[Property Type],0),MATCH(Table_LimitsCalc_Sample1[[#This Row],[Year]],VALUE(Table_LL97SpaceLimits[#Headers]),0))</f>
        <v>#N/A</v>
      </c>
      <c r="BS19" s="1" t="e" cm="1">
        <f t="array" ref="BS19">INDEX(Table_LL97SpaceLimits[],MATCH(BS$10,Table_LL97SpaceLimits[Property Type],0),MATCH(Table_LimitsCalc_Sample1[[#This Row],[Year]],VALUE(Table_LL97SpaceLimits[#Headers]),0))</f>
        <v>#N/A</v>
      </c>
      <c r="BT19" s="54">
        <f>Table_LimitsCalc_Sample1[[#This Row],[Space 1 Limit Intensity]]*BL$9</f>
        <v>185.06919200000002</v>
      </c>
      <c r="BU19" s="1">
        <f>Table_LimitsCalc_Sample1[[#This Row],[Space 2 Limit Intensity]]*BM$9</f>
        <v>3.0591499999999998</v>
      </c>
      <c r="BV19" s="1">
        <f>Table_LimitsCalc_Sample1[[#This Row],[Space 3 Limit Intensity]]*BN$9</f>
        <v>0.428842</v>
      </c>
      <c r="BW19" s="1">
        <f>Table_LimitsCalc_Sample1[[#This Row],[Space 4 Limit Intensity]]*BO$9</f>
        <v>6.1995312</v>
      </c>
      <c r="BX19" s="1">
        <f>Table_LimitsCalc_Sample1[[#This Row],[Space 5 Limit Intensity]]*BP$9</f>
        <v>1.3679185</v>
      </c>
      <c r="BY19" s="1" t="e">
        <f>Table_LimitsCalc_Sample1[[#This Row],[Space 6 Limit Intensity]]*BQ$9</f>
        <v>#N/A</v>
      </c>
      <c r="BZ19" s="1" t="e">
        <f>Table_LimitsCalc_Sample1[[#This Row],[Space 6 Limit Intensity]]*BR$9</f>
        <v>#N/A</v>
      </c>
      <c r="CA19" s="1" t="e">
        <f>Table_LimitsCalc_Sample1[[#This Row],[Space 6 Limit Intensity]]*BS$9</f>
        <v>#N/A</v>
      </c>
      <c r="CB19" s="84">
        <f>_xlfn.AGGREGATE(9,6,Table_LimitsCalc_Sample1[[#This Row],[Space 1 Limit (tCO2e)]:[Space 6 Limit (tCO2e)]])</f>
        <v>196.1246337</v>
      </c>
      <c r="CD19"/>
      <c r="CE19"/>
      <c r="CF19"/>
      <c r="CG19"/>
      <c r="CH19"/>
      <c r="CI19"/>
      <c r="CJ19"/>
      <c r="CK19"/>
      <c r="CL19"/>
      <c r="CM19"/>
      <c r="CN19"/>
      <c r="CO19"/>
      <c r="CP19"/>
      <c r="CQ19"/>
      <c r="CR19"/>
      <c r="CS19"/>
      <c r="CT19"/>
    </row>
    <row r="20" spans="2:98">
      <c r="C20" s="76" t="s">
        <v>253</v>
      </c>
      <c r="D20"/>
      <c r="E20"/>
      <c r="M20" s="35" t="s">
        <v>254</v>
      </c>
      <c r="N20" s="36">
        <v>2.3810000000000001E-2</v>
      </c>
      <c r="O20" s="36">
        <f>Table_LL97SpaceLimits[[#This Row],[2024]]</f>
        <v>2.3810000000000001E-2</v>
      </c>
      <c r="P20" s="36">
        <f>Table_LL97SpaceLimits[[#This Row],[2025]]</f>
        <v>2.3810000000000001E-2</v>
      </c>
      <c r="Q20" s="36">
        <f>Table_LL97SpaceLimits[[#This Row],[2026]]</f>
        <v>2.3810000000000001E-2</v>
      </c>
      <c r="R20" s="36">
        <f>Table_LL97SpaceLimits[[#This Row],[2027]]</f>
        <v>2.3810000000000001E-2</v>
      </c>
      <c r="S20" s="36">
        <f>Table_LL97SpaceLimits[[#This Row],[2028]]</f>
        <v>2.3810000000000001E-2</v>
      </c>
      <c r="T20" s="37">
        <v>1.4791131000000001E-2</v>
      </c>
      <c r="U20" s="37">
        <f>Table_LL97SpaceLimits[[#This Row],[2030]]</f>
        <v>1.4791131000000001E-2</v>
      </c>
      <c r="V20" s="37">
        <f>Table_LL97SpaceLimits[[#This Row],[2031]]</f>
        <v>1.4791131000000001E-2</v>
      </c>
      <c r="W20" s="37">
        <f>Table_LL97SpaceLimits[[#This Row],[2032]]</f>
        <v>1.4791131000000001E-2</v>
      </c>
      <c r="X20" s="37">
        <f>Table_LL97SpaceLimits[[#This Row],[2033]]</f>
        <v>1.4791131000000001E-2</v>
      </c>
      <c r="Y20" s="38">
        <v>1.1093347999999999E-2</v>
      </c>
      <c r="Z20" s="38">
        <f>Table_LL97SpaceLimits[[#This Row],[2035]]</f>
        <v>1.1093347999999999E-2</v>
      </c>
      <c r="AA20" s="38">
        <f>Table_LL97SpaceLimits[[#This Row],[2036]]</f>
        <v>1.1093347999999999E-2</v>
      </c>
      <c r="AB20" s="38">
        <f>Table_LL97SpaceLimits[[#This Row],[2037]]</f>
        <v>1.1093347999999999E-2</v>
      </c>
      <c r="AC20" s="38">
        <f>Table_LL97SpaceLimits[[#This Row],[2038]]</f>
        <v>1.1093347999999999E-2</v>
      </c>
      <c r="AD20" s="39">
        <v>7.3955649999999998E-3</v>
      </c>
      <c r="AE20" s="50">
        <f>Table_LL97SpaceLimits[[#This Row],[2040]]</f>
        <v>7.3955649999999998E-3</v>
      </c>
      <c r="AF20" s="50">
        <f>Table_LL97SpaceLimits[[#This Row],[2041]]</f>
        <v>7.3955649999999998E-3</v>
      </c>
      <c r="AG20" s="50">
        <f>Table_LL97SpaceLimits[[#This Row],[2042]]</f>
        <v>7.3955649999999998E-3</v>
      </c>
      <c r="AH20" s="50">
        <f>Table_LL97SpaceLimits[[#This Row],[2043]]</f>
        <v>7.3955649999999998E-3</v>
      </c>
      <c r="AI20" s="50">
        <f>Table_LL97SpaceLimits[[#This Row],[2044]]</f>
        <v>7.3955649999999998E-3</v>
      </c>
      <c r="AJ20" s="50">
        <f>Table_LL97SpaceLimits[[#This Row],[2045]]</f>
        <v>7.3955649999999998E-3</v>
      </c>
      <c r="AK20" s="50">
        <f>Table_LL97SpaceLimits[[#This Row],[2046]]</f>
        <v>7.3955649999999998E-3</v>
      </c>
      <c r="AL20" s="50">
        <f>Table_LL97SpaceLimits[[#This Row],[2047]]</f>
        <v>7.3955649999999998E-3</v>
      </c>
      <c r="AM20" s="50">
        <f>Table_LL97SpaceLimits[[#This Row],[2048]]</f>
        <v>7.3955649999999998E-3</v>
      </c>
      <c r="AN20" s="40">
        <v>0</v>
      </c>
      <c r="AQ20" s="5">
        <v>2032</v>
      </c>
      <c r="AR20" s="1" cm="1">
        <f t="array" ref="AR20">INDEX(Table_LL97SpaceLimits[],MATCH(AR$10,Table_LL97SpaceLimits[Property Type],0),MATCH(Table_LimitsCalc_Calculator[[#This Row],[Year]],VALUE(Table_LL97SpaceLimits[#Headers]),0))</f>
        <v>3.3466400000000001E-3</v>
      </c>
      <c r="AS20" s="1" t="e" cm="1">
        <f t="array" ref="AS20">INDEX(Table_LL97SpaceLimits[],MATCH(AS$10,Table_LL97SpaceLimits[Property Type],0),MATCH(Table_LimitsCalc_Calculator[[#This Row],[Year]],VALUE(Table_LL97SpaceLimits[#Headers]),0))</f>
        <v>#N/A</v>
      </c>
      <c r="AT20" s="1" t="e" cm="1">
        <f t="array" ref="AT20">INDEX(Table_LL97SpaceLimits[],MATCH(AT$10,Table_LL97SpaceLimits[Property Type],0),MATCH(Table_LimitsCalc_Calculator[[#This Row],[Year]],VALUE(Table_LL97SpaceLimits[#Headers]),0))</f>
        <v>#N/A</v>
      </c>
      <c r="AU20" s="1" t="e" cm="1">
        <f t="array" ref="AU20">INDEX(Table_LL97SpaceLimits[],MATCH(AU$10,Table_LL97SpaceLimits[Property Type],0),MATCH(Table_LimitsCalc_Calculator[[#This Row],[Year]],VALUE(Table_LL97SpaceLimits[#Headers]),0))</f>
        <v>#N/A</v>
      </c>
      <c r="AV20" s="1" t="e" cm="1">
        <f t="array" ref="AV20">INDEX(Table_LL97SpaceLimits[],MATCH(AV$10,Table_LL97SpaceLimits[Property Type],0),MATCH(Table_LimitsCalc_Calculator[[#This Row],[Year]],VALUE(Table_LL97SpaceLimits[#Headers]),0))</f>
        <v>#N/A</v>
      </c>
      <c r="AW20" s="1" t="e" cm="1">
        <f t="array" ref="AW20">INDEX(Table_LL97SpaceLimits[],MATCH(AW$10,Table_LL97SpaceLimits[Property Type],0),MATCH(Table_LimitsCalc_Calculator[[#This Row],[Year]],VALUE(Table_LL97SpaceLimits[#Headers]),0))</f>
        <v>#N/A</v>
      </c>
      <c r="AX20" s="1" t="e" cm="1">
        <f t="array" ref="AX20">INDEX(Table_LL97SpaceLimits[],MATCH(AX$10,Table_LL97SpaceLimits[Property Type],0),MATCH(Table_LimitsCalc_Calculator[[#This Row],[Year]],VALUE(Table_LL97SpaceLimits[#Headers]),0))</f>
        <v>#N/A</v>
      </c>
      <c r="AY20" s="1" t="e" cm="1">
        <f t="array" ref="AY20">INDEX(Table_LL97SpaceLimits[],MATCH(AY$10,Table_LL97SpaceLimits[Property Type],0),MATCH(Table_LimitsCalc_Calculator[[#This Row],[Year]],VALUE(Table_LL97SpaceLimits[#Headers]),0))</f>
        <v>#N/A</v>
      </c>
      <c r="AZ20" s="54">
        <f>Table_LimitsCalc_Calculator[[#This Row],[Space 1 Limit Intensity]]*AR$9</f>
        <v>0</v>
      </c>
      <c r="BA20" s="1" t="e">
        <f>Table_LimitsCalc_Calculator[[#This Row],[Space 2 Limit Intensity]]*AS$9</f>
        <v>#N/A</v>
      </c>
      <c r="BB20" s="1" t="e">
        <f>Table_LimitsCalc_Calculator[[#This Row],[Space 3 Limit Intensity]]*AT$9</f>
        <v>#N/A</v>
      </c>
      <c r="BC20" s="1" t="e">
        <f>Table_LimitsCalc_Calculator[[#This Row],[Space 4 Limit Intensity]]*AU$9</f>
        <v>#N/A</v>
      </c>
      <c r="BD20" s="1" t="e">
        <f>Table_LimitsCalc_Calculator[[#This Row],[Space 5 Limit Intensity]]*AV$9</f>
        <v>#N/A</v>
      </c>
      <c r="BE20" s="1" t="e">
        <f>Table_LimitsCalc_Calculator[[#This Row],[Space 6 Limit Intensity]]*AW$9</f>
        <v>#N/A</v>
      </c>
      <c r="BF20" s="1" t="e">
        <f>Table_LimitsCalc_Calculator[[#This Row],[Space 7 Limit Intensity]]*AX$9</f>
        <v>#N/A</v>
      </c>
      <c r="BG20" s="1" t="e">
        <f>Table_LimitsCalc_Calculator[[#This Row],[Space 8 Limit Intensity]]*AY$9</f>
        <v>#N/A</v>
      </c>
      <c r="BH20" s="84">
        <f>_xlfn.AGGREGATE(9,6,Table_LimitsCalc_Calculator[[#This Row],[Space 1 Limit (tCO2e)]:[Space 8 Limit (tCO2e)]])</f>
        <v>0</v>
      </c>
      <c r="BJ20"/>
      <c r="BK20" s="5">
        <v>2032</v>
      </c>
      <c r="BL20" s="1" cm="1">
        <f t="array" ref="BL20">INDEX(Table_LL97SpaceLimits[],MATCH(BL$10,Table_LL97SpaceLimits[Property Type],0),MATCH(Table_LimitsCalc_Sample1[[#This Row],[Year]],VALUE(Table_LL97SpaceLimits[#Headers]),0))</f>
        <v>3.3466400000000001E-3</v>
      </c>
      <c r="BM20" s="1" cm="1">
        <f t="array" ref="BM20">INDEX(Table_LL97SpaceLimits[],MATCH(BM$10,Table_LL97SpaceLimits[Property Type],0),MATCH(Table_LimitsCalc_Sample1[[#This Row],[Year]],VALUE(Table_LL97SpaceLimits[#Headers]),0))</f>
        <v>6.1182999999999995E-4</v>
      </c>
      <c r="BN20" s="1" cm="1">
        <f t="array" ref="BN20">INDEX(Table_LL97SpaceLimits[],MATCH(BN$10,Table_LL97SpaceLimits[Property Type],0),MATCH(Table_LimitsCalc_Sample1[[#This Row],[Year]],VALUE(Table_LL97SpaceLimits[#Headers]),0))</f>
        <v>2.1442100000000001E-4</v>
      </c>
      <c r="BO20" s="1" cm="1">
        <f t="array" ref="BO20">INDEX(Table_LL97SpaceLimits[],MATCH(BO$10,Table_LL97SpaceLimits[Property Type],0),MATCH(Table_LimitsCalc_Sample1[[#This Row],[Year]],VALUE(Table_LL97SpaceLimits[#Headers]),0))</f>
        <v>7.7494139999999996E-3</v>
      </c>
      <c r="BP20" s="1" cm="1">
        <f t="array" ref="BP20">INDEX(Table_LL97SpaceLimits[],MATCH(BP$10,Table_LL97SpaceLimits[Property Type],0),MATCH(Table_LimitsCalc_Sample1[[#This Row],[Year]],VALUE(Table_LL97SpaceLimits[#Headers]),0))</f>
        <v>2.1044900000000001E-3</v>
      </c>
      <c r="BQ20" s="1" t="e" cm="1">
        <f t="array" ref="BQ20">INDEX(Table_LL97SpaceLimits[],MATCH(BQ$10,Table_LL97SpaceLimits[Property Type],0),MATCH(Table_LimitsCalc_Sample1[[#This Row],[Year]],VALUE(Table_LL97SpaceLimits[#Headers]),0))</f>
        <v>#N/A</v>
      </c>
      <c r="BR20" s="1" t="e" cm="1">
        <f t="array" ref="BR20">INDEX(Table_LL97SpaceLimits[],MATCH(BR$10,Table_LL97SpaceLimits[Property Type],0),MATCH(Table_LimitsCalc_Sample1[[#This Row],[Year]],VALUE(Table_LL97SpaceLimits[#Headers]),0))</f>
        <v>#N/A</v>
      </c>
      <c r="BS20" s="1" t="e" cm="1">
        <f t="array" ref="BS20">INDEX(Table_LL97SpaceLimits[],MATCH(BS$10,Table_LL97SpaceLimits[Property Type],0),MATCH(Table_LimitsCalc_Sample1[[#This Row],[Year]],VALUE(Table_LL97SpaceLimits[#Headers]),0))</f>
        <v>#N/A</v>
      </c>
      <c r="BT20" s="54">
        <f>Table_LimitsCalc_Sample1[[#This Row],[Space 1 Limit Intensity]]*BL$9</f>
        <v>185.06919200000002</v>
      </c>
      <c r="BU20" s="1">
        <f>Table_LimitsCalc_Sample1[[#This Row],[Space 2 Limit Intensity]]*BM$9</f>
        <v>3.0591499999999998</v>
      </c>
      <c r="BV20" s="1">
        <f>Table_LimitsCalc_Sample1[[#This Row],[Space 3 Limit Intensity]]*BN$9</f>
        <v>0.428842</v>
      </c>
      <c r="BW20" s="1">
        <f>Table_LimitsCalc_Sample1[[#This Row],[Space 4 Limit Intensity]]*BO$9</f>
        <v>6.1995312</v>
      </c>
      <c r="BX20" s="1">
        <f>Table_LimitsCalc_Sample1[[#This Row],[Space 5 Limit Intensity]]*BP$9</f>
        <v>1.3679185</v>
      </c>
      <c r="BY20" s="1" t="e">
        <f>Table_LimitsCalc_Sample1[[#This Row],[Space 6 Limit Intensity]]*BQ$9</f>
        <v>#N/A</v>
      </c>
      <c r="BZ20" s="1" t="e">
        <f>Table_LimitsCalc_Sample1[[#This Row],[Space 6 Limit Intensity]]*BR$9</f>
        <v>#N/A</v>
      </c>
      <c r="CA20" s="1" t="e">
        <f>Table_LimitsCalc_Sample1[[#This Row],[Space 6 Limit Intensity]]*BS$9</f>
        <v>#N/A</v>
      </c>
      <c r="CB20" s="84">
        <f>_xlfn.AGGREGATE(9,6,Table_LimitsCalc_Sample1[[#This Row],[Space 1 Limit (tCO2e)]:[Space 6 Limit (tCO2e)]])</f>
        <v>196.1246337</v>
      </c>
      <c r="CD20"/>
      <c r="CE20"/>
      <c r="CF20"/>
      <c r="CG20"/>
      <c r="CH20"/>
      <c r="CI20"/>
      <c r="CJ20"/>
      <c r="CK20"/>
      <c r="CL20"/>
      <c r="CM20"/>
      <c r="CN20"/>
      <c r="CO20"/>
      <c r="CP20"/>
      <c r="CQ20"/>
      <c r="CR20"/>
      <c r="CS20"/>
      <c r="CT20"/>
    </row>
    <row r="21" spans="2:98">
      <c r="C21" s="76" t="s">
        <v>255</v>
      </c>
      <c r="D21"/>
      <c r="E21"/>
      <c r="M21" s="35" t="s">
        <v>256</v>
      </c>
      <c r="N21" s="36">
        <v>5.7400000000000003E-3</v>
      </c>
      <c r="O21" s="36">
        <f>Table_LL97SpaceLimits[[#This Row],[2024]]</f>
        <v>5.7400000000000003E-3</v>
      </c>
      <c r="P21" s="36">
        <f>Table_LL97SpaceLimits[[#This Row],[2025]]</f>
        <v>5.7400000000000003E-3</v>
      </c>
      <c r="Q21" s="36">
        <f>Table_LL97SpaceLimits[[#This Row],[2026]]</f>
        <v>5.7400000000000003E-3</v>
      </c>
      <c r="R21" s="36">
        <f>Table_LL97SpaceLimits[[#This Row],[2027]]</f>
        <v>5.7400000000000003E-3</v>
      </c>
      <c r="S21" s="36">
        <f>Table_LL97SpaceLimits[[#This Row],[2028]]</f>
        <v>5.7400000000000003E-3</v>
      </c>
      <c r="T21" s="37">
        <v>9.9160000000000003E-4</v>
      </c>
      <c r="U21" s="37">
        <f>Table_LL97SpaceLimits[[#This Row],[2030]]</f>
        <v>9.9160000000000003E-4</v>
      </c>
      <c r="V21" s="37">
        <f>Table_LL97SpaceLimits[[#This Row],[2031]]</f>
        <v>9.9160000000000003E-4</v>
      </c>
      <c r="W21" s="37">
        <f>Table_LL97SpaceLimits[[#This Row],[2032]]</f>
        <v>9.9160000000000003E-4</v>
      </c>
      <c r="X21" s="37">
        <f>Table_LL97SpaceLimits[[#This Row],[2033]]</f>
        <v>9.9160000000000003E-4</v>
      </c>
      <c r="Y21" s="38">
        <v>5.4963699999999996E-4</v>
      </c>
      <c r="Z21" s="38">
        <f>Table_LL97SpaceLimits[[#This Row],[2035]]</f>
        <v>5.4963699999999996E-4</v>
      </c>
      <c r="AA21" s="38">
        <f>Table_LL97SpaceLimits[[#This Row],[2036]]</f>
        <v>5.4963699999999996E-4</v>
      </c>
      <c r="AB21" s="38">
        <f>Table_LL97SpaceLimits[[#This Row],[2037]]</f>
        <v>5.4963699999999996E-4</v>
      </c>
      <c r="AC21" s="38">
        <f>Table_LL97SpaceLimits[[#This Row],[2038]]</f>
        <v>5.4963699999999996E-4</v>
      </c>
      <c r="AD21" s="39">
        <v>1.2356800000000001E-4</v>
      </c>
      <c r="AE21" s="50">
        <f>Table_LL97SpaceLimits[[#This Row],[2040]]</f>
        <v>1.2356800000000001E-4</v>
      </c>
      <c r="AF21" s="50">
        <f>Table_LL97SpaceLimits[[#This Row],[2041]]</f>
        <v>1.2356800000000001E-4</v>
      </c>
      <c r="AG21" s="50">
        <f>Table_LL97SpaceLimits[[#This Row],[2042]]</f>
        <v>1.2356800000000001E-4</v>
      </c>
      <c r="AH21" s="50">
        <f>Table_LL97SpaceLimits[[#This Row],[2043]]</f>
        <v>1.2356800000000001E-4</v>
      </c>
      <c r="AI21" s="50">
        <f>Table_LL97SpaceLimits[[#This Row],[2044]]</f>
        <v>1.2356800000000001E-4</v>
      </c>
      <c r="AJ21" s="50">
        <f>Table_LL97SpaceLimits[[#This Row],[2045]]</f>
        <v>1.2356800000000001E-4</v>
      </c>
      <c r="AK21" s="50">
        <f>Table_LL97SpaceLimits[[#This Row],[2046]]</f>
        <v>1.2356800000000001E-4</v>
      </c>
      <c r="AL21" s="50">
        <f>Table_LL97SpaceLimits[[#This Row],[2047]]</f>
        <v>1.2356800000000001E-4</v>
      </c>
      <c r="AM21" s="50">
        <f>Table_LL97SpaceLimits[[#This Row],[2048]]</f>
        <v>1.2356800000000001E-4</v>
      </c>
      <c r="AN21" s="40">
        <v>0</v>
      </c>
      <c r="AQ21" s="5">
        <v>2033</v>
      </c>
      <c r="AR21" s="1" cm="1">
        <f t="array" ref="AR21">INDEX(Table_LL97SpaceLimits[],MATCH(AR$10,Table_LL97SpaceLimits[Property Type],0),MATCH(Table_LimitsCalc_Calculator[[#This Row],[Year]],VALUE(Table_LL97SpaceLimits[#Headers]),0))</f>
        <v>3.3466400000000001E-3</v>
      </c>
      <c r="AS21" s="1" t="e" cm="1">
        <f t="array" ref="AS21">INDEX(Table_LL97SpaceLimits[],MATCH(AS$10,Table_LL97SpaceLimits[Property Type],0),MATCH(Table_LimitsCalc_Calculator[[#This Row],[Year]],VALUE(Table_LL97SpaceLimits[#Headers]),0))</f>
        <v>#N/A</v>
      </c>
      <c r="AT21" s="1" t="e" cm="1">
        <f t="array" ref="AT21">INDEX(Table_LL97SpaceLimits[],MATCH(AT$10,Table_LL97SpaceLimits[Property Type],0),MATCH(Table_LimitsCalc_Calculator[[#This Row],[Year]],VALUE(Table_LL97SpaceLimits[#Headers]),0))</f>
        <v>#N/A</v>
      </c>
      <c r="AU21" s="1" t="e" cm="1">
        <f t="array" ref="AU21">INDEX(Table_LL97SpaceLimits[],MATCH(AU$10,Table_LL97SpaceLimits[Property Type],0),MATCH(Table_LimitsCalc_Calculator[[#This Row],[Year]],VALUE(Table_LL97SpaceLimits[#Headers]),0))</f>
        <v>#N/A</v>
      </c>
      <c r="AV21" s="1" t="e" cm="1">
        <f t="array" ref="AV21">INDEX(Table_LL97SpaceLimits[],MATCH(AV$10,Table_LL97SpaceLimits[Property Type],0),MATCH(Table_LimitsCalc_Calculator[[#This Row],[Year]],VALUE(Table_LL97SpaceLimits[#Headers]),0))</f>
        <v>#N/A</v>
      </c>
      <c r="AW21" s="1" t="e" cm="1">
        <f t="array" ref="AW21">INDEX(Table_LL97SpaceLimits[],MATCH(AW$10,Table_LL97SpaceLimits[Property Type],0),MATCH(Table_LimitsCalc_Calculator[[#This Row],[Year]],VALUE(Table_LL97SpaceLimits[#Headers]),0))</f>
        <v>#N/A</v>
      </c>
      <c r="AX21" s="1" t="e" cm="1">
        <f t="array" ref="AX21">INDEX(Table_LL97SpaceLimits[],MATCH(AX$10,Table_LL97SpaceLimits[Property Type],0),MATCH(Table_LimitsCalc_Calculator[[#This Row],[Year]],VALUE(Table_LL97SpaceLimits[#Headers]),0))</f>
        <v>#N/A</v>
      </c>
      <c r="AY21" s="1" t="e" cm="1">
        <f t="array" ref="AY21">INDEX(Table_LL97SpaceLimits[],MATCH(AY$10,Table_LL97SpaceLimits[Property Type],0),MATCH(Table_LimitsCalc_Calculator[[#This Row],[Year]],VALUE(Table_LL97SpaceLimits[#Headers]),0))</f>
        <v>#N/A</v>
      </c>
      <c r="AZ21" s="54">
        <f>Table_LimitsCalc_Calculator[[#This Row],[Space 1 Limit Intensity]]*AR$9</f>
        <v>0</v>
      </c>
      <c r="BA21" s="1" t="e">
        <f>Table_LimitsCalc_Calculator[[#This Row],[Space 2 Limit Intensity]]*AS$9</f>
        <v>#N/A</v>
      </c>
      <c r="BB21" s="1" t="e">
        <f>Table_LimitsCalc_Calculator[[#This Row],[Space 3 Limit Intensity]]*AT$9</f>
        <v>#N/A</v>
      </c>
      <c r="BC21" s="1" t="e">
        <f>Table_LimitsCalc_Calculator[[#This Row],[Space 4 Limit Intensity]]*AU$9</f>
        <v>#N/A</v>
      </c>
      <c r="BD21" s="1" t="e">
        <f>Table_LimitsCalc_Calculator[[#This Row],[Space 5 Limit Intensity]]*AV$9</f>
        <v>#N/A</v>
      </c>
      <c r="BE21" s="1" t="e">
        <f>Table_LimitsCalc_Calculator[[#This Row],[Space 6 Limit Intensity]]*AW$9</f>
        <v>#N/A</v>
      </c>
      <c r="BF21" s="1" t="e">
        <f>Table_LimitsCalc_Calculator[[#This Row],[Space 7 Limit Intensity]]*AX$9</f>
        <v>#N/A</v>
      </c>
      <c r="BG21" s="1" t="e">
        <f>Table_LimitsCalc_Calculator[[#This Row],[Space 8 Limit Intensity]]*AY$9</f>
        <v>#N/A</v>
      </c>
      <c r="BH21" s="84">
        <f>_xlfn.AGGREGATE(9,6,Table_LimitsCalc_Calculator[[#This Row],[Space 1 Limit (tCO2e)]:[Space 8 Limit (tCO2e)]])</f>
        <v>0</v>
      </c>
      <c r="BK21" s="5">
        <v>2033</v>
      </c>
      <c r="BL21" s="1" cm="1">
        <f t="array" ref="BL21">INDEX(Table_LL97SpaceLimits[],MATCH(BL$10,Table_LL97SpaceLimits[Property Type],0),MATCH(Table_LimitsCalc_Sample1[[#This Row],[Year]],VALUE(Table_LL97SpaceLimits[#Headers]),0))</f>
        <v>3.3466400000000001E-3</v>
      </c>
      <c r="BM21" s="1" cm="1">
        <f t="array" ref="BM21">INDEX(Table_LL97SpaceLimits[],MATCH(BM$10,Table_LL97SpaceLimits[Property Type],0),MATCH(Table_LimitsCalc_Sample1[[#This Row],[Year]],VALUE(Table_LL97SpaceLimits[#Headers]),0))</f>
        <v>6.1182999999999995E-4</v>
      </c>
      <c r="BN21" s="1" cm="1">
        <f t="array" ref="BN21">INDEX(Table_LL97SpaceLimits[],MATCH(BN$10,Table_LL97SpaceLimits[Property Type],0),MATCH(Table_LimitsCalc_Sample1[[#This Row],[Year]],VALUE(Table_LL97SpaceLimits[#Headers]),0))</f>
        <v>2.1442100000000001E-4</v>
      </c>
      <c r="BO21" s="1" cm="1">
        <f t="array" ref="BO21">INDEX(Table_LL97SpaceLimits[],MATCH(BO$10,Table_LL97SpaceLimits[Property Type],0),MATCH(Table_LimitsCalc_Sample1[[#This Row],[Year]],VALUE(Table_LL97SpaceLimits[#Headers]),0))</f>
        <v>7.7494139999999996E-3</v>
      </c>
      <c r="BP21" s="1" cm="1">
        <f t="array" ref="BP21">INDEX(Table_LL97SpaceLimits[],MATCH(BP$10,Table_LL97SpaceLimits[Property Type],0),MATCH(Table_LimitsCalc_Sample1[[#This Row],[Year]],VALUE(Table_LL97SpaceLimits[#Headers]),0))</f>
        <v>2.1044900000000001E-3</v>
      </c>
      <c r="BQ21" s="1" t="e" cm="1">
        <f t="array" ref="BQ21">INDEX(Table_LL97SpaceLimits[],MATCH(BQ$10,Table_LL97SpaceLimits[Property Type],0),MATCH(Table_LimitsCalc_Sample1[[#This Row],[Year]],VALUE(Table_LL97SpaceLimits[#Headers]),0))</f>
        <v>#N/A</v>
      </c>
      <c r="BR21" s="1" t="e" cm="1">
        <f t="array" ref="BR21">INDEX(Table_LL97SpaceLimits[],MATCH(BR$10,Table_LL97SpaceLimits[Property Type],0),MATCH(Table_LimitsCalc_Sample1[[#This Row],[Year]],VALUE(Table_LL97SpaceLimits[#Headers]),0))</f>
        <v>#N/A</v>
      </c>
      <c r="BS21" s="1" t="e" cm="1">
        <f t="array" ref="BS21">INDEX(Table_LL97SpaceLimits[],MATCH(BS$10,Table_LL97SpaceLimits[Property Type],0),MATCH(Table_LimitsCalc_Sample1[[#This Row],[Year]],VALUE(Table_LL97SpaceLimits[#Headers]),0))</f>
        <v>#N/A</v>
      </c>
      <c r="BT21" s="54">
        <f>Table_LimitsCalc_Sample1[[#This Row],[Space 1 Limit Intensity]]*BL$9</f>
        <v>185.06919200000002</v>
      </c>
      <c r="BU21" s="1">
        <f>Table_LimitsCalc_Sample1[[#This Row],[Space 2 Limit Intensity]]*BM$9</f>
        <v>3.0591499999999998</v>
      </c>
      <c r="BV21" s="1">
        <f>Table_LimitsCalc_Sample1[[#This Row],[Space 3 Limit Intensity]]*BN$9</f>
        <v>0.428842</v>
      </c>
      <c r="BW21" s="1">
        <f>Table_LimitsCalc_Sample1[[#This Row],[Space 4 Limit Intensity]]*BO$9</f>
        <v>6.1995312</v>
      </c>
      <c r="BX21" s="1">
        <f>Table_LimitsCalc_Sample1[[#This Row],[Space 5 Limit Intensity]]*BP$9</f>
        <v>1.3679185</v>
      </c>
      <c r="BY21" s="1" t="e">
        <f>Table_LimitsCalc_Sample1[[#This Row],[Space 6 Limit Intensity]]*BQ$9</f>
        <v>#N/A</v>
      </c>
      <c r="BZ21" s="1" t="e">
        <f>Table_LimitsCalc_Sample1[[#This Row],[Space 6 Limit Intensity]]*BR$9</f>
        <v>#N/A</v>
      </c>
      <c r="CA21" s="1" t="e">
        <f>Table_LimitsCalc_Sample1[[#This Row],[Space 6 Limit Intensity]]*BS$9</f>
        <v>#N/A</v>
      </c>
      <c r="CB21" s="84">
        <f>_xlfn.AGGREGATE(9,6,Table_LimitsCalc_Sample1[[#This Row],[Space 1 Limit (tCO2e)]:[Space 6 Limit (tCO2e)]])</f>
        <v>196.1246337</v>
      </c>
      <c r="CD21"/>
      <c r="CE21"/>
      <c r="CF21"/>
      <c r="CG21"/>
      <c r="CH21"/>
      <c r="CI21"/>
      <c r="CJ21"/>
      <c r="CK21"/>
      <c r="CL21"/>
      <c r="CM21"/>
      <c r="CN21"/>
      <c r="CO21"/>
      <c r="CP21"/>
      <c r="CQ21"/>
      <c r="CR21"/>
      <c r="CS21"/>
      <c r="CT21"/>
    </row>
    <row r="22" spans="2:98">
      <c r="C22" s="76" t="s">
        <v>257</v>
      </c>
      <c r="D22"/>
      <c r="E22"/>
      <c r="M22" s="35" t="s">
        <v>258</v>
      </c>
      <c r="N22" s="36">
        <v>1.074E-2</v>
      </c>
      <c r="O22" s="36">
        <f>Table_LL97SpaceLimits[[#This Row],[2024]]</f>
        <v>1.074E-2</v>
      </c>
      <c r="P22" s="36">
        <f>Table_LL97SpaceLimits[[#This Row],[2025]]</f>
        <v>1.074E-2</v>
      </c>
      <c r="Q22" s="36">
        <f>Table_LL97SpaceLimits[[#This Row],[2026]]</f>
        <v>1.074E-2</v>
      </c>
      <c r="R22" s="36">
        <f>Table_LL97SpaceLimits[[#This Row],[2027]]</f>
        <v>1.074E-2</v>
      </c>
      <c r="S22" s="36">
        <f>Table_LL97SpaceLimits[[#This Row],[2028]]</f>
        <v>1.074E-2</v>
      </c>
      <c r="T22" s="37">
        <v>3.9838030000000002E-3</v>
      </c>
      <c r="U22" s="37">
        <f>Table_LL97SpaceLimits[[#This Row],[2030]]</f>
        <v>3.9838030000000002E-3</v>
      </c>
      <c r="V22" s="37">
        <f>Table_LL97SpaceLimits[[#This Row],[2031]]</f>
        <v>3.9838030000000002E-3</v>
      </c>
      <c r="W22" s="37">
        <f>Table_LL97SpaceLimits[[#This Row],[2032]]</f>
        <v>3.9838030000000002E-3</v>
      </c>
      <c r="X22" s="37">
        <f>Table_LL97SpaceLimits[[#This Row],[2033]]</f>
        <v>3.9838030000000002E-3</v>
      </c>
      <c r="Y22" s="38">
        <v>2.987852E-3</v>
      </c>
      <c r="Z22" s="38">
        <f>Table_LL97SpaceLimits[[#This Row],[2035]]</f>
        <v>2.987852E-3</v>
      </c>
      <c r="AA22" s="38">
        <f>Table_LL97SpaceLimits[[#This Row],[2036]]</f>
        <v>2.987852E-3</v>
      </c>
      <c r="AB22" s="38">
        <f>Table_LL97SpaceLimits[[#This Row],[2037]]</f>
        <v>2.987852E-3</v>
      </c>
      <c r="AC22" s="38">
        <f>Table_LL97SpaceLimits[[#This Row],[2038]]</f>
        <v>2.987852E-3</v>
      </c>
      <c r="AD22" s="39">
        <v>1.9919009999999999E-3</v>
      </c>
      <c r="AE22" s="50">
        <f>Table_LL97SpaceLimits[[#This Row],[2040]]</f>
        <v>1.9919009999999999E-3</v>
      </c>
      <c r="AF22" s="50">
        <f>Table_LL97SpaceLimits[[#This Row],[2041]]</f>
        <v>1.9919009999999999E-3</v>
      </c>
      <c r="AG22" s="50">
        <f>Table_LL97SpaceLimits[[#This Row],[2042]]</f>
        <v>1.9919009999999999E-3</v>
      </c>
      <c r="AH22" s="50">
        <f>Table_LL97SpaceLimits[[#This Row],[2043]]</f>
        <v>1.9919009999999999E-3</v>
      </c>
      <c r="AI22" s="50">
        <f>Table_LL97SpaceLimits[[#This Row],[2044]]</f>
        <v>1.9919009999999999E-3</v>
      </c>
      <c r="AJ22" s="50">
        <f>Table_LL97SpaceLimits[[#This Row],[2045]]</f>
        <v>1.9919009999999999E-3</v>
      </c>
      <c r="AK22" s="50">
        <f>Table_LL97SpaceLimits[[#This Row],[2046]]</f>
        <v>1.9919009999999999E-3</v>
      </c>
      <c r="AL22" s="50">
        <f>Table_LL97SpaceLimits[[#This Row],[2047]]</f>
        <v>1.9919009999999999E-3</v>
      </c>
      <c r="AM22" s="50">
        <f>Table_LL97SpaceLimits[[#This Row],[2048]]</f>
        <v>1.9919009999999999E-3</v>
      </c>
      <c r="AN22" s="40">
        <v>0</v>
      </c>
      <c r="AQ22" s="5">
        <v>2034</v>
      </c>
      <c r="AR22" s="1" cm="1">
        <f t="array" ref="AR22">INDEX(Table_LL97SpaceLimits[],MATCH(AR$10,Table_LL97SpaceLimits[Property Type],0),MATCH(Table_LimitsCalc_Calculator[[#This Row],[Year]],VALUE(Table_LL97SpaceLimits[#Headers]),0))</f>
        <v>3.3466400000000001E-3</v>
      </c>
      <c r="AS22" s="1" t="e" cm="1">
        <f t="array" ref="AS22">INDEX(Table_LL97SpaceLimits[],MATCH(AS$10,Table_LL97SpaceLimits[Property Type],0),MATCH(Table_LimitsCalc_Calculator[[#This Row],[Year]],VALUE(Table_LL97SpaceLimits[#Headers]),0))</f>
        <v>#N/A</v>
      </c>
      <c r="AT22" s="1" t="e" cm="1">
        <f t="array" ref="AT22">INDEX(Table_LL97SpaceLimits[],MATCH(AT$10,Table_LL97SpaceLimits[Property Type],0),MATCH(Table_LimitsCalc_Calculator[[#This Row],[Year]],VALUE(Table_LL97SpaceLimits[#Headers]),0))</f>
        <v>#N/A</v>
      </c>
      <c r="AU22" s="1" t="e" cm="1">
        <f t="array" ref="AU22">INDEX(Table_LL97SpaceLimits[],MATCH(AU$10,Table_LL97SpaceLimits[Property Type],0),MATCH(Table_LimitsCalc_Calculator[[#This Row],[Year]],VALUE(Table_LL97SpaceLimits[#Headers]),0))</f>
        <v>#N/A</v>
      </c>
      <c r="AV22" s="1" t="e" cm="1">
        <f t="array" ref="AV22">INDEX(Table_LL97SpaceLimits[],MATCH(AV$10,Table_LL97SpaceLimits[Property Type],0),MATCH(Table_LimitsCalc_Calculator[[#This Row],[Year]],VALUE(Table_LL97SpaceLimits[#Headers]),0))</f>
        <v>#N/A</v>
      </c>
      <c r="AW22" s="1" t="e" cm="1">
        <f t="array" ref="AW22">INDEX(Table_LL97SpaceLimits[],MATCH(AW$10,Table_LL97SpaceLimits[Property Type],0),MATCH(Table_LimitsCalc_Calculator[[#This Row],[Year]],VALUE(Table_LL97SpaceLimits[#Headers]),0))</f>
        <v>#N/A</v>
      </c>
      <c r="AX22" s="1" t="e" cm="1">
        <f t="array" ref="AX22">INDEX(Table_LL97SpaceLimits[],MATCH(AX$10,Table_LL97SpaceLimits[Property Type],0),MATCH(Table_LimitsCalc_Calculator[[#This Row],[Year]],VALUE(Table_LL97SpaceLimits[#Headers]),0))</f>
        <v>#N/A</v>
      </c>
      <c r="AY22" s="1" t="e" cm="1">
        <f t="array" ref="AY22">INDEX(Table_LL97SpaceLimits[],MATCH(AY$10,Table_LL97SpaceLimits[Property Type],0),MATCH(Table_LimitsCalc_Calculator[[#This Row],[Year]],VALUE(Table_LL97SpaceLimits[#Headers]),0))</f>
        <v>#N/A</v>
      </c>
      <c r="AZ22" s="54">
        <f>Table_LimitsCalc_Calculator[[#This Row],[Space 1 Limit Intensity]]*AR$9</f>
        <v>0</v>
      </c>
      <c r="BA22" s="1" t="e">
        <f>Table_LimitsCalc_Calculator[[#This Row],[Space 2 Limit Intensity]]*AS$9</f>
        <v>#N/A</v>
      </c>
      <c r="BB22" s="1" t="e">
        <f>Table_LimitsCalc_Calculator[[#This Row],[Space 3 Limit Intensity]]*AT$9</f>
        <v>#N/A</v>
      </c>
      <c r="BC22" s="1" t="e">
        <f>Table_LimitsCalc_Calculator[[#This Row],[Space 4 Limit Intensity]]*AU$9</f>
        <v>#N/A</v>
      </c>
      <c r="BD22" s="1" t="e">
        <f>Table_LimitsCalc_Calculator[[#This Row],[Space 5 Limit Intensity]]*AV$9</f>
        <v>#N/A</v>
      </c>
      <c r="BE22" s="1" t="e">
        <f>Table_LimitsCalc_Calculator[[#This Row],[Space 6 Limit Intensity]]*AW$9</f>
        <v>#N/A</v>
      </c>
      <c r="BF22" s="1" t="e">
        <f>Table_LimitsCalc_Calculator[[#This Row],[Space 7 Limit Intensity]]*AX$9</f>
        <v>#N/A</v>
      </c>
      <c r="BG22" s="1" t="e">
        <f>Table_LimitsCalc_Calculator[[#This Row],[Space 8 Limit Intensity]]*AY$9</f>
        <v>#N/A</v>
      </c>
      <c r="BH22" s="84">
        <f>_xlfn.AGGREGATE(9,6,Table_LimitsCalc_Calculator[[#This Row],[Space 1 Limit (tCO2e)]:[Space 8 Limit (tCO2e)]])</f>
        <v>0</v>
      </c>
      <c r="BK22" s="5">
        <v>2034</v>
      </c>
      <c r="BL22" s="1" cm="1">
        <f t="array" ref="BL22">INDEX(Table_LL97SpaceLimits[],MATCH(BL$10,Table_LL97SpaceLimits[Property Type],0),MATCH(Table_LimitsCalc_Sample1[[#This Row],[Year]],VALUE(Table_LL97SpaceLimits[#Headers]),0))</f>
        <v>3.3466400000000001E-3</v>
      </c>
      <c r="BM22" s="1" cm="1">
        <f t="array" ref="BM22">INDEX(Table_LL97SpaceLimits[],MATCH(BM$10,Table_LL97SpaceLimits[Property Type],0),MATCH(Table_LimitsCalc_Sample1[[#This Row],[Year]],VALUE(Table_LL97SpaceLimits[#Headers]),0))</f>
        <v>6.1182999999999995E-4</v>
      </c>
      <c r="BN22" s="1" cm="1">
        <f t="array" ref="BN22">INDEX(Table_LL97SpaceLimits[],MATCH(BN$10,Table_LL97SpaceLimits[Property Type],0),MATCH(Table_LimitsCalc_Sample1[[#This Row],[Year]],VALUE(Table_LL97SpaceLimits[#Headers]),0))</f>
        <v>2.1442100000000001E-4</v>
      </c>
      <c r="BO22" s="1" cm="1">
        <f t="array" ref="BO22">INDEX(Table_LL97SpaceLimits[],MATCH(BO$10,Table_LL97SpaceLimits[Property Type],0),MATCH(Table_LimitsCalc_Sample1[[#This Row],[Year]],VALUE(Table_LL97SpaceLimits[#Headers]),0))</f>
        <v>7.7494139999999996E-3</v>
      </c>
      <c r="BP22" s="1" cm="1">
        <f t="array" ref="BP22">INDEX(Table_LL97SpaceLimits[],MATCH(BP$10,Table_LL97SpaceLimits[Property Type],0),MATCH(Table_LimitsCalc_Sample1[[#This Row],[Year]],VALUE(Table_LL97SpaceLimits[#Headers]),0))</f>
        <v>2.1044900000000001E-3</v>
      </c>
      <c r="BQ22" s="1" t="e" cm="1">
        <f t="array" ref="BQ22">INDEX(Table_LL97SpaceLimits[],MATCH(BQ$10,Table_LL97SpaceLimits[Property Type],0),MATCH(Table_LimitsCalc_Sample1[[#This Row],[Year]],VALUE(Table_LL97SpaceLimits[#Headers]),0))</f>
        <v>#N/A</v>
      </c>
      <c r="BR22" s="1" t="e" cm="1">
        <f t="array" ref="BR22">INDEX(Table_LL97SpaceLimits[],MATCH(BR$10,Table_LL97SpaceLimits[Property Type],0),MATCH(Table_LimitsCalc_Sample1[[#This Row],[Year]],VALUE(Table_LL97SpaceLimits[#Headers]),0))</f>
        <v>#N/A</v>
      </c>
      <c r="BS22" s="1" t="e" cm="1">
        <f t="array" ref="BS22">INDEX(Table_LL97SpaceLimits[],MATCH(BS$10,Table_LL97SpaceLimits[Property Type],0),MATCH(Table_LimitsCalc_Sample1[[#This Row],[Year]],VALUE(Table_LL97SpaceLimits[#Headers]),0))</f>
        <v>#N/A</v>
      </c>
      <c r="BT22" s="54">
        <f>Table_LimitsCalc_Sample1[[#This Row],[Space 1 Limit Intensity]]*BL$9</f>
        <v>185.06919200000002</v>
      </c>
      <c r="BU22" s="1">
        <f>Table_LimitsCalc_Sample1[[#This Row],[Space 2 Limit Intensity]]*BM$9</f>
        <v>3.0591499999999998</v>
      </c>
      <c r="BV22" s="1">
        <f>Table_LimitsCalc_Sample1[[#This Row],[Space 3 Limit Intensity]]*BN$9</f>
        <v>0.428842</v>
      </c>
      <c r="BW22" s="1">
        <f>Table_LimitsCalc_Sample1[[#This Row],[Space 4 Limit Intensity]]*BO$9</f>
        <v>6.1995312</v>
      </c>
      <c r="BX22" s="1">
        <f>Table_LimitsCalc_Sample1[[#This Row],[Space 5 Limit Intensity]]*BP$9</f>
        <v>1.3679185</v>
      </c>
      <c r="BY22" s="1" t="e">
        <f>Table_LimitsCalc_Sample1[[#This Row],[Space 6 Limit Intensity]]*BQ$9</f>
        <v>#N/A</v>
      </c>
      <c r="BZ22" s="1" t="e">
        <f>Table_LimitsCalc_Sample1[[#This Row],[Space 6 Limit Intensity]]*BR$9</f>
        <v>#N/A</v>
      </c>
      <c r="CA22" s="1" t="e">
        <f>Table_LimitsCalc_Sample1[[#This Row],[Space 6 Limit Intensity]]*BS$9</f>
        <v>#N/A</v>
      </c>
      <c r="CB22" s="84">
        <f>_xlfn.AGGREGATE(9,6,Table_LimitsCalc_Sample1[[#This Row],[Space 1 Limit (tCO2e)]:[Space 6 Limit (tCO2e)]])</f>
        <v>196.1246337</v>
      </c>
      <c r="CD22"/>
      <c r="CE22"/>
      <c r="CF22"/>
      <c r="CG22"/>
      <c r="CH22"/>
      <c r="CI22"/>
      <c r="CJ22"/>
      <c r="CK22"/>
      <c r="CL22"/>
      <c r="CM22"/>
      <c r="CN22"/>
      <c r="CO22"/>
      <c r="CP22"/>
      <c r="CQ22"/>
      <c r="CR22"/>
      <c r="CS22"/>
      <c r="CT22"/>
    </row>
    <row r="23" spans="2:98">
      <c r="C23" s="76" t="s">
        <v>259</v>
      </c>
      <c r="D23"/>
      <c r="E23"/>
      <c r="M23" s="35" t="s">
        <v>260</v>
      </c>
      <c r="N23" s="36">
        <v>8.4600000000000005E-3</v>
      </c>
      <c r="O23" s="36">
        <f>Table_LL97SpaceLimits[[#This Row],[2024]]</f>
        <v>8.4600000000000005E-3</v>
      </c>
      <c r="P23" s="36">
        <f>Table_LL97SpaceLimits[[#This Row],[2025]]</f>
        <v>8.4600000000000005E-3</v>
      </c>
      <c r="Q23" s="36">
        <f>Table_LL97SpaceLimits[[#This Row],[2026]]</f>
        <v>8.4600000000000005E-3</v>
      </c>
      <c r="R23" s="36">
        <f>Table_LL97SpaceLimits[[#This Row],[2027]]</f>
        <v>8.4600000000000005E-3</v>
      </c>
      <c r="S23" s="36">
        <f>Table_LL97SpaceLimits[[#This Row],[2028]]</f>
        <v>8.4600000000000005E-3</v>
      </c>
      <c r="T23" s="37">
        <v>3.6970039999999998E-3</v>
      </c>
      <c r="U23" s="37">
        <f>Table_LL97SpaceLimits[[#This Row],[2030]]</f>
        <v>3.6970039999999998E-3</v>
      </c>
      <c r="V23" s="37">
        <f>Table_LL97SpaceLimits[[#This Row],[2031]]</f>
        <v>3.6970039999999998E-3</v>
      </c>
      <c r="W23" s="37">
        <f>Table_LL97SpaceLimits[[#This Row],[2032]]</f>
        <v>3.6970039999999998E-3</v>
      </c>
      <c r="X23" s="37">
        <f>Table_LL97SpaceLimits[[#This Row],[2033]]</f>
        <v>3.6970039999999998E-3</v>
      </c>
      <c r="Y23" s="38">
        <v>2.7727530000000002E-3</v>
      </c>
      <c r="Z23" s="38">
        <f>Table_LL97SpaceLimits[[#This Row],[2035]]</f>
        <v>2.7727530000000002E-3</v>
      </c>
      <c r="AA23" s="38">
        <f>Table_LL97SpaceLimits[[#This Row],[2036]]</f>
        <v>2.7727530000000002E-3</v>
      </c>
      <c r="AB23" s="38">
        <f>Table_LL97SpaceLimits[[#This Row],[2037]]</f>
        <v>2.7727530000000002E-3</v>
      </c>
      <c r="AC23" s="38">
        <f>Table_LL97SpaceLimits[[#This Row],[2038]]</f>
        <v>2.7727530000000002E-3</v>
      </c>
      <c r="AD23" s="39">
        <v>1.8485019999999999E-3</v>
      </c>
      <c r="AE23" s="50">
        <f>Table_LL97SpaceLimits[[#This Row],[2040]]</f>
        <v>1.8485019999999999E-3</v>
      </c>
      <c r="AF23" s="50">
        <f>Table_LL97SpaceLimits[[#This Row],[2041]]</f>
        <v>1.8485019999999999E-3</v>
      </c>
      <c r="AG23" s="50">
        <f>Table_LL97SpaceLimits[[#This Row],[2042]]</f>
        <v>1.8485019999999999E-3</v>
      </c>
      <c r="AH23" s="50">
        <f>Table_LL97SpaceLimits[[#This Row],[2043]]</f>
        <v>1.8485019999999999E-3</v>
      </c>
      <c r="AI23" s="50">
        <f>Table_LL97SpaceLimits[[#This Row],[2044]]</f>
        <v>1.8485019999999999E-3</v>
      </c>
      <c r="AJ23" s="50">
        <f>Table_LL97SpaceLimits[[#This Row],[2045]]</f>
        <v>1.8485019999999999E-3</v>
      </c>
      <c r="AK23" s="50">
        <f>Table_LL97SpaceLimits[[#This Row],[2046]]</f>
        <v>1.8485019999999999E-3</v>
      </c>
      <c r="AL23" s="50">
        <f>Table_LL97SpaceLimits[[#This Row],[2047]]</f>
        <v>1.8485019999999999E-3</v>
      </c>
      <c r="AM23" s="50">
        <f>Table_LL97SpaceLimits[[#This Row],[2048]]</f>
        <v>1.8485019999999999E-3</v>
      </c>
      <c r="AN23" s="40">
        <v>0</v>
      </c>
      <c r="AQ23" s="5">
        <v>2035</v>
      </c>
      <c r="AR23" s="1" cm="1">
        <f t="array" ref="AR23">INDEX(Table_LL97SpaceLimits[],MATCH(AR$10,Table_LL97SpaceLimits[Property Type],0),MATCH(Table_LimitsCalc_Calculator[[#This Row],[Year]],VALUE(Table_LL97SpaceLimits[#Headers]),0))</f>
        <v>2.6921829999999999E-3</v>
      </c>
      <c r="AS23" s="1" t="e" cm="1">
        <f t="array" ref="AS23">INDEX(Table_LL97SpaceLimits[],MATCH(AS$10,Table_LL97SpaceLimits[Property Type],0),MATCH(Table_LimitsCalc_Calculator[[#This Row],[Year]],VALUE(Table_LL97SpaceLimits[#Headers]),0))</f>
        <v>#N/A</v>
      </c>
      <c r="AT23" s="1" t="e" cm="1">
        <f t="array" ref="AT23">INDEX(Table_LL97SpaceLimits[],MATCH(AT$10,Table_LL97SpaceLimits[Property Type],0),MATCH(Table_LimitsCalc_Calculator[[#This Row],[Year]],VALUE(Table_LL97SpaceLimits[#Headers]),0))</f>
        <v>#N/A</v>
      </c>
      <c r="AU23" s="1" t="e" cm="1">
        <f t="array" ref="AU23">INDEX(Table_LL97SpaceLimits[],MATCH(AU$10,Table_LL97SpaceLimits[Property Type],0),MATCH(Table_LimitsCalc_Calculator[[#This Row],[Year]],VALUE(Table_LL97SpaceLimits[#Headers]),0))</f>
        <v>#N/A</v>
      </c>
      <c r="AV23" s="1" t="e" cm="1">
        <f t="array" ref="AV23">INDEX(Table_LL97SpaceLimits[],MATCH(AV$10,Table_LL97SpaceLimits[Property Type],0),MATCH(Table_LimitsCalc_Calculator[[#This Row],[Year]],VALUE(Table_LL97SpaceLimits[#Headers]),0))</f>
        <v>#N/A</v>
      </c>
      <c r="AW23" s="1" t="e" cm="1">
        <f t="array" ref="AW23">INDEX(Table_LL97SpaceLimits[],MATCH(AW$10,Table_LL97SpaceLimits[Property Type],0),MATCH(Table_LimitsCalc_Calculator[[#This Row],[Year]],VALUE(Table_LL97SpaceLimits[#Headers]),0))</f>
        <v>#N/A</v>
      </c>
      <c r="AX23" s="1" t="e" cm="1">
        <f t="array" ref="AX23">INDEX(Table_LL97SpaceLimits[],MATCH(AX$10,Table_LL97SpaceLimits[Property Type],0),MATCH(Table_LimitsCalc_Calculator[[#This Row],[Year]],VALUE(Table_LL97SpaceLimits[#Headers]),0))</f>
        <v>#N/A</v>
      </c>
      <c r="AY23" s="1" t="e" cm="1">
        <f t="array" ref="AY23">INDEX(Table_LL97SpaceLimits[],MATCH(AY$10,Table_LL97SpaceLimits[Property Type],0),MATCH(Table_LimitsCalc_Calculator[[#This Row],[Year]],VALUE(Table_LL97SpaceLimits[#Headers]),0))</f>
        <v>#N/A</v>
      </c>
      <c r="AZ23" s="54">
        <f>Table_LimitsCalc_Calculator[[#This Row],[Space 1 Limit Intensity]]*AR$9</f>
        <v>0</v>
      </c>
      <c r="BA23" s="1" t="e">
        <f>Table_LimitsCalc_Calculator[[#This Row],[Space 2 Limit Intensity]]*AS$9</f>
        <v>#N/A</v>
      </c>
      <c r="BB23" s="1" t="e">
        <f>Table_LimitsCalc_Calculator[[#This Row],[Space 3 Limit Intensity]]*AT$9</f>
        <v>#N/A</v>
      </c>
      <c r="BC23" s="1" t="e">
        <f>Table_LimitsCalc_Calculator[[#This Row],[Space 4 Limit Intensity]]*AU$9</f>
        <v>#N/A</v>
      </c>
      <c r="BD23" s="1" t="e">
        <f>Table_LimitsCalc_Calculator[[#This Row],[Space 5 Limit Intensity]]*AV$9</f>
        <v>#N/A</v>
      </c>
      <c r="BE23" s="1" t="e">
        <f>Table_LimitsCalc_Calculator[[#This Row],[Space 6 Limit Intensity]]*AW$9</f>
        <v>#N/A</v>
      </c>
      <c r="BF23" s="1" t="e">
        <f>Table_LimitsCalc_Calculator[[#This Row],[Space 7 Limit Intensity]]*AX$9</f>
        <v>#N/A</v>
      </c>
      <c r="BG23" s="1" t="e">
        <f>Table_LimitsCalc_Calculator[[#This Row],[Space 8 Limit Intensity]]*AY$9</f>
        <v>#N/A</v>
      </c>
      <c r="BH23" s="84">
        <f>_xlfn.AGGREGATE(9,6,Table_LimitsCalc_Calculator[[#This Row],[Space 1 Limit (tCO2e)]:[Space 8 Limit (tCO2e)]])</f>
        <v>0</v>
      </c>
      <c r="BK23" s="5">
        <v>2035</v>
      </c>
      <c r="BL23" s="1" cm="1">
        <f t="array" ref="BL23">INDEX(Table_LL97SpaceLimits[],MATCH(BL$10,Table_LL97SpaceLimits[Property Type],0),MATCH(Table_LimitsCalc_Sample1[[#This Row],[Year]],VALUE(Table_LL97SpaceLimits[#Headers]),0))</f>
        <v>2.6921829999999999E-3</v>
      </c>
      <c r="BM23" s="1" cm="1">
        <f t="array" ref="BM23">INDEX(Table_LL97SpaceLimits[],MATCH(BM$10,Table_LL97SpaceLimits[Property Type],0),MATCH(Table_LimitsCalc_Sample1[[#This Row],[Year]],VALUE(Table_LL97SpaceLimits[#Headers]),0))</f>
        <v>4.0490099999999999E-4</v>
      </c>
      <c r="BN23" s="1" cm="1">
        <f t="array" ref="BN23">INDEX(Table_LL97SpaceLimits[],MATCH(BN$10,Table_LL97SpaceLimits[Property Type],0),MATCH(Table_LimitsCalc_Sample1[[#This Row],[Year]],VALUE(Table_LL97SpaceLimits[#Headers]),0))</f>
        <v>1.04943E-4</v>
      </c>
      <c r="BO23" s="1" cm="1">
        <f t="array" ref="BO23">INDEX(Table_LL97SpaceLimits[],MATCH(BO$10,Table_LL97SpaceLimits[Property Type],0),MATCH(Table_LimitsCalc_Sample1[[#This Row],[Year]],VALUE(Table_LL97SpaceLimits[#Headers]),0))</f>
        <v>5.81206E-3</v>
      </c>
      <c r="BP23" s="1" cm="1">
        <f t="array" ref="BP23">INDEX(Table_LL97SpaceLimits[],MATCH(BP$10,Table_LL97SpaceLimits[Property Type],0),MATCH(Table_LimitsCalc_Sample1[[#This Row],[Year]],VALUE(Table_LL97SpaceLimits[#Headers]),0))</f>
        <v>1.21605E-3</v>
      </c>
      <c r="BQ23" s="1" t="e" cm="1">
        <f t="array" ref="BQ23">INDEX(Table_LL97SpaceLimits[],MATCH(BQ$10,Table_LL97SpaceLimits[Property Type],0),MATCH(Table_LimitsCalc_Sample1[[#This Row],[Year]],VALUE(Table_LL97SpaceLimits[#Headers]),0))</f>
        <v>#N/A</v>
      </c>
      <c r="BR23" s="1" t="e" cm="1">
        <f t="array" ref="BR23">INDEX(Table_LL97SpaceLimits[],MATCH(BR$10,Table_LL97SpaceLimits[Property Type],0),MATCH(Table_LimitsCalc_Sample1[[#This Row],[Year]],VALUE(Table_LL97SpaceLimits[#Headers]),0))</f>
        <v>#N/A</v>
      </c>
      <c r="BS23" s="1" t="e" cm="1">
        <f t="array" ref="BS23">INDEX(Table_LL97SpaceLimits[],MATCH(BS$10,Table_LL97SpaceLimits[Property Type],0),MATCH(Table_LimitsCalc_Sample1[[#This Row],[Year]],VALUE(Table_LL97SpaceLimits[#Headers]),0))</f>
        <v>#N/A</v>
      </c>
      <c r="BT23" s="54">
        <f>Table_LimitsCalc_Sample1[[#This Row],[Space 1 Limit Intensity]]*BL$9</f>
        <v>148.87771989999999</v>
      </c>
      <c r="BU23" s="1">
        <f>Table_LimitsCalc_Sample1[[#This Row],[Space 2 Limit Intensity]]*BM$9</f>
        <v>2.024505</v>
      </c>
      <c r="BV23" s="1">
        <f>Table_LimitsCalc_Sample1[[#This Row],[Space 3 Limit Intensity]]*BN$9</f>
        <v>0.20988599999999999</v>
      </c>
      <c r="BW23" s="1">
        <f>Table_LimitsCalc_Sample1[[#This Row],[Space 4 Limit Intensity]]*BO$9</f>
        <v>4.649648</v>
      </c>
      <c r="BX23" s="1">
        <f>Table_LimitsCalc_Sample1[[#This Row],[Space 5 Limit Intensity]]*BP$9</f>
        <v>0.79043249999999998</v>
      </c>
      <c r="BY23" s="1" t="e">
        <f>Table_LimitsCalc_Sample1[[#This Row],[Space 6 Limit Intensity]]*BQ$9</f>
        <v>#N/A</v>
      </c>
      <c r="BZ23" s="1" t="e">
        <f>Table_LimitsCalc_Sample1[[#This Row],[Space 6 Limit Intensity]]*BR$9</f>
        <v>#N/A</v>
      </c>
      <c r="CA23" s="1" t="e">
        <f>Table_LimitsCalc_Sample1[[#This Row],[Space 6 Limit Intensity]]*BS$9</f>
        <v>#N/A</v>
      </c>
      <c r="CB23" s="84">
        <f>_xlfn.AGGREGATE(9,6,Table_LimitsCalc_Sample1[[#This Row],[Space 1 Limit (tCO2e)]:[Space 6 Limit (tCO2e)]])</f>
        <v>156.55219140000003</v>
      </c>
      <c r="CD23"/>
      <c r="CE23"/>
      <c r="CF23"/>
      <c r="CG23"/>
      <c r="CH23"/>
      <c r="CI23"/>
      <c r="CJ23"/>
      <c r="CK23"/>
      <c r="CL23"/>
      <c r="CM23"/>
      <c r="CN23"/>
      <c r="CO23"/>
      <c r="CP23"/>
      <c r="CQ23"/>
      <c r="CR23"/>
      <c r="CS23"/>
      <c r="CT23"/>
    </row>
    <row r="24" spans="2:98">
      <c r="C24" s="76" t="s">
        <v>261</v>
      </c>
      <c r="D24"/>
      <c r="E24"/>
      <c r="M24" s="35" t="s">
        <v>262</v>
      </c>
      <c r="N24" s="36">
        <v>9.8700000000000003E-3</v>
      </c>
      <c r="O24" s="36">
        <f>Table_LL97SpaceLimits[[#This Row],[2024]]</f>
        <v>9.8700000000000003E-3</v>
      </c>
      <c r="P24" s="36">
        <f>Table_LL97SpaceLimits[[#This Row],[2025]]</f>
        <v>9.8700000000000003E-3</v>
      </c>
      <c r="Q24" s="36">
        <f>Table_LL97SpaceLimits[[#This Row],[2026]]</f>
        <v>9.8700000000000003E-3</v>
      </c>
      <c r="R24" s="36">
        <f>Table_LL97SpaceLimits[[#This Row],[2027]]</f>
        <v>9.8700000000000003E-3</v>
      </c>
      <c r="S24" s="36">
        <f>Table_LL97SpaceLimits[[#This Row],[2028]]</f>
        <v>9.8700000000000003E-3</v>
      </c>
      <c r="T24" s="37">
        <v>3.946728E-3</v>
      </c>
      <c r="U24" s="37">
        <f>Table_LL97SpaceLimits[[#This Row],[2030]]</f>
        <v>3.946728E-3</v>
      </c>
      <c r="V24" s="37">
        <f>Table_LL97SpaceLimits[[#This Row],[2031]]</f>
        <v>3.946728E-3</v>
      </c>
      <c r="W24" s="37">
        <f>Table_LL97SpaceLimits[[#This Row],[2032]]</f>
        <v>3.946728E-3</v>
      </c>
      <c r="X24" s="37">
        <f>Table_LL97SpaceLimits[[#This Row],[2033]]</f>
        <v>3.946728E-3</v>
      </c>
      <c r="Y24" s="38">
        <v>2.960046E-3</v>
      </c>
      <c r="Z24" s="38">
        <f>Table_LL97SpaceLimits[[#This Row],[2035]]</f>
        <v>2.960046E-3</v>
      </c>
      <c r="AA24" s="38">
        <f>Table_LL97SpaceLimits[[#This Row],[2036]]</f>
        <v>2.960046E-3</v>
      </c>
      <c r="AB24" s="38">
        <f>Table_LL97SpaceLimits[[#This Row],[2037]]</f>
        <v>2.960046E-3</v>
      </c>
      <c r="AC24" s="38">
        <f>Table_LL97SpaceLimits[[#This Row],[2038]]</f>
        <v>2.960046E-3</v>
      </c>
      <c r="AD24" s="39">
        <v>1.973364E-3</v>
      </c>
      <c r="AE24" s="50">
        <f>Table_LL97SpaceLimits[[#This Row],[2040]]</f>
        <v>1.973364E-3</v>
      </c>
      <c r="AF24" s="50">
        <f>Table_LL97SpaceLimits[[#This Row],[2041]]</f>
        <v>1.973364E-3</v>
      </c>
      <c r="AG24" s="50">
        <f>Table_LL97SpaceLimits[[#This Row],[2042]]</f>
        <v>1.973364E-3</v>
      </c>
      <c r="AH24" s="50">
        <f>Table_LL97SpaceLimits[[#This Row],[2043]]</f>
        <v>1.973364E-3</v>
      </c>
      <c r="AI24" s="50">
        <f>Table_LL97SpaceLimits[[#This Row],[2044]]</f>
        <v>1.973364E-3</v>
      </c>
      <c r="AJ24" s="50">
        <f>Table_LL97SpaceLimits[[#This Row],[2045]]</f>
        <v>1.973364E-3</v>
      </c>
      <c r="AK24" s="50">
        <f>Table_LL97SpaceLimits[[#This Row],[2046]]</f>
        <v>1.973364E-3</v>
      </c>
      <c r="AL24" s="50">
        <f>Table_LL97SpaceLimits[[#This Row],[2047]]</f>
        <v>1.973364E-3</v>
      </c>
      <c r="AM24" s="50">
        <f>Table_LL97SpaceLimits[[#This Row],[2048]]</f>
        <v>1.973364E-3</v>
      </c>
      <c r="AN24" s="40">
        <v>0</v>
      </c>
      <c r="AQ24" s="5">
        <v>2036</v>
      </c>
      <c r="AR24" s="1" cm="1">
        <f t="array" ref="AR24">INDEX(Table_LL97SpaceLimits[],MATCH(AR$10,Table_LL97SpaceLimits[Property Type],0),MATCH(Table_LimitsCalc_Calculator[[#This Row],[Year]],VALUE(Table_LL97SpaceLimits[#Headers]),0))</f>
        <v>2.6921829999999999E-3</v>
      </c>
      <c r="AS24" s="1" t="e" cm="1">
        <f t="array" ref="AS24">INDEX(Table_LL97SpaceLimits[],MATCH(AS$10,Table_LL97SpaceLimits[Property Type],0),MATCH(Table_LimitsCalc_Calculator[[#This Row],[Year]],VALUE(Table_LL97SpaceLimits[#Headers]),0))</f>
        <v>#N/A</v>
      </c>
      <c r="AT24" s="1" t="e" cm="1">
        <f t="array" ref="AT24">INDEX(Table_LL97SpaceLimits[],MATCH(AT$10,Table_LL97SpaceLimits[Property Type],0),MATCH(Table_LimitsCalc_Calculator[[#This Row],[Year]],VALUE(Table_LL97SpaceLimits[#Headers]),0))</f>
        <v>#N/A</v>
      </c>
      <c r="AU24" s="1" t="e" cm="1">
        <f t="array" ref="AU24">INDEX(Table_LL97SpaceLimits[],MATCH(AU$10,Table_LL97SpaceLimits[Property Type],0),MATCH(Table_LimitsCalc_Calculator[[#This Row],[Year]],VALUE(Table_LL97SpaceLimits[#Headers]),0))</f>
        <v>#N/A</v>
      </c>
      <c r="AV24" s="1" t="e" cm="1">
        <f t="array" ref="AV24">INDEX(Table_LL97SpaceLimits[],MATCH(AV$10,Table_LL97SpaceLimits[Property Type],0),MATCH(Table_LimitsCalc_Calculator[[#This Row],[Year]],VALUE(Table_LL97SpaceLimits[#Headers]),0))</f>
        <v>#N/A</v>
      </c>
      <c r="AW24" s="1" t="e" cm="1">
        <f t="array" ref="AW24">INDEX(Table_LL97SpaceLimits[],MATCH(AW$10,Table_LL97SpaceLimits[Property Type],0),MATCH(Table_LimitsCalc_Calculator[[#This Row],[Year]],VALUE(Table_LL97SpaceLimits[#Headers]),0))</f>
        <v>#N/A</v>
      </c>
      <c r="AX24" s="1" t="e" cm="1">
        <f t="array" ref="AX24">INDEX(Table_LL97SpaceLimits[],MATCH(AX$10,Table_LL97SpaceLimits[Property Type],0),MATCH(Table_LimitsCalc_Calculator[[#This Row],[Year]],VALUE(Table_LL97SpaceLimits[#Headers]),0))</f>
        <v>#N/A</v>
      </c>
      <c r="AY24" s="1" t="e" cm="1">
        <f t="array" ref="AY24">INDEX(Table_LL97SpaceLimits[],MATCH(AY$10,Table_LL97SpaceLimits[Property Type],0),MATCH(Table_LimitsCalc_Calculator[[#This Row],[Year]],VALUE(Table_LL97SpaceLimits[#Headers]),0))</f>
        <v>#N/A</v>
      </c>
      <c r="AZ24" s="54">
        <f>Table_LimitsCalc_Calculator[[#This Row],[Space 1 Limit Intensity]]*AR$9</f>
        <v>0</v>
      </c>
      <c r="BA24" s="1" t="e">
        <f>Table_LimitsCalc_Calculator[[#This Row],[Space 2 Limit Intensity]]*AS$9</f>
        <v>#N/A</v>
      </c>
      <c r="BB24" s="1" t="e">
        <f>Table_LimitsCalc_Calculator[[#This Row],[Space 3 Limit Intensity]]*AT$9</f>
        <v>#N/A</v>
      </c>
      <c r="BC24" s="1" t="e">
        <f>Table_LimitsCalc_Calculator[[#This Row],[Space 4 Limit Intensity]]*AU$9</f>
        <v>#N/A</v>
      </c>
      <c r="BD24" s="1" t="e">
        <f>Table_LimitsCalc_Calculator[[#This Row],[Space 5 Limit Intensity]]*AV$9</f>
        <v>#N/A</v>
      </c>
      <c r="BE24" s="1" t="e">
        <f>Table_LimitsCalc_Calculator[[#This Row],[Space 6 Limit Intensity]]*AW$9</f>
        <v>#N/A</v>
      </c>
      <c r="BF24" s="1" t="e">
        <f>Table_LimitsCalc_Calculator[[#This Row],[Space 7 Limit Intensity]]*AX$9</f>
        <v>#N/A</v>
      </c>
      <c r="BG24" s="1" t="e">
        <f>Table_LimitsCalc_Calculator[[#This Row],[Space 8 Limit Intensity]]*AY$9</f>
        <v>#N/A</v>
      </c>
      <c r="BH24" s="84">
        <f>_xlfn.AGGREGATE(9,6,Table_LimitsCalc_Calculator[[#This Row],[Space 1 Limit (tCO2e)]:[Space 8 Limit (tCO2e)]])</f>
        <v>0</v>
      </c>
      <c r="BK24" s="5">
        <v>2036</v>
      </c>
      <c r="BL24" s="1" cm="1">
        <f t="array" ref="BL24">INDEX(Table_LL97SpaceLimits[],MATCH(BL$10,Table_LL97SpaceLimits[Property Type],0),MATCH(Table_LimitsCalc_Sample1[[#This Row],[Year]],VALUE(Table_LL97SpaceLimits[#Headers]),0))</f>
        <v>2.6921829999999999E-3</v>
      </c>
      <c r="BM24" s="1" cm="1">
        <f t="array" ref="BM24">INDEX(Table_LL97SpaceLimits[],MATCH(BM$10,Table_LL97SpaceLimits[Property Type],0),MATCH(Table_LimitsCalc_Sample1[[#This Row],[Year]],VALUE(Table_LL97SpaceLimits[#Headers]),0))</f>
        <v>4.0490099999999999E-4</v>
      </c>
      <c r="BN24" s="1" cm="1">
        <f t="array" ref="BN24">INDEX(Table_LL97SpaceLimits[],MATCH(BN$10,Table_LL97SpaceLimits[Property Type],0),MATCH(Table_LimitsCalc_Sample1[[#This Row],[Year]],VALUE(Table_LL97SpaceLimits[#Headers]),0))</f>
        <v>1.04943E-4</v>
      </c>
      <c r="BO24" s="1" cm="1">
        <f t="array" ref="BO24">INDEX(Table_LL97SpaceLimits[],MATCH(BO$10,Table_LL97SpaceLimits[Property Type],0),MATCH(Table_LimitsCalc_Sample1[[#This Row],[Year]],VALUE(Table_LL97SpaceLimits[#Headers]),0))</f>
        <v>5.81206E-3</v>
      </c>
      <c r="BP24" s="1" cm="1">
        <f t="array" ref="BP24">INDEX(Table_LL97SpaceLimits[],MATCH(BP$10,Table_LL97SpaceLimits[Property Type],0),MATCH(Table_LimitsCalc_Sample1[[#This Row],[Year]],VALUE(Table_LL97SpaceLimits[#Headers]),0))</f>
        <v>1.21605E-3</v>
      </c>
      <c r="BQ24" s="1" t="e" cm="1">
        <f t="array" ref="BQ24">INDEX(Table_LL97SpaceLimits[],MATCH(BQ$10,Table_LL97SpaceLimits[Property Type],0),MATCH(Table_LimitsCalc_Sample1[[#This Row],[Year]],VALUE(Table_LL97SpaceLimits[#Headers]),0))</f>
        <v>#N/A</v>
      </c>
      <c r="BR24" s="1" t="e" cm="1">
        <f t="array" ref="BR24">INDEX(Table_LL97SpaceLimits[],MATCH(BR$10,Table_LL97SpaceLimits[Property Type],0),MATCH(Table_LimitsCalc_Sample1[[#This Row],[Year]],VALUE(Table_LL97SpaceLimits[#Headers]),0))</f>
        <v>#N/A</v>
      </c>
      <c r="BS24" s="1" t="e" cm="1">
        <f t="array" ref="BS24">INDEX(Table_LL97SpaceLimits[],MATCH(BS$10,Table_LL97SpaceLimits[Property Type],0),MATCH(Table_LimitsCalc_Sample1[[#This Row],[Year]],VALUE(Table_LL97SpaceLimits[#Headers]),0))</f>
        <v>#N/A</v>
      </c>
      <c r="BT24" s="54">
        <f>Table_LimitsCalc_Sample1[[#This Row],[Space 1 Limit Intensity]]*BL$9</f>
        <v>148.87771989999999</v>
      </c>
      <c r="BU24" s="1">
        <f>Table_LimitsCalc_Sample1[[#This Row],[Space 2 Limit Intensity]]*BM$9</f>
        <v>2.024505</v>
      </c>
      <c r="BV24" s="1">
        <f>Table_LimitsCalc_Sample1[[#This Row],[Space 3 Limit Intensity]]*BN$9</f>
        <v>0.20988599999999999</v>
      </c>
      <c r="BW24" s="1">
        <f>Table_LimitsCalc_Sample1[[#This Row],[Space 4 Limit Intensity]]*BO$9</f>
        <v>4.649648</v>
      </c>
      <c r="BX24" s="1">
        <f>Table_LimitsCalc_Sample1[[#This Row],[Space 5 Limit Intensity]]*BP$9</f>
        <v>0.79043249999999998</v>
      </c>
      <c r="BY24" s="1" t="e">
        <f>Table_LimitsCalc_Sample1[[#This Row],[Space 6 Limit Intensity]]*BQ$9</f>
        <v>#N/A</v>
      </c>
      <c r="BZ24" s="1" t="e">
        <f>Table_LimitsCalc_Sample1[[#This Row],[Space 6 Limit Intensity]]*BR$9</f>
        <v>#N/A</v>
      </c>
      <c r="CA24" s="1" t="e">
        <f>Table_LimitsCalc_Sample1[[#This Row],[Space 6 Limit Intensity]]*BS$9</f>
        <v>#N/A</v>
      </c>
      <c r="CB24" s="84">
        <f>_xlfn.AGGREGATE(9,6,Table_LimitsCalc_Sample1[[#This Row],[Space 1 Limit (tCO2e)]:[Space 6 Limit (tCO2e)]])</f>
        <v>156.55219140000003</v>
      </c>
      <c r="CD24"/>
      <c r="CE24"/>
      <c r="CF24"/>
      <c r="CG24"/>
      <c r="CH24"/>
      <c r="CI24"/>
      <c r="CJ24"/>
      <c r="CK24"/>
      <c r="CL24"/>
      <c r="CM24"/>
      <c r="CN24"/>
      <c r="CO24"/>
      <c r="CP24"/>
      <c r="CQ24"/>
      <c r="CR24"/>
      <c r="CS24"/>
      <c r="CT24"/>
    </row>
    <row r="25" spans="2:98">
      <c r="C25" s="76" t="s">
        <v>263</v>
      </c>
      <c r="D25"/>
      <c r="E25"/>
      <c r="M25" s="35" t="s">
        <v>264</v>
      </c>
      <c r="N25" s="36">
        <v>1.1809999999999999E-2</v>
      </c>
      <c r="O25" s="36">
        <f>Table_LL97SpaceLimits[[#This Row],[2024]]</f>
        <v>1.1809999999999999E-2</v>
      </c>
      <c r="P25" s="36">
        <f>Table_LL97SpaceLimits[[#This Row],[2025]]</f>
        <v>1.1809999999999999E-2</v>
      </c>
      <c r="Q25" s="36">
        <f>Table_LL97SpaceLimits[[#This Row],[2026]]</f>
        <v>1.1809999999999999E-2</v>
      </c>
      <c r="R25" s="36">
        <f>Table_LL97SpaceLimits[[#This Row],[2027]]</f>
        <v>1.1809999999999999E-2</v>
      </c>
      <c r="S25" s="36">
        <f>Table_LL97SpaceLimits[[#This Row],[2028]]</f>
        <v>1.1809999999999999E-2</v>
      </c>
      <c r="T25" s="37">
        <v>5.2088799999999999E-3</v>
      </c>
      <c r="U25" s="37">
        <f>Table_LL97SpaceLimits[[#This Row],[2030]]</f>
        <v>5.2088799999999999E-3</v>
      </c>
      <c r="V25" s="37">
        <f>Table_LL97SpaceLimits[[#This Row],[2031]]</f>
        <v>5.2088799999999999E-3</v>
      </c>
      <c r="W25" s="37">
        <f>Table_LL97SpaceLimits[[#This Row],[2032]]</f>
        <v>5.2088799999999999E-3</v>
      </c>
      <c r="X25" s="37">
        <f>Table_LL97SpaceLimits[[#This Row],[2033]]</f>
        <v>5.2088799999999999E-3</v>
      </c>
      <c r="Y25" s="38">
        <v>3.9066600000000002E-3</v>
      </c>
      <c r="Z25" s="38">
        <f>Table_LL97SpaceLimits[[#This Row],[2035]]</f>
        <v>3.9066600000000002E-3</v>
      </c>
      <c r="AA25" s="38">
        <f>Table_LL97SpaceLimits[[#This Row],[2036]]</f>
        <v>3.9066600000000002E-3</v>
      </c>
      <c r="AB25" s="38">
        <f>Table_LL97SpaceLimits[[#This Row],[2037]]</f>
        <v>3.9066600000000002E-3</v>
      </c>
      <c r="AC25" s="38">
        <f>Table_LL97SpaceLimits[[#This Row],[2038]]</f>
        <v>3.9066600000000002E-3</v>
      </c>
      <c r="AD25" s="39">
        <v>2.60444E-3</v>
      </c>
      <c r="AE25" s="50">
        <f>Table_LL97SpaceLimits[[#This Row],[2040]]</f>
        <v>2.60444E-3</v>
      </c>
      <c r="AF25" s="50">
        <f>Table_LL97SpaceLimits[[#This Row],[2041]]</f>
        <v>2.60444E-3</v>
      </c>
      <c r="AG25" s="50">
        <f>Table_LL97SpaceLimits[[#This Row],[2042]]</f>
        <v>2.60444E-3</v>
      </c>
      <c r="AH25" s="50">
        <f>Table_LL97SpaceLimits[[#This Row],[2043]]</f>
        <v>2.60444E-3</v>
      </c>
      <c r="AI25" s="50">
        <f>Table_LL97SpaceLimits[[#This Row],[2044]]</f>
        <v>2.60444E-3</v>
      </c>
      <c r="AJ25" s="50">
        <f>Table_LL97SpaceLimits[[#This Row],[2045]]</f>
        <v>2.60444E-3</v>
      </c>
      <c r="AK25" s="50">
        <f>Table_LL97SpaceLimits[[#This Row],[2046]]</f>
        <v>2.60444E-3</v>
      </c>
      <c r="AL25" s="50">
        <f>Table_LL97SpaceLimits[[#This Row],[2047]]</f>
        <v>2.60444E-3</v>
      </c>
      <c r="AM25" s="50">
        <f>Table_LL97SpaceLimits[[#This Row],[2048]]</f>
        <v>2.60444E-3</v>
      </c>
      <c r="AN25" s="40">
        <v>0</v>
      </c>
      <c r="AQ25" s="5">
        <v>2037</v>
      </c>
      <c r="AR25" s="1" cm="1">
        <f t="array" ref="AR25">INDEX(Table_LL97SpaceLimits[],MATCH(AR$10,Table_LL97SpaceLimits[Property Type],0),MATCH(Table_LimitsCalc_Calculator[[#This Row],[Year]],VALUE(Table_LL97SpaceLimits[#Headers]),0))</f>
        <v>2.6921829999999999E-3</v>
      </c>
      <c r="AS25" s="1" t="e" cm="1">
        <f t="array" ref="AS25">INDEX(Table_LL97SpaceLimits[],MATCH(AS$10,Table_LL97SpaceLimits[Property Type],0),MATCH(Table_LimitsCalc_Calculator[[#This Row],[Year]],VALUE(Table_LL97SpaceLimits[#Headers]),0))</f>
        <v>#N/A</v>
      </c>
      <c r="AT25" s="1" t="e" cm="1">
        <f t="array" ref="AT25">INDEX(Table_LL97SpaceLimits[],MATCH(AT$10,Table_LL97SpaceLimits[Property Type],0),MATCH(Table_LimitsCalc_Calculator[[#This Row],[Year]],VALUE(Table_LL97SpaceLimits[#Headers]),0))</f>
        <v>#N/A</v>
      </c>
      <c r="AU25" s="1" t="e" cm="1">
        <f t="array" ref="AU25">INDEX(Table_LL97SpaceLimits[],MATCH(AU$10,Table_LL97SpaceLimits[Property Type],0),MATCH(Table_LimitsCalc_Calculator[[#This Row],[Year]],VALUE(Table_LL97SpaceLimits[#Headers]),0))</f>
        <v>#N/A</v>
      </c>
      <c r="AV25" s="1" t="e" cm="1">
        <f t="array" ref="AV25">INDEX(Table_LL97SpaceLimits[],MATCH(AV$10,Table_LL97SpaceLimits[Property Type],0),MATCH(Table_LimitsCalc_Calculator[[#This Row],[Year]],VALUE(Table_LL97SpaceLimits[#Headers]),0))</f>
        <v>#N/A</v>
      </c>
      <c r="AW25" s="1" t="e" cm="1">
        <f t="array" ref="AW25">INDEX(Table_LL97SpaceLimits[],MATCH(AW$10,Table_LL97SpaceLimits[Property Type],0),MATCH(Table_LimitsCalc_Calculator[[#This Row],[Year]],VALUE(Table_LL97SpaceLimits[#Headers]),0))</f>
        <v>#N/A</v>
      </c>
      <c r="AX25" s="1" t="e" cm="1">
        <f t="array" ref="AX25">INDEX(Table_LL97SpaceLimits[],MATCH(AX$10,Table_LL97SpaceLimits[Property Type],0),MATCH(Table_LimitsCalc_Calculator[[#This Row],[Year]],VALUE(Table_LL97SpaceLimits[#Headers]),0))</f>
        <v>#N/A</v>
      </c>
      <c r="AY25" s="1" t="e" cm="1">
        <f t="array" ref="AY25">INDEX(Table_LL97SpaceLimits[],MATCH(AY$10,Table_LL97SpaceLimits[Property Type],0),MATCH(Table_LimitsCalc_Calculator[[#This Row],[Year]],VALUE(Table_LL97SpaceLimits[#Headers]),0))</f>
        <v>#N/A</v>
      </c>
      <c r="AZ25" s="54">
        <f>Table_LimitsCalc_Calculator[[#This Row],[Space 1 Limit Intensity]]*AR$9</f>
        <v>0</v>
      </c>
      <c r="BA25" s="1" t="e">
        <f>Table_LimitsCalc_Calculator[[#This Row],[Space 2 Limit Intensity]]*AS$9</f>
        <v>#N/A</v>
      </c>
      <c r="BB25" s="1" t="e">
        <f>Table_LimitsCalc_Calculator[[#This Row],[Space 3 Limit Intensity]]*AT$9</f>
        <v>#N/A</v>
      </c>
      <c r="BC25" s="1" t="e">
        <f>Table_LimitsCalc_Calculator[[#This Row],[Space 4 Limit Intensity]]*AU$9</f>
        <v>#N/A</v>
      </c>
      <c r="BD25" s="1" t="e">
        <f>Table_LimitsCalc_Calculator[[#This Row],[Space 5 Limit Intensity]]*AV$9</f>
        <v>#N/A</v>
      </c>
      <c r="BE25" s="1" t="e">
        <f>Table_LimitsCalc_Calculator[[#This Row],[Space 6 Limit Intensity]]*AW$9</f>
        <v>#N/A</v>
      </c>
      <c r="BF25" s="1" t="e">
        <f>Table_LimitsCalc_Calculator[[#This Row],[Space 7 Limit Intensity]]*AX$9</f>
        <v>#N/A</v>
      </c>
      <c r="BG25" s="1" t="e">
        <f>Table_LimitsCalc_Calculator[[#This Row],[Space 8 Limit Intensity]]*AY$9</f>
        <v>#N/A</v>
      </c>
      <c r="BH25" s="84">
        <f>_xlfn.AGGREGATE(9,6,Table_LimitsCalc_Calculator[[#This Row],[Space 1 Limit (tCO2e)]:[Space 8 Limit (tCO2e)]])</f>
        <v>0</v>
      </c>
      <c r="BK25" s="5">
        <v>2037</v>
      </c>
      <c r="BL25" s="1" cm="1">
        <f t="array" ref="BL25">INDEX(Table_LL97SpaceLimits[],MATCH(BL$10,Table_LL97SpaceLimits[Property Type],0),MATCH(Table_LimitsCalc_Sample1[[#This Row],[Year]],VALUE(Table_LL97SpaceLimits[#Headers]),0))</f>
        <v>2.6921829999999999E-3</v>
      </c>
      <c r="BM25" s="1" cm="1">
        <f t="array" ref="BM25">INDEX(Table_LL97SpaceLimits[],MATCH(BM$10,Table_LL97SpaceLimits[Property Type],0),MATCH(Table_LimitsCalc_Sample1[[#This Row],[Year]],VALUE(Table_LL97SpaceLimits[#Headers]),0))</f>
        <v>4.0490099999999999E-4</v>
      </c>
      <c r="BN25" s="1" cm="1">
        <f t="array" ref="BN25">INDEX(Table_LL97SpaceLimits[],MATCH(BN$10,Table_LL97SpaceLimits[Property Type],0),MATCH(Table_LimitsCalc_Sample1[[#This Row],[Year]],VALUE(Table_LL97SpaceLimits[#Headers]),0))</f>
        <v>1.04943E-4</v>
      </c>
      <c r="BO25" s="1" cm="1">
        <f t="array" ref="BO25">INDEX(Table_LL97SpaceLimits[],MATCH(BO$10,Table_LL97SpaceLimits[Property Type],0),MATCH(Table_LimitsCalc_Sample1[[#This Row],[Year]],VALUE(Table_LL97SpaceLimits[#Headers]),0))</f>
        <v>5.81206E-3</v>
      </c>
      <c r="BP25" s="1" cm="1">
        <f t="array" ref="BP25">INDEX(Table_LL97SpaceLimits[],MATCH(BP$10,Table_LL97SpaceLimits[Property Type],0),MATCH(Table_LimitsCalc_Sample1[[#This Row],[Year]],VALUE(Table_LL97SpaceLimits[#Headers]),0))</f>
        <v>1.21605E-3</v>
      </c>
      <c r="BQ25" s="1" t="e" cm="1">
        <f t="array" ref="BQ25">INDEX(Table_LL97SpaceLimits[],MATCH(BQ$10,Table_LL97SpaceLimits[Property Type],0),MATCH(Table_LimitsCalc_Sample1[[#This Row],[Year]],VALUE(Table_LL97SpaceLimits[#Headers]),0))</f>
        <v>#N/A</v>
      </c>
      <c r="BR25" s="1" t="e" cm="1">
        <f t="array" ref="BR25">INDEX(Table_LL97SpaceLimits[],MATCH(BR$10,Table_LL97SpaceLimits[Property Type],0),MATCH(Table_LimitsCalc_Sample1[[#This Row],[Year]],VALUE(Table_LL97SpaceLimits[#Headers]),0))</f>
        <v>#N/A</v>
      </c>
      <c r="BS25" s="1" t="e" cm="1">
        <f t="array" ref="BS25">INDEX(Table_LL97SpaceLimits[],MATCH(BS$10,Table_LL97SpaceLimits[Property Type],0),MATCH(Table_LimitsCalc_Sample1[[#This Row],[Year]],VALUE(Table_LL97SpaceLimits[#Headers]),0))</f>
        <v>#N/A</v>
      </c>
      <c r="BT25" s="54">
        <f>Table_LimitsCalc_Sample1[[#This Row],[Space 1 Limit Intensity]]*BL$9</f>
        <v>148.87771989999999</v>
      </c>
      <c r="BU25" s="1">
        <f>Table_LimitsCalc_Sample1[[#This Row],[Space 2 Limit Intensity]]*BM$9</f>
        <v>2.024505</v>
      </c>
      <c r="BV25" s="1">
        <f>Table_LimitsCalc_Sample1[[#This Row],[Space 3 Limit Intensity]]*BN$9</f>
        <v>0.20988599999999999</v>
      </c>
      <c r="BW25" s="1">
        <f>Table_LimitsCalc_Sample1[[#This Row],[Space 4 Limit Intensity]]*BO$9</f>
        <v>4.649648</v>
      </c>
      <c r="BX25" s="1">
        <f>Table_LimitsCalc_Sample1[[#This Row],[Space 5 Limit Intensity]]*BP$9</f>
        <v>0.79043249999999998</v>
      </c>
      <c r="BY25" s="1" t="e">
        <f>Table_LimitsCalc_Sample1[[#This Row],[Space 6 Limit Intensity]]*BQ$9</f>
        <v>#N/A</v>
      </c>
      <c r="BZ25" s="1" t="e">
        <f>Table_LimitsCalc_Sample1[[#This Row],[Space 6 Limit Intensity]]*BR$9</f>
        <v>#N/A</v>
      </c>
      <c r="CA25" s="1" t="e">
        <f>Table_LimitsCalc_Sample1[[#This Row],[Space 6 Limit Intensity]]*BS$9</f>
        <v>#N/A</v>
      </c>
      <c r="CB25" s="84">
        <f>_xlfn.AGGREGATE(9,6,Table_LimitsCalc_Sample1[[#This Row],[Space 1 Limit (tCO2e)]:[Space 6 Limit (tCO2e)]])</f>
        <v>156.55219140000003</v>
      </c>
      <c r="CD25"/>
      <c r="CE25"/>
      <c r="CF25"/>
      <c r="CG25"/>
      <c r="CH25"/>
      <c r="CI25"/>
      <c r="CJ25"/>
      <c r="CK25"/>
      <c r="CL25"/>
      <c r="CM25"/>
      <c r="CN25"/>
      <c r="CO25"/>
      <c r="CP25"/>
      <c r="CQ25"/>
      <c r="CR25"/>
      <c r="CS25"/>
      <c r="CT25"/>
    </row>
    <row r="26" spans="2:98">
      <c r="C26" s="76" t="s">
        <v>265</v>
      </c>
      <c r="D26"/>
      <c r="E26"/>
      <c r="M26" s="35" t="s">
        <v>30</v>
      </c>
      <c r="N26" s="36">
        <v>1.1809999999999999E-2</v>
      </c>
      <c r="O26" s="36">
        <f>Table_LL97SpaceLimits[[#This Row],[2024]]</f>
        <v>1.1809999999999999E-2</v>
      </c>
      <c r="P26" s="36">
        <f>Table_LL97SpaceLimits[[#This Row],[2025]]</f>
        <v>1.1809999999999999E-2</v>
      </c>
      <c r="Q26" s="36">
        <f>Table_LL97SpaceLimits[[#This Row],[2026]]</f>
        <v>1.1809999999999999E-2</v>
      </c>
      <c r="R26" s="36">
        <f>Table_LL97SpaceLimits[[#This Row],[2027]]</f>
        <v>1.1809999999999999E-2</v>
      </c>
      <c r="S26" s="36">
        <f>Table_LL97SpaceLimits[[#This Row],[2028]]</f>
        <v>1.1809999999999999E-2</v>
      </c>
      <c r="T26" s="37">
        <v>7.7494139999999996E-3</v>
      </c>
      <c r="U26" s="37">
        <f>Table_LL97SpaceLimits[[#This Row],[2030]]</f>
        <v>7.7494139999999996E-3</v>
      </c>
      <c r="V26" s="37">
        <f>Table_LL97SpaceLimits[[#This Row],[2031]]</f>
        <v>7.7494139999999996E-3</v>
      </c>
      <c r="W26" s="37">
        <f>Table_LL97SpaceLimits[[#This Row],[2032]]</f>
        <v>7.7494139999999996E-3</v>
      </c>
      <c r="X26" s="37">
        <f>Table_LL97SpaceLimits[[#This Row],[2033]]</f>
        <v>7.7494139999999996E-3</v>
      </c>
      <c r="Y26" s="38">
        <v>5.81206E-3</v>
      </c>
      <c r="Z26" s="38">
        <f>Table_LL97SpaceLimits[[#This Row],[2035]]</f>
        <v>5.81206E-3</v>
      </c>
      <c r="AA26" s="38">
        <f>Table_LL97SpaceLimits[[#This Row],[2036]]</f>
        <v>5.81206E-3</v>
      </c>
      <c r="AB26" s="38">
        <f>Table_LL97SpaceLimits[[#This Row],[2037]]</f>
        <v>5.81206E-3</v>
      </c>
      <c r="AC26" s="38">
        <f>Table_LL97SpaceLimits[[#This Row],[2038]]</f>
        <v>5.81206E-3</v>
      </c>
      <c r="AD26" s="39">
        <v>3.8747069999999998E-3</v>
      </c>
      <c r="AE26" s="50">
        <f>Table_LL97SpaceLimits[[#This Row],[2040]]</f>
        <v>3.8747069999999998E-3</v>
      </c>
      <c r="AF26" s="50">
        <f>Table_LL97SpaceLimits[[#This Row],[2041]]</f>
        <v>3.8747069999999998E-3</v>
      </c>
      <c r="AG26" s="50">
        <f>Table_LL97SpaceLimits[[#This Row],[2042]]</f>
        <v>3.8747069999999998E-3</v>
      </c>
      <c r="AH26" s="50">
        <f>Table_LL97SpaceLimits[[#This Row],[2043]]</f>
        <v>3.8747069999999998E-3</v>
      </c>
      <c r="AI26" s="50">
        <f>Table_LL97SpaceLimits[[#This Row],[2044]]</f>
        <v>3.8747069999999998E-3</v>
      </c>
      <c r="AJ26" s="50">
        <f>Table_LL97SpaceLimits[[#This Row],[2045]]</f>
        <v>3.8747069999999998E-3</v>
      </c>
      <c r="AK26" s="50">
        <f>Table_LL97SpaceLimits[[#This Row],[2046]]</f>
        <v>3.8747069999999998E-3</v>
      </c>
      <c r="AL26" s="50">
        <f>Table_LL97SpaceLimits[[#This Row],[2047]]</f>
        <v>3.8747069999999998E-3</v>
      </c>
      <c r="AM26" s="50">
        <f>Table_LL97SpaceLimits[[#This Row],[2048]]</f>
        <v>3.8747069999999998E-3</v>
      </c>
      <c r="AN26" s="40">
        <v>0</v>
      </c>
      <c r="AQ26" s="5">
        <v>2038</v>
      </c>
      <c r="AR26" s="1" cm="1">
        <f t="array" ref="AR26">INDEX(Table_LL97SpaceLimits[],MATCH(AR$10,Table_LL97SpaceLimits[Property Type],0),MATCH(Table_LimitsCalc_Calculator[[#This Row],[Year]],VALUE(Table_LL97SpaceLimits[#Headers]),0))</f>
        <v>2.6921829999999999E-3</v>
      </c>
      <c r="AS26" s="1" t="e" cm="1">
        <f t="array" ref="AS26">INDEX(Table_LL97SpaceLimits[],MATCH(AS$10,Table_LL97SpaceLimits[Property Type],0),MATCH(Table_LimitsCalc_Calculator[[#This Row],[Year]],VALUE(Table_LL97SpaceLimits[#Headers]),0))</f>
        <v>#N/A</v>
      </c>
      <c r="AT26" s="1" t="e" cm="1">
        <f t="array" ref="AT26">INDEX(Table_LL97SpaceLimits[],MATCH(AT$10,Table_LL97SpaceLimits[Property Type],0),MATCH(Table_LimitsCalc_Calculator[[#This Row],[Year]],VALUE(Table_LL97SpaceLimits[#Headers]),0))</f>
        <v>#N/A</v>
      </c>
      <c r="AU26" s="1" t="e" cm="1">
        <f t="array" ref="AU26">INDEX(Table_LL97SpaceLimits[],MATCH(AU$10,Table_LL97SpaceLimits[Property Type],0),MATCH(Table_LimitsCalc_Calculator[[#This Row],[Year]],VALUE(Table_LL97SpaceLimits[#Headers]),0))</f>
        <v>#N/A</v>
      </c>
      <c r="AV26" s="1" t="e" cm="1">
        <f t="array" ref="AV26">INDEX(Table_LL97SpaceLimits[],MATCH(AV$10,Table_LL97SpaceLimits[Property Type],0),MATCH(Table_LimitsCalc_Calculator[[#This Row],[Year]],VALUE(Table_LL97SpaceLimits[#Headers]),0))</f>
        <v>#N/A</v>
      </c>
      <c r="AW26" s="1" t="e" cm="1">
        <f t="array" ref="AW26">INDEX(Table_LL97SpaceLimits[],MATCH(AW$10,Table_LL97SpaceLimits[Property Type],0),MATCH(Table_LimitsCalc_Calculator[[#This Row],[Year]],VALUE(Table_LL97SpaceLimits[#Headers]),0))</f>
        <v>#N/A</v>
      </c>
      <c r="AX26" s="1" t="e" cm="1">
        <f t="array" ref="AX26">INDEX(Table_LL97SpaceLimits[],MATCH(AX$10,Table_LL97SpaceLimits[Property Type],0),MATCH(Table_LimitsCalc_Calculator[[#This Row],[Year]],VALUE(Table_LL97SpaceLimits[#Headers]),0))</f>
        <v>#N/A</v>
      </c>
      <c r="AY26" s="1" t="e" cm="1">
        <f t="array" ref="AY26">INDEX(Table_LL97SpaceLimits[],MATCH(AY$10,Table_LL97SpaceLimits[Property Type],0),MATCH(Table_LimitsCalc_Calculator[[#This Row],[Year]],VALUE(Table_LL97SpaceLimits[#Headers]),0))</f>
        <v>#N/A</v>
      </c>
      <c r="AZ26" s="54">
        <f>Table_LimitsCalc_Calculator[[#This Row],[Space 1 Limit Intensity]]*AR$9</f>
        <v>0</v>
      </c>
      <c r="BA26" s="1" t="e">
        <f>Table_LimitsCalc_Calculator[[#This Row],[Space 2 Limit Intensity]]*AS$9</f>
        <v>#N/A</v>
      </c>
      <c r="BB26" s="1" t="e">
        <f>Table_LimitsCalc_Calculator[[#This Row],[Space 3 Limit Intensity]]*AT$9</f>
        <v>#N/A</v>
      </c>
      <c r="BC26" s="1" t="e">
        <f>Table_LimitsCalc_Calculator[[#This Row],[Space 4 Limit Intensity]]*AU$9</f>
        <v>#N/A</v>
      </c>
      <c r="BD26" s="1" t="e">
        <f>Table_LimitsCalc_Calculator[[#This Row],[Space 5 Limit Intensity]]*AV$9</f>
        <v>#N/A</v>
      </c>
      <c r="BE26" s="1" t="e">
        <f>Table_LimitsCalc_Calculator[[#This Row],[Space 6 Limit Intensity]]*AW$9</f>
        <v>#N/A</v>
      </c>
      <c r="BF26" s="1" t="e">
        <f>Table_LimitsCalc_Calculator[[#This Row],[Space 7 Limit Intensity]]*AX$9</f>
        <v>#N/A</v>
      </c>
      <c r="BG26" s="1" t="e">
        <f>Table_LimitsCalc_Calculator[[#This Row],[Space 8 Limit Intensity]]*AY$9</f>
        <v>#N/A</v>
      </c>
      <c r="BH26" s="84">
        <f>_xlfn.AGGREGATE(9,6,Table_LimitsCalc_Calculator[[#This Row],[Space 1 Limit (tCO2e)]:[Space 8 Limit (tCO2e)]])</f>
        <v>0</v>
      </c>
      <c r="BK26" s="5">
        <v>2038</v>
      </c>
      <c r="BL26" s="1" cm="1">
        <f t="array" ref="BL26">INDEX(Table_LL97SpaceLimits[],MATCH(BL$10,Table_LL97SpaceLimits[Property Type],0),MATCH(Table_LimitsCalc_Sample1[[#This Row],[Year]],VALUE(Table_LL97SpaceLimits[#Headers]),0))</f>
        <v>2.6921829999999999E-3</v>
      </c>
      <c r="BM26" s="1" cm="1">
        <f t="array" ref="BM26">INDEX(Table_LL97SpaceLimits[],MATCH(BM$10,Table_LL97SpaceLimits[Property Type],0),MATCH(Table_LimitsCalc_Sample1[[#This Row],[Year]],VALUE(Table_LL97SpaceLimits[#Headers]),0))</f>
        <v>4.0490099999999999E-4</v>
      </c>
      <c r="BN26" s="1" cm="1">
        <f t="array" ref="BN26">INDEX(Table_LL97SpaceLimits[],MATCH(BN$10,Table_LL97SpaceLimits[Property Type],0),MATCH(Table_LimitsCalc_Sample1[[#This Row],[Year]],VALUE(Table_LL97SpaceLimits[#Headers]),0))</f>
        <v>1.04943E-4</v>
      </c>
      <c r="BO26" s="1" cm="1">
        <f t="array" ref="BO26">INDEX(Table_LL97SpaceLimits[],MATCH(BO$10,Table_LL97SpaceLimits[Property Type],0),MATCH(Table_LimitsCalc_Sample1[[#This Row],[Year]],VALUE(Table_LL97SpaceLimits[#Headers]),0))</f>
        <v>5.81206E-3</v>
      </c>
      <c r="BP26" s="1" cm="1">
        <f t="array" ref="BP26">INDEX(Table_LL97SpaceLimits[],MATCH(BP$10,Table_LL97SpaceLimits[Property Type],0),MATCH(Table_LimitsCalc_Sample1[[#This Row],[Year]],VALUE(Table_LL97SpaceLimits[#Headers]),0))</f>
        <v>1.21605E-3</v>
      </c>
      <c r="BQ26" s="1" t="e" cm="1">
        <f t="array" ref="BQ26">INDEX(Table_LL97SpaceLimits[],MATCH(BQ$10,Table_LL97SpaceLimits[Property Type],0),MATCH(Table_LimitsCalc_Sample1[[#This Row],[Year]],VALUE(Table_LL97SpaceLimits[#Headers]),0))</f>
        <v>#N/A</v>
      </c>
      <c r="BR26" s="1" t="e" cm="1">
        <f t="array" ref="BR26">INDEX(Table_LL97SpaceLimits[],MATCH(BR$10,Table_LL97SpaceLimits[Property Type],0),MATCH(Table_LimitsCalc_Sample1[[#This Row],[Year]],VALUE(Table_LL97SpaceLimits[#Headers]),0))</f>
        <v>#N/A</v>
      </c>
      <c r="BS26" s="1" t="e" cm="1">
        <f t="array" ref="BS26">INDEX(Table_LL97SpaceLimits[],MATCH(BS$10,Table_LL97SpaceLimits[Property Type],0),MATCH(Table_LimitsCalc_Sample1[[#This Row],[Year]],VALUE(Table_LL97SpaceLimits[#Headers]),0))</f>
        <v>#N/A</v>
      </c>
      <c r="BT26" s="54">
        <f>Table_LimitsCalc_Sample1[[#This Row],[Space 1 Limit Intensity]]*BL$9</f>
        <v>148.87771989999999</v>
      </c>
      <c r="BU26" s="1">
        <f>Table_LimitsCalc_Sample1[[#This Row],[Space 2 Limit Intensity]]*BM$9</f>
        <v>2.024505</v>
      </c>
      <c r="BV26" s="1">
        <f>Table_LimitsCalc_Sample1[[#This Row],[Space 3 Limit Intensity]]*BN$9</f>
        <v>0.20988599999999999</v>
      </c>
      <c r="BW26" s="1">
        <f>Table_LimitsCalc_Sample1[[#This Row],[Space 4 Limit Intensity]]*BO$9</f>
        <v>4.649648</v>
      </c>
      <c r="BX26" s="1">
        <f>Table_LimitsCalc_Sample1[[#This Row],[Space 5 Limit Intensity]]*BP$9</f>
        <v>0.79043249999999998</v>
      </c>
      <c r="BY26" s="1" t="e">
        <f>Table_LimitsCalc_Sample1[[#This Row],[Space 6 Limit Intensity]]*BQ$9</f>
        <v>#N/A</v>
      </c>
      <c r="BZ26" s="1" t="e">
        <f>Table_LimitsCalc_Sample1[[#This Row],[Space 6 Limit Intensity]]*BR$9</f>
        <v>#N/A</v>
      </c>
      <c r="CA26" s="1" t="e">
        <f>Table_LimitsCalc_Sample1[[#This Row],[Space 6 Limit Intensity]]*BS$9</f>
        <v>#N/A</v>
      </c>
      <c r="CB26" s="84">
        <f>_xlfn.AGGREGATE(9,6,Table_LimitsCalc_Sample1[[#This Row],[Space 1 Limit (tCO2e)]:[Space 6 Limit (tCO2e)]])</f>
        <v>156.55219140000003</v>
      </c>
      <c r="CD26"/>
      <c r="CE26"/>
      <c r="CF26"/>
      <c r="CG26"/>
      <c r="CH26"/>
      <c r="CI26"/>
      <c r="CJ26"/>
      <c r="CK26"/>
      <c r="CL26"/>
      <c r="CM26"/>
      <c r="CN26"/>
      <c r="CO26"/>
      <c r="CP26"/>
      <c r="CQ26"/>
      <c r="CR26"/>
      <c r="CS26"/>
      <c r="CT26"/>
    </row>
    <row r="27" spans="2:98">
      <c r="C27" s="76" t="s">
        <v>266</v>
      </c>
      <c r="D27"/>
      <c r="E27" s="166"/>
      <c r="M27" s="35" t="s">
        <v>267</v>
      </c>
      <c r="N27" s="36">
        <v>2.3810000000000001E-2</v>
      </c>
      <c r="O27" s="36">
        <f>Table_LL97SpaceLimits[[#This Row],[2024]]</f>
        <v>2.3810000000000001E-2</v>
      </c>
      <c r="P27" s="36">
        <f>Table_LL97SpaceLimits[[#This Row],[2025]]</f>
        <v>2.3810000000000001E-2</v>
      </c>
      <c r="Q27" s="36">
        <f>Table_LL97SpaceLimits[[#This Row],[2026]]</f>
        <v>2.3810000000000001E-2</v>
      </c>
      <c r="R27" s="36">
        <f>Table_LL97SpaceLimits[[#This Row],[2027]]</f>
        <v>2.3810000000000001E-2</v>
      </c>
      <c r="S27" s="36">
        <f>Table_LL97SpaceLimits[[#This Row],[2028]]</f>
        <v>2.3810000000000001E-2</v>
      </c>
      <c r="T27" s="37">
        <v>7.3352039999999997E-3</v>
      </c>
      <c r="U27" s="37">
        <f>Table_LL97SpaceLimits[[#This Row],[2030]]</f>
        <v>7.3352039999999997E-3</v>
      </c>
      <c r="V27" s="37">
        <f>Table_LL97SpaceLimits[[#This Row],[2031]]</f>
        <v>7.3352039999999997E-3</v>
      </c>
      <c r="W27" s="37">
        <f>Table_LL97SpaceLimits[[#This Row],[2032]]</f>
        <v>7.3352039999999997E-3</v>
      </c>
      <c r="X27" s="37">
        <f>Table_LL97SpaceLimits[[#This Row],[2033]]</f>
        <v>7.3352039999999997E-3</v>
      </c>
      <c r="Y27" s="38">
        <v>4.6540440000000004E-3</v>
      </c>
      <c r="Z27" s="38">
        <f>Table_LL97SpaceLimits[[#This Row],[2035]]</f>
        <v>4.6540440000000004E-3</v>
      </c>
      <c r="AA27" s="38">
        <f>Table_LL97SpaceLimits[[#This Row],[2036]]</f>
        <v>4.6540440000000004E-3</v>
      </c>
      <c r="AB27" s="38">
        <f>Table_LL97SpaceLimits[[#This Row],[2037]]</f>
        <v>4.6540440000000004E-3</v>
      </c>
      <c r="AC27" s="38">
        <f>Table_LL97SpaceLimits[[#This Row],[2038]]</f>
        <v>4.6540440000000004E-3</v>
      </c>
      <c r="AD27" s="39">
        <v>2.9978510000000002E-3</v>
      </c>
      <c r="AE27" s="50">
        <f>Table_LL97SpaceLimits[[#This Row],[2040]]</f>
        <v>2.9978510000000002E-3</v>
      </c>
      <c r="AF27" s="50">
        <f>Table_LL97SpaceLimits[[#This Row],[2041]]</f>
        <v>2.9978510000000002E-3</v>
      </c>
      <c r="AG27" s="50">
        <f>Table_LL97SpaceLimits[[#This Row],[2042]]</f>
        <v>2.9978510000000002E-3</v>
      </c>
      <c r="AH27" s="50">
        <f>Table_LL97SpaceLimits[[#This Row],[2043]]</f>
        <v>2.9978510000000002E-3</v>
      </c>
      <c r="AI27" s="50">
        <f>Table_LL97SpaceLimits[[#This Row],[2044]]</f>
        <v>2.9978510000000002E-3</v>
      </c>
      <c r="AJ27" s="50">
        <f>Table_LL97SpaceLimits[[#This Row],[2045]]</f>
        <v>2.9978510000000002E-3</v>
      </c>
      <c r="AK27" s="50">
        <f>Table_LL97SpaceLimits[[#This Row],[2046]]</f>
        <v>2.9978510000000002E-3</v>
      </c>
      <c r="AL27" s="50">
        <f>Table_LL97SpaceLimits[[#This Row],[2047]]</f>
        <v>2.9978510000000002E-3</v>
      </c>
      <c r="AM27" s="50">
        <f>Table_LL97SpaceLimits[[#This Row],[2048]]</f>
        <v>2.9978510000000002E-3</v>
      </c>
      <c r="AN27" s="40">
        <v>0</v>
      </c>
      <c r="AQ27" s="5">
        <v>2039</v>
      </c>
      <c r="AR27" s="1" cm="1">
        <f t="array" ref="AR27">INDEX(Table_LL97SpaceLimits[],MATCH(AR$10,Table_LL97SpaceLimits[Property Type],0),MATCH(Table_LimitsCalc_Calculator[[#This Row],[Year]],VALUE(Table_LL97SpaceLimits[#Headers]),0))</f>
        <v>2.6921829999999999E-3</v>
      </c>
      <c r="AS27" s="1" t="e" cm="1">
        <f t="array" ref="AS27">INDEX(Table_LL97SpaceLimits[],MATCH(AS$10,Table_LL97SpaceLimits[Property Type],0),MATCH(Table_LimitsCalc_Calculator[[#This Row],[Year]],VALUE(Table_LL97SpaceLimits[#Headers]),0))</f>
        <v>#N/A</v>
      </c>
      <c r="AT27" s="1" t="e" cm="1">
        <f t="array" ref="AT27">INDEX(Table_LL97SpaceLimits[],MATCH(AT$10,Table_LL97SpaceLimits[Property Type],0),MATCH(Table_LimitsCalc_Calculator[[#This Row],[Year]],VALUE(Table_LL97SpaceLimits[#Headers]),0))</f>
        <v>#N/A</v>
      </c>
      <c r="AU27" s="1" t="e" cm="1">
        <f t="array" ref="AU27">INDEX(Table_LL97SpaceLimits[],MATCH(AU$10,Table_LL97SpaceLimits[Property Type],0),MATCH(Table_LimitsCalc_Calculator[[#This Row],[Year]],VALUE(Table_LL97SpaceLimits[#Headers]),0))</f>
        <v>#N/A</v>
      </c>
      <c r="AV27" s="1" t="e" cm="1">
        <f t="array" ref="AV27">INDEX(Table_LL97SpaceLimits[],MATCH(AV$10,Table_LL97SpaceLimits[Property Type],0),MATCH(Table_LimitsCalc_Calculator[[#This Row],[Year]],VALUE(Table_LL97SpaceLimits[#Headers]),0))</f>
        <v>#N/A</v>
      </c>
      <c r="AW27" s="1" t="e" cm="1">
        <f t="array" ref="AW27">INDEX(Table_LL97SpaceLimits[],MATCH(AW$10,Table_LL97SpaceLimits[Property Type],0),MATCH(Table_LimitsCalc_Calculator[[#This Row],[Year]],VALUE(Table_LL97SpaceLimits[#Headers]),0))</f>
        <v>#N/A</v>
      </c>
      <c r="AX27" s="1" t="e" cm="1">
        <f t="array" ref="AX27">INDEX(Table_LL97SpaceLimits[],MATCH(AX$10,Table_LL97SpaceLimits[Property Type],0),MATCH(Table_LimitsCalc_Calculator[[#This Row],[Year]],VALUE(Table_LL97SpaceLimits[#Headers]),0))</f>
        <v>#N/A</v>
      </c>
      <c r="AY27" s="1" t="e" cm="1">
        <f t="array" ref="AY27">INDEX(Table_LL97SpaceLimits[],MATCH(AY$10,Table_LL97SpaceLimits[Property Type],0),MATCH(Table_LimitsCalc_Calculator[[#This Row],[Year]],VALUE(Table_LL97SpaceLimits[#Headers]),0))</f>
        <v>#N/A</v>
      </c>
      <c r="AZ27" s="54">
        <f>Table_LimitsCalc_Calculator[[#This Row],[Space 1 Limit Intensity]]*AR$9</f>
        <v>0</v>
      </c>
      <c r="BA27" s="1" t="e">
        <f>Table_LimitsCalc_Calculator[[#This Row],[Space 2 Limit Intensity]]*AS$9</f>
        <v>#N/A</v>
      </c>
      <c r="BB27" s="1" t="e">
        <f>Table_LimitsCalc_Calculator[[#This Row],[Space 3 Limit Intensity]]*AT$9</f>
        <v>#N/A</v>
      </c>
      <c r="BC27" s="1" t="e">
        <f>Table_LimitsCalc_Calculator[[#This Row],[Space 4 Limit Intensity]]*AU$9</f>
        <v>#N/A</v>
      </c>
      <c r="BD27" s="1" t="e">
        <f>Table_LimitsCalc_Calculator[[#This Row],[Space 5 Limit Intensity]]*AV$9</f>
        <v>#N/A</v>
      </c>
      <c r="BE27" s="1" t="e">
        <f>Table_LimitsCalc_Calculator[[#This Row],[Space 6 Limit Intensity]]*AW$9</f>
        <v>#N/A</v>
      </c>
      <c r="BF27" s="1" t="e">
        <f>Table_LimitsCalc_Calculator[[#This Row],[Space 7 Limit Intensity]]*AX$9</f>
        <v>#N/A</v>
      </c>
      <c r="BG27" s="1" t="e">
        <f>Table_LimitsCalc_Calculator[[#This Row],[Space 8 Limit Intensity]]*AY$9</f>
        <v>#N/A</v>
      </c>
      <c r="BH27" s="84">
        <f>_xlfn.AGGREGATE(9,6,Table_LimitsCalc_Calculator[[#This Row],[Space 1 Limit (tCO2e)]:[Space 8 Limit (tCO2e)]])</f>
        <v>0</v>
      </c>
      <c r="BK27" s="5">
        <v>2039</v>
      </c>
      <c r="BL27" s="1" cm="1">
        <f t="array" ref="BL27">INDEX(Table_LL97SpaceLimits[],MATCH(BL$10,Table_LL97SpaceLimits[Property Type],0),MATCH(Table_LimitsCalc_Sample1[[#This Row],[Year]],VALUE(Table_LL97SpaceLimits[#Headers]),0))</f>
        <v>2.6921829999999999E-3</v>
      </c>
      <c r="BM27" s="1" cm="1">
        <f t="array" ref="BM27">INDEX(Table_LL97SpaceLimits[],MATCH(BM$10,Table_LL97SpaceLimits[Property Type],0),MATCH(Table_LimitsCalc_Sample1[[#This Row],[Year]],VALUE(Table_LL97SpaceLimits[#Headers]),0))</f>
        <v>4.0490099999999999E-4</v>
      </c>
      <c r="BN27" s="1" cm="1">
        <f t="array" ref="BN27">INDEX(Table_LL97SpaceLimits[],MATCH(BN$10,Table_LL97SpaceLimits[Property Type],0),MATCH(Table_LimitsCalc_Sample1[[#This Row],[Year]],VALUE(Table_LL97SpaceLimits[#Headers]),0))</f>
        <v>1.04943E-4</v>
      </c>
      <c r="BO27" s="1" cm="1">
        <f t="array" ref="BO27">INDEX(Table_LL97SpaceLimits[],MATCH(BO$10,Table_LL97SpaceLimits[Property Type],0),MATCH(Table_LimitsCalc_Sample1[[#This Row],[Year]],VALUE(Table_LL97SpaceLimits[#Headers]),0))</f>
        <v>5.81206E-3</v>
      </c>
      <c r="BP27" s="1" cm="1">
        <f t="array" ref="BP27">INDEX(Table_LL97SpaceLimits[],MATCH(BP$10,Table_LL97SpaceLimits[Property Type],0),MATCH(Table_LimitsCalc_Sample1[[#This Row],[Year]],VALUE(Table_LL97SpaceLimits[#Headers]),0))</f>
        <v>1.21605E-3</v>
      </c>
      <c r="BQ27" s="1" t="e" cm="1">
        <f t="array" ref="BQ27">INDEX(Table_LL97SpaceLimits[],MATCH(BQ$10,Table_LL97SpaceLimits[Property Type],0),MATCH(Table_LimitsCalc_Sample1[[#This Row],[Year]],VALUE(Table_LL97SpaceLimits[#Headers]),0))</f>
        <v>#N/A</v>
      </c>
      <c r="BR27" s="1" t="e" cm="1">
        <f t="array" ref="BR27">INDEX(Table_LL97SpaceLimits[],MATCH(BR$10,Table_LL97SpaceLimits[Property Type],0),MATCH(Table_LimitsCalc_Sample1[[#This Row],[Year]],VALUE(Table_LL97SpaceLimits[#Headers]),0))</f>
        <v>#N/A</v>
      </c>
      <c r="BS27" s="1" t="e" cm="1">
        <f t="array" ref="BS27">INDEX(Table_LL97SpaceLimits[],MATCH(BS$10,Table_LL97SpaceLimits[Property Type],0),MATCH(Table_LimitsCalc_Sample1[[#This Row],[Year]],VALUE(Table_LL97SpaceLimits[#Headers]),0))</f>
        <v>#N/A</v>
      </c>
      <c r="BT27" s="54">
        <f>Table_LimitsCalc_Sample1[[#This Row],[Space 1 Limit Intensity]]*BL$9</f>
        <v>148.87771989999999</v>
      </c>
      <c r="BU27" s="1">
        <f>Table_LimitsCalc_Sample1[[#This Row],[Space 2 Limit Intensity]]*BM$9</f>
        <v>2.024505</v>
      </c>
      <c r="BV27" s="1">
        <f>Table_LimitsCalc_Sample1[[#This Row],[Space 3 Limit Intensity]]*BN$9</f>
        <v>0.20988599999999999</v>
      </c>
      <c r="BW27" s="1">
        <f>Table_LimitsCalc_Sample1[[#This Row],[Space 4 Limit Intensity]]*BO$9</f>
        <v>4.649648</v>
      </c>
      <c r="BX27" s="1">
        <f>Table_LimitsCalc_Sample1[[#This Row],[Space 5 Limit Intensity]]*BP$9</f>
        <v>0.79043249999999998</v>
      </c>
      <c r="BY27" s="1" t="e">
        <f>Table_LimitsCalc_Sample1[[#This Row],[Space 6 Limit Intensity]]*BQ$9</f>
        <v>#N/A</v>
      </c>
      <c r="BZ27" s="1" t="e">
        <f>Table_LimitsCalc_Sample1[[#This Row],[Space 6 Limit Intensity]]*BR$9</f>
        <v>#N/A</v>
      </c>
      <c r="CA27" s="1" t="e">
        <f>Table_LimitsCalc_Sample1[[#This Row],[Space 6 Limit Intensity]]*BS$9</f>
        <v>#N/A</v>
      </c>
      <c r="CB27" s="84">
        <f>_xlfn.AGGREGATE(9,6,Table_LimitsCalc_Sample1[[#This Row],[Space 1 Limit (tCO2e)]:[Space 6 Limit (tCO2e)]])</f>
        <v>156.55219140000003</v>
      </c>
      <c r="CD27"/>
      <c r="CE27"/>
      <c r="CF27"/>
      <c r="CG27"/>
      <c r="CH27"/>
      <c r="CI27"/>
      <c r="CJ27"/>
      <c r="CK27"/>
      <c r="CL27"/>
      <c r="CM27"/>
      <c r="CN27"/>
      <c r="CO27"/>
      <c r="CP27"/>
      <c r="CQ27"/>
      <c r="CR27"/>
      <c r="CS27"/>
      <c r="CT27"/>
    </row>
    <row r="28" spans="2:98">
      <c r="C28" s="51" t="s">
        <v>268</v>
      </c>
      <c r="D28"/>
      <c r="E28"/>
      <c r="M28" s="35" t="s">
        <v>269</v>
      </c>
      <c r="N28" s="36">
        <v>9.8700000000000003E-3</v>
      </c>
      <c r="O28" s="36">
        <f>Table_LL97SpaceLimits[[#This Row],[2024]]</f>
        <v>9.8700000000000003E-3</v>
      </c>
      <c r="P28" s="36">
        <f>Table_LL97SpaceLimits[[#This Row],[2025]]</f>
        <v>9.8700000000000003E-3</v>
      </c>
      <c r="Q28" s="36">
        <f>Table_LL97SpaceLimits[[#This Row],[2026]]</f>
        <v>9.8700000000000003E-3</v>
      </c>
      <c r="R28" s="36">
        <f>Table_LL97SpaceLimits[[#This Row],[2027]]</f>
        <v>9.8700000000000003E-3</v>
      </c>
      <c r="S28" s="36">
        <f>Table_LL97SpaceLimits[[#This Row],[2028]]</f>
        <v>9.8700000000000003E-3</v>
      </c>
      <c r="T28" s="37">
        <v>3.8506679999999998E-3</v>
      </c>
      <c r="U28" s="37">
        <f>Table_LL97SpaceLimits[[#This Row],[2030]]</f>
        <v>3.8506679999999998E-3</v>
      </c>
      <c r="V28" s="37">
        <f>Table_LL97SpaceLimits[[#This Row],[2031]]</f>
        <v>3.8506679999999998E-3</v>
      </c>
      <c r="W28" s="37">
        <f>Table_LL97SpaceLimits[[#This Row],[2032]]</f>
        <v>3.8506679999999998E-3</v>
      </c>
      <c r="X28" s="37">
        <f>Table_LL97SpaceLimits[[#This Row],[2033]]</f>
        <v>3.8506679999999998E-3</v>
      </c>
      <c r="Y28" s="38">
        <v>2.6400170000000001E-3</v>
      </c>
      <c r="Z28" s="38">
        <f>Table_LL97SpaceLimits[[#This Row],[2035]]</f>
        <v>2.6400170000000001E-3</v>
      </c>
      <c r="AA28" s="38">
        <f>Table_LL97SpaceLimits[[#This Row],[2036]]</f>
        <v>2.6400170000000001E-3</v>
      </c>
      <c r="AB28" s="38">
        <f>Table_LL97SpaceLimits[[#This Row],[2037]]</f>
        <v>2.6400170000000001E-3</v>
      </c>
      <c r="AC28" s="38">
        <f>Table_LL97SpaceLimits[[#This Row],[2038]]</f>
        <v>2.6400170000000001E-3</v>
      </c>
      <c r="AD28" s="39">
        <v>1.465772E-3</v>
      </c>
      <c r="AE28" s="50">
        <f>Table_LL97SpaceLimits[[#This Row],[2040]]</f>
        <v>1.465772E-3</v>
      </c>
      <c r="AF28" s="50">
        <f>Table_LL97SpaceLimits[[#This Row],[2041]]</f>
        <v>1.465772E-3</v>
      </c>
      <c r="AG28" s="50">
        <f>Table_LL97SpaceLimits[[#This Row],[2042]]</f>
        <v>1.465772E-3</v>
      </c>
      <c r="AH28" s="50">
        <f>Table_LL97SpaceLimits[[#This Row],[2043]]</f>
        <v>1.465772E-3</v>
      </c>
      <c r="AI28" s="50">
        <f>Table_LL97SpaceLimits[[#This Row],[2044]]</f>
        <v>1.465772E-3</v>
      </c>
      <c r="AJ28" s="50">
        <f>Table_LL97SpaceLimits[[#This Row],[2045]]</f>
        <v>1.465772E-3</v>
      </c>
      <c r="AK28" s="50">
        <f>Table_LL97SpaceLimits[[#This Row],[2046]]</f>
        <v>1.465772E-3</v>
      </c>
      <c r="AL28" s="50">
        <f>Table_LL97SpaceLimits[[#This Row],[2047]]</f>
        <v>1.465772E-3</v>
      </c>
      <c r="AM28" s="50">
        <f>Table_LL97SpaceLimits[[#This Row],[2048]]</f>
        <v>1.465772E-3</v>
      </c>
      <c r="AN28" s="40">
        <v>0</v>
      </c>
      <c r="AQ28" s="5">
        <v>2040</v>
      </c>
      <c r="AR28" s="1" cm="1">
        <f t="array" ref="AR28">INDEX(Table_LL97SpaceLimits[],MATCH(AR$10,Table_LL97SpaceLimits[Property Type],0),MATCH(Table_LimitsCalc_Calculator[[#This Row],[Year]],VALUE(Table_LL97SpaceLimits[#Headers]),0))</f>
        <v>2.0527309999999999E-3</v>
      </c>
      <c r="AS28" s="1" t="e" cm="1">
        <f t="array" ref="AS28">INDEX(Table_LL97SpaceLimits[],MATCH(AS$10,Table_LL97SpaceLimits[Property Type],0),MATCH(Table_LimitsCalc_Calculator[[#This Row],[Year]],VALUE(Table_LL97SpaceLimits[#Headers]),0))</f>
        <v>#N/A</v>
      </c>
      <c r="AT28" s="1" t="e" cm="1">
        <f t="array" ref="AT28">INDEX(Table_LL97SpaceLimits[],MATCH(AT$10,Table_LL97SpaceLimits[Property Type],0),MATCH(Table_LimitsCalc_Calculator[[#This Row],[Year]],VALUE(Table_LL97SpaceLimits[#Headers]),0))</f>
        <v>#N/A</v>
      </c>
      <c r="AU28" s="1" t="e" cm="1">
        <f t="array" ref="AU28">INDEX(Table_LL97SpaceLimits[],MATCH(AU$10,Table_LL97SpaceLimits[Property Type],0),MATCH(Table_LimitsCalc_Calculator[[#This Row],[Year]],VALUE(Table_LL97SpaceLimits[#Headers]),0))</f>
        <v>#N/A</v>
      </c>
      <c r="AV28" s="1" t="e" cm="1">
        <f t="array" ref="AV28">INDEX(Table_LL97SpaceLimits[],MATCH(AV$10,Table_LL97SpaceLimits[Property Type],0),MATCH(Table_LimitsCalc_Calculator[[#This Row],[Year]],VALUE(Table_LL97SpaceLimits[#Headers]),0))</f>
        <v>#N/A</v>
      </c>
      <c r="AW28" s="1" t="e" cm="1">
        <f t="array" ref="AW28">INDEX(Table_LL97SpaceLimits[],MATCH(AW$10,Table_LL97SpaceLimits[Property Type],0),MATCH(Table_LimitsCalc_Calculator[[#This Row],[Year]],VALUE(Table_LL97SpaceLimits[#Headers]),0))</f>
        <v>#N/A</v>
      </c>
      <c r="AX28" s="1" t="e" cm="1">
        <f t="array" ref="AX28">INDEX(Table_LL97SpaceLimits[],MATCH(AX$10,Table_LL97SpaceLimits[Property Type],0),MATCH(Table_LimitsCalc_Calculator[[#This Row],[Year]],VALUE(Table_LL97SpaceLimits[#Headers]),0))</f>
        <v>#N/A</v>
      </c>
      <c r="AY28" s="1" t="e" cm="1">
        <f t="array" ref="AY28">INDEX(Table_LL97SpaceLimits[],MATCH(AY$10,Table_LL97SpaceLimits[Property Type],0),MATCH(Table_LimitsCalc_Calculator[[#This Row],[Year]],VALUE(Table_LL97SpaceLimits[#Headers]),0))</f>
        <v>#N/A</v>
      </c>
      <c r="AZ28" s="54">
        <f>Table_LimitsCalc_Calculator[[#This Row],[Space 1 Limit Intensity]]*AR$9</f>
        <v>0</v>
      </c>
      <c r="BA28" s="1" t="e">
        <f>Table_LimitsCalc_Calculator[[#This Row],[Space 2 Limit Intensity]]*AS$9</f>
        <v>#N/A</v>
      </c>
      <c r="BB28" s="1" t="e">
        <f>Table_LimitsCalc_Calculator[[#This Row],[Space 3 Limit Intensity]]*AT$9</f>
        <v>#N/A</v>
      </c>
      <c r="BC28" s="1" t="e">
        <f>Table_LimitsCalc_Calculator[[#This Row],[Space 4 Limit Intensity]]*AU$9</f>
        <v>#N/A</v>
      </c>
      <c r="BD28" s="1" t="e">
        <f>Table_LimitsCalc_Calculator[[#This Row],[Space 5 Limit Intensity]]*AV$9</f>
        <v>#N/A</v>
      </c>
      <c r="BE28" s="1" t="e">
        <f>Table_LimitsCalc_Calculator[[#This Row],[Space 6 Limit Intensity]]*AW$9</f>
        <v>#N/A</v>
      </c>
      <c r="BF28" s="1" t="e">
        <f>Table_LimitsCalc_Calculator[[#This Row],[Space 7 Limit Intensity]]*AX$9</f>
        <v>#N/A</v>
      </c>
      <c r="BG28" s="1" t="e">
        <f>Table_LimitsCalc_Calculator[[#This Row],[Space 8 Limit Intensity]]*AY$9</f>
        <v>#N/A</v>
      </c>
      <c r="BH28" s="84">
        <f>_xlfn.AGGREGATE(9,6,Table_LimitsCalc_Calculator[[#This Row],[Space 1 Limit (tCO2e)]:[Space 8 Limit (tCO2e)]])</f>
        <v>0</v>
      </c>
      <c r="BK28" s="5">
        <v>2040</v>
      </c>
      <c r="BL28" s="1" cm="1">
        <f t="array" ref="BL28">INDEX(Table_LL97SpaceLimits[],MATCH(BL$10,Table_LL97SpaceLimits[Property Type],0),MATCH(Table_LimitsCalc_Sample1[[#This Row],[Year]],VALUE(Table_LL97SpaceLimits[#Headers]),0))</f>
        <v>2.0527309999999999E-3</v>
      </c>
      <c r="BM28" s="1" cm="1">
        <f t="array" ref="BM28">INDEX(Table_LL97SpaceLimits[],MATCH(BM$10,Table_LL97SpaceLimits[Property Type],0),MATCH(Table_LimitsCalc_Sample1[[#This Row],[Year]],VALUE(Table_LL97SpaceLimits[#Headers]),0))</f>
        <v>1.3228200000000001E-4</v>
      </c>
      <c r="BN28" s="1" cm="1">
        <f t="array" ref="BN28">INDEX(Table_LL97SpaceLimits[],MATCH(BN$10,Table_LL97SpaceLimits[Property Type],0),MATCH(Table_LimitsCalc_Sample1[[#This Row],[Year]],VALUE(Table_LL97SpaceLimits[#Headers]),0))</f>
        <v>0</v>
      </c>
      <c r="BO28" s="1" cm="1">
        <f t="array" ref="BO28">INDEX(Table_LL97SpaceLimits[],MATCH(BO$10,Table_LL97SpaceLimits[Property Type],0),MATCH(Table_LimitsCalc_Sample1[[#This Row],[Year]],VALUE(Table_LL97SpaceLimits[#Headers]),0))</f>
        <v>3.8747069999999998E-3</v>
      </c>
      <c r="BP28" s="1" cm="1">
        <f t="array" ref="BP28">INDEX(Table_LL97SpaceLimits[],MATCH(BP$10,Table_LL97SpaceLimits[Property Type],0),MATCH(Table_LimitsCalc_Sample1[[#This Row],[Year]],VALUE(Table_LL97SpaceLimits[#Headers]),0))</f>
        <v>1.7604E-4</v>
      </c>
      <c r="BQ28" s="1" t="e" cm="1">
        <f t="array" ref="BQ28">INDEX(Table_LL97SpaceLimits[],MATCH(BQ$10,Table_LL97SpaceLimits[Property Type],0),MATCH(Table_LimitsCalc_Sample1[[#This Row],[Year]],VALUE(Table_LL97SpaceLimits[#Headers]),0))</f>
        <v>#N/A</v>
      </c>
      <c r="BR28" s="1" t="e" cm="1">
        <f t="array" ref="BR28">INDEX(Table_LL97SpaceLimits[],MATCH(BR$10,Table_LL97SpaceLimits[Property Type],0),MATCH(Table_LimitsCalc_Sample1[[#This Row],[Year]],VALUE(Table_LL97SpaceLimits[#Headers]),0))</f>
        <v>#N/A</v>
      </c>
      <c r="BS28" s="1" t="e" cm="1">
        <f t="array" ref="BS28">INDEX(Table_LL97SpaceLimits[],MATCH(BS$10,Table_LL97SpaceLimits[Property Type],0),MATCH(Table_LimitsCalc_Sample1[[#This Row],[Year]],VALUE(Table_LL97SpaceLimits[#Headers]),0))</f>
        <v>#N/A</v>
      </c>
      <c r="BT28" s="54">
        <f>Table_LimitsCalc_Sample1[[#This Row],[Space 1 Limit Intensity]]*BL$9</f>
        <v>113.5160243</v>
      </c>
      <c r="BU28" s="1">
        <f>Table_LimitsCalc_Sample1[[#This Row],[Space 2 Limit Intensity]]*BM$9</f>
        <v>0.66141000000000005</v>
      </c>
      <c r="BV28" s="1">
        <f>Table_LimitsCalc_Sample1[[#This Row],[Space 3 Limit Intensity]]*BN$9</f>
        <v>0</v>
      </c>
      <c r="BW28" s="1">
        <f>Table_LimitsCalc_Sample1[[#This Row],[Space 4 Limit Intensity]]*BO$9</f>
        <v>3.0997656</v>
      </c>
      <c r="BX28" s="1">
        <f>Table_LimitsCalc_Sample1[[#This Row],[Space 5 Limit Intensity]]*BP$9</f>
        <v>0.114426</v>
      </c>
      <c r="BY28" s="1" t="e">
        <f>Table_LimitsCalc_Sample1[[#This Row],[Space 6 Limit Intensity]]*BQ$9</f>
        <v>#N/A</v>
      </c>
      <c r="BZ28" s="1" t="e">
        <f>Table_LimitsCalc_Sample1[[#This Row],[Space 6 Limit Intensity]]*BR$9</f>
        <v>#N/A</v>
      </c>
      <c r="CA28" s="1" t="e">
        <f>Table_LimitsCalc_Sample1[[#This Row],[Space 6 Limit Intensity]]*BS$9</f>
        <v>#N/A</v>
      </c>
      <c r="CB28" s="84">
        <f>_xlfn.AGGREGATE(9,6,Table_LimitsCalc_Sample1[[#This Row],[Space 1 Limit (tCO2e)]:[Space 6 Limit (tCO2e)]])</f>
        <v>117.39162589999999</v>
      </c>
      <c r="CD28"/>
      <c r="CE28"/>
      <c r="CF28"/>
      <c r="CG28"/>
      <c r="CH28"/>
      <c r="CI28"/>
      <c r="CJ28"/>
      <c r="CK28"/>
      <c r="CL28"/>
      <c r="CM28"/>
      <c r="CN28"/>
      <c r="CO28"/>
      <c r="CP28"/>
      <c r="CQ28"/>
      <c r="CR28"/>
      <c r="CS28"/>
      <c r="CT28"/>
    </row>
    <row r="29" spans="2:98">
      <c r="C29" s="51" t="s">
        <v>270</v>
      </c>
      <c r="D29"/>
      <c r="E29"/>
      <c r="M29" s="35" t="s">
        <v>271</v>
      </c>
      <c r="N29" s="36">
        <v>6.7499999999999999E-3</v>
      </c>
      <c r="O29" s="36">
        <f>Table_LL97SpaceLimits[[#This Row],[2024]]</f>
        <v>6.7499999999999999E-3</v>
      </c>
      <c r="P29" s="36">
        <f>Table_LL97SpaceLimits[[#This Row],[2025]]</f>
        <v>6.7499999999999999E-3</v>
      </c>
      <c r="Q29" s="36">
        <f>Table_LL97SpaceLimits[[#This Row],[2026]]</f>
        <v>6.7499999999999999E-3</v>
      </c>
      <c r="R29" s="36">
        <f>Table_LL97SpaceLimits[[#This Row],[2027]]</f>
        <v>6.7499999999999999E-3</v>
      </c>
      <c r="S29" s="36">
        <f>Table_LL97SpaceLimits[[#This Row],[2028]]</f>
        <v>6.7499999999999999E-3</v>
      </c>
      <c r="T29" s="37">
        <v>2.2305879999999999E-3</v>
      </c>
      <c r="U29" s="37">
        <f>Table_LL97SpaceLimits[[#This Row],[2030]]</f>
        <v>2.2305879999999999E-3</v>
      </c>
      <c r="V29" s="37">
        <f>Table_LL97SpaceLimits[[#This Row],[2031]]</f>
        <v>2.2305879999999999E-3</v>
      </c>
      <c r="W29" s="37">
        <f>Table_LL97SpaceLimits[[#This Row],[2032]]</f>
        <v>2.2305879999999999E-3</v>
      </c>
      <c r="X29" s="37">
        <f>Table_LL97SpaceLimits[[#This Row],[2033]]</f>
        <v>2.2305879999999999E-3</v>
      </c>
      <c r="Y29" s="38">
        <v>1.488109E-3</v>
      </c>
      <c r="Z29" s="38">
        <f>Table_LL97SpaceLimits[[#This Row],[2035]]</f>
        <v>1.488109E-3</v>
      </c>
      <c r="AA29" s="38">
        <f>Table_LL97SpaceLimits[[#This Row],[2036]]</f>
        <v>1.488109E-3</v>
      </c>
      <c r="AB29" s="38">
        <f>Table_LL97SpaceLimits[[#This Row],[2037]]</f>
        <v>1.488109E-3</v>
      </c>
      <c r="AC29" s="38">
        <f>Table_LL97SpaceLimits[[#This Row],[2038]]</f>
        <v>1.488109E-3</v>
      </c>
      <c r="AD29" s="39">
        <v>8.0960699999999995E-4</v>
      </c>
      <c r="AE29" s="50">
        <f>Table_LL97SpaceLimits[[#This Row],[2040]]</f>
        <v>8.0960699999999995E-4</v>
      </c>
      <c r="AF29" s="50">
        <f>Table_LL97SpaceLimits[[#This Row],[2041]]</f>
        <v>8.0960699999999995E-4</v>
      </c>
      <c r="AG29" s="50">
        <f>Table_LL97SpaceLimits[[#This Row],[2042]]</f>
        <v>8.0960699999999995E-4</v>
      </c>
      <c r="AH29" s="50">
        <f>Table_LL97SpaceLimits[[#This Row],[2043]]</f>
        <v>8.0960699999999995E-4</v>
      </c>
      <c r="AI29" s="50">
        <f>Table_LL97SpaceLimits[[#This Row],[2044]]</f>
        <v>8.0960699999999995E-4</v>
      </c>
      <c r="AJ29" s="50">
        <f>Table_LL97SpaceLimits[[#This Row],[2045]]</f>
        <v>8.0960699999999995E-4</v>
      </c>
      <c r="AK29" s="50">
        <f>Table_LL97SpaceLimits[[#This Row],[2046]]</f>
        <v>8.0960699999999995E-4</v>
      </c>
      <c r="AL29" s="50">
        <f>Table_LL97SpaceLimits[[#This Row],[2047]]</f>
        <v>8.0960699999999995E-4</v>
      </c>
      <c r="AM29" s="50">
        <f>Table_LL97SpaceLimits[[#This Row],[2048]]</f>
        <v>8.0960699999999995E-4</v>
      </c>
      <c r="AN29" s="40">
        <v>0</v>
      </c>
      <c r="AQ29" s="5">
        <v>2041</v>
      </c>
      <c r="AR29" s="1" cm="1">
        <f t="array" ref="AR29">INDEX(Table_LL97SpaceLimits[],MATCH(AR$10,Table_LL97SpaceLimits[Property Type],0),MATCH(Table_LimitsCalc_Calculator[[#This Row],[Year]],VALUE(Table_LL97SpaceLimits[#Headers]),0))</f>
        <v>2.0527309999999999E-3</v>
      </c>
      <c r="AS29" s="1" t="e" cm="1">
        <f t="array" ref="AS29">INDEX(Table_LL97SpaceLimits[],MATCH(AS$10,Table_LL97SpaceLimits[Property Type],0),MATCH(Table_LimitsCalc_Calculator[[#This Row],[Year]],VALUE(Table_LL97SpaceLimits[#Headers]),0))</f>
        <v>#N/A</v>
      </c>
      <c r="AT29" s="1" t="e" cm="1">
        <f t="array" ref="AT29">INDEX(Table_LL97SpaceLimits[],MATCH(AT$10,Table_LL97SpaceLimits[Property Type],0),MATCH(Table_LimitsCalc_Calculator[[#This Row],[Year]],VALUE(Table_LL97SpaceLimits[#Headers]),0))</f>
        <v>#N/A</v>
      </c>
      <c r="AU29" s="1" t="e" cm="1">
        <f t="array" ref="AU29">INDEX(Table_LL97SpaceLimits[],MATCH(AU$10,Table_LL97SpaceLimits[Property Type],0),MATCH(Table_LimitsCalc_Calculator[[#This Row],[Year]],VALUE(Table_LL97SpaceLimits[#Headers]),0))</f>
        <v>#N/A</v>
      </c>
      <c r="AV29" s="1" t="e" cm="1">
        <f t="array" ref="AV29">INDEX(Table_LL97SpaceLimits[],MATCH(AV$10,Table_LL97SpaceLimits[Property Type],0),MATCH(Table_LimitsCalc_Calculator[[#This Row],[Year]],VALUE(Table_LL97SpaceLimits[#Headers]),0))</f>
        <v>#N/A</v>
      </c>
      <c r="AW29" s="1" t="e" cm="1">
        <f t="array" ref="AW29">INDEX(Table_LL97SpaceLimits[],MATCH(AW$10,Table_LL97SpaceLimits[Property Type],0),MATCH(Table_LimitsCalc_Calculator[[#This Row],[Year]],VALUE(Table_LL97SpaceLimits[#Headers]),0))</f>
        <v>#N/A</v>
      </c>
      <c r="AX29" s="1" t="e" cm="1">
        <f t="array" ref="AX29">INDEX(Table_LL97SpaceLimits[],MATCH(AX$10,Table_LL97SpaceLimits[Property Type],0),MATCH(Table_LimitsCalc_Calculator[[#This Row],[Year]],VALUE(Table_LL97SpaceLimits[#Headers]),0))</f>
        <v>#N/A</v>
      </c>
      <c r="AY29" s="1" t="e" cm="1">
        <f t="array" ref="AY29">INDEX(Table_LL97SpaceLimits[],MATCH(AY$10,Table_LL97SpaceLimits[Property Type],0),MATCH(Table_LimitsCalc_Calculator[[#This Row],[Year]],VALUE(Table_LL97SpaceLimits[#Headers]),0))</f>
        <v>#N/A</v>
      </c>
      <c r="AZ29" s="54">
        <f>Table_LimitsCalc_Calculator[[#This Row],[Space 1 Limit Intensity]]*AR$9</f>
        <v>0</v>
      </c>
      <c r="BA29" s="1" t="e">
        <f>Table_LimitsCalc_Calculator[[#This Row],[Space 2 Limit Intensity]]*AS$9</f>
        <v>#N/A</v>
      </c>
      <c r="BB29" s="1" t="e">
        <f>Table_LimitsCalc_Calculator[[#This Row],[Space 3 Limit Intensity]]*AT$9</f>
        <v>#N/A</v>
      </c>
      <c r="BC29" s="1" t="e">
        <f>Table_LimitsCalc_Calculator[[#This Row],[Space 4 Limit Intensity]]*AU$9</f>
        <v>#N/A</v>
      </c>
      <c r="BD29" s="1" t="e">
        <f>Table_LimitsCalc_Calculator[[#This Row],[Space 5 Limit Intensity]]*AV$9</f>
        <v>#N/A</v>
      </c>
      <c r="BE29" s="1" t="e">
        <f>Table_LimitsCalc_Calculator[[#This Row],[Space 6 Limit Intensity]]*AW$9</f>
        <v>#N/A</v>
      </c>
      <c r="BF29" s="1" t="e">
        <f>Table_LimitsCalc_Calculator[[#This Row],[Space 7 Limit Intensity]]*AX$9</f>
        <v>#N/A</v>
      </c>
      <c r="BG29" s="1" t="e">
        <f>Table_LimitsCalc_Calculator[[#This Row],[Space 8 Limit Intensity]]*AY$9</f>
        <v>#N/A</v>
      </c>
      <c r="BH29" s="84">
        <f>_xlfn.AGGREGATE(9,6,Table_LimitsCalc_Calculator[[#This Row],[Space 1 Limit (tCO2e)]:[Space 8 Limit (tCO2e)]])</f>
        <v>0</v>
      </c>
      <c r="BK29" s="5">
        <v>2041</v>
      </c>
      <c r="BL29" s="1" cm="1">
        <f t="array" ref="BL29">INDEX(Table_LL97SpaceLimits[],MATCH(BL$10,Table_LL97SpaceLimits[Property Type],0),MATCH(Table_LimitsCalc_Sample1[[#This Row],[Year]],VALUE(Table_LL97SpaceLimits[#Headers]),0))</f>
        <v>2.0527309999999999E-3</v>
      </c>
      <c r="BM29" s="1" cm="1">
        <f t="array" ref="BM29">INDEX(Table_LL97SpaceLimits[],MATCH(BM$10,Table_LL97SpaceLimits[Property Type],0),MATCH(Table_LimitsCalc_Sample1[[#This Row],[Year]],VALUE(Table_LL97SpaceLimits[#Headers]),0))</f>
        <v>1.3228200000000001E-4</v>
      </c>
      <c r="BN29" s="1" cm="1">
        <f t="array" ref="BN29">INDEX(Table_LL97SpaceLimits[],MATCH(BN$10,Table_LL97SpaceLimits[Property Type],0),MATCH(Table_LimitsCalc_Sample1[[#This Row],[Year]],VALUE(Table_LL97SpaceLimits[#Headers]),0))</f>
        <v>0</v>
      </c>
      <c r="BO29" s="1" cm="1">
        <f t="array" ref="BO29">INDEX(Table_LL97SpaceLimits[],MATCH(BO$10,Table_LL97SpaceLimits[Property Type],0),MATCH(Table_LimitsCalc_Sample1[[#This Row],[Year]],VALUE(Table_LL97SpaceLimits[#Headers]),0))</f>
        <v>3.8747069999999998E-3</v>
      </c>
      <c r="BP29" s="1" cm="1">
        <f t="array" ref="BP29">INDEX(Table_LL97SpaceLimits[],MATCH(BP$10,Table_LL97SpaceLimits[Property Type],0),MATCH(Table_LimitsCalc_Sample1[[#This Row],[Year]],VALUE(Table_LL97SpaceLimits[#Headers]),0))</f>
        <v>1.7604E-4</v>
      </c>
      <c r="BQ29" s="1" t="e" cm="1">
        <f t="array" ref="BQ29">INDEX(Table_LL97SpaceLimits[],MATCH(BQ$10,Table_LL97SpaceLimits[Property Type],0),MATCH(Table_LimitsCalc_Sample1[[#This Row],[Year]],VALUE(Table_LL97SpaceLimits[#Headers]),0))</f>
        <v>#N/A</v>
      </c>
      <c r="BR29" s="1" t="e" cm="1">
        <f t="array" ref="BR29">INDEX(Table_LL97SpaceLimits[],MATCH(BR$10,Table_LL97SpaceLimits[Property Type],0),MATCH(Table_LimitsCalc_Sample1[[#This Row],[Year]],VALUE(Table_LL97SpaceLimits[#Headers]),0))</f>
        <v>#N/A</v>
      </c>
      <c r="BS29" s="1" t="e" cm="1">
        <f t="array" ref="BS29">INDEX(Table_LL97SpaceLimits[],MATCH(BS$10,Table_LL97SpaceLimits[Property Type],0),MATCH(Table_LimitsCalc_Sample1[[#This Row],[Year]],VALUE(Table_LL97SpaceLimits[#Headers]),0))</f>
        <v>#N/A</v>
      </c>
      <c r="BT29" s="54">
        <f>Table_LimitsCalc_Sample1[[#This Row],[Space 1 Limit Intensity]]*BL$9</f>
        <v>113.5160243</v>
      </c>
      <c r="BU29" s="1">
        <f>Table_LimitsCalc_Sample1[[#This Row],[Space 2 Limit Intensity]]*BM$9</f>
        <v>0.66141000000000005</v>
      </c>
      <c r="BV29" s="1">
        <f>Table_LimitsCalc_Sample1[[#This Row],[Space 3 Limit Intensity]]*BN$9</f>
        <v>0</v>
      </c>
      <c r="BW29" s="1">
        <f>Table_LimitsCalc_Sample1[[#This Row],[Space 4 Limit Intensity]]*BO$9</f>
        <v>3.0997656</v>
      </c>
      <c r="BX29" s="1">
        <f>Table_LimitsCalc_Sample1[[#This Row],[Space 5 Limit Intensity]]*BP$9</f>
        <v>0.114426</v>
      </c>
      <c r="BY29" s="1" t="e">
        <f>Table_LimitsCalc_Sample1[[#This Row],[Space 6 Limit Intensity]]*BQ$9</f>
        <v>#N/A</v>
      </c>
      <c r="BZ29" s="1" t="e">
        <f>Table_LimitsCalc_Sample1[[#This Row],[Space 6 Limit Intensity]]*BR$9</f>
        <v>#N/A</v>
      </c>
      <c r="CA29" s="1" t="e">
        <f>Table_LimitsCalc_Sample1[[#This Row],[Space 6 Limit Intensity]]*BS$9</f>
        <v>#N/A</v>
      </c>
      <c r="CB29" s="84">
        <f>_xlfn.AGGREGATE(9,6,Table_LimitsCalc_Sample1[[#This Row],[Space 1 Limit (tCO2e)]:[Space 6 Limit (tCO2e)]])</f>
        <v>117.39162589999999</v>
      </c>
      <c r="CD29"/>
      <c r="CE29"/>
      <c r="CF29"/>
      <c r="CG29"/>
      <c r="CH29"/>
      <c r="CI29"/>
      <c r="CJ29"/>
      <c r="CK29"/>
      <c r="CL29"/>
      <c r="CM29"/>
      <c r="CN29"/>
      <c r="CO29"/>
      <c r="CP29"/>
      <c r="CQ29"/>
      <c r="CR29"/>
      <c r="CS29"/>
      <c r="CT29"/>
    </row>
    <row r="30" spans="2:98">
      <c r="C30" s="51" t="s">
        <v>272</v>
      </c>
      <c r="E30"/>
      <c r="M30" s="35" t="s">
        <v>273</v>
      </c>
      <c r="N30" s="36">
        <v>2.3810000000000001E-2</v>
      </c>
      <c r="O30" s="36">
        <f>Table_LL97SpaceLimits[[#This Row],[2024]]</f>
        <v>2.3810000000000001E-2</v>
      </c>
      <c r="P30" s="36">
        <f>Table_LL97SpaceLimits[[#This Row],[2025]]</f>
        <v>2.3810000000000001E-2</v>
      </c>
      <c r="Q30" s="36">
        <f>Table_LL97SpaceLimits[[#This Row],[2026]]</f>
        <v>2.3810000000000001E-2</v>
      </c>
      <c r="R30" s="36">
        <f>Table_LL97SpaceLimits[[#This Row],[2027]]</f>
        <v>2.3810000000000001E-2</v>
      </c>
      <c r="S30" s="36">
        <f>Table_LL97SpaceLimits[[#This Row],[2028]]</f>
        <v>2.3810000000000001E-2</v>
      </c>
      <c r="T30" s="37">
        <v>2.6029868000000001E-2</v>
      </c>
      <c r="U30" s="37">
        <f>Table_LL97SpaceLimits[[#This Row],[2030]]</f>
        <v>2.6029868000000001E-2</v>
      </c>
      <c r="V30" s="37">
        <f>Table_LL97SpaceLimits[[#This Row],[2031]]</f>
        <v>2.6029868000000001E-2</v>
      </c>
      <c r="W30" s="37">
        <f>Table_LL97SpaceLimits[[#This Row],[2032]]</f>
        <v>2.6029868000000001E-2</v>
      </c>
      <c r="X30" s="37">
        <f>Table_LL97SpaceLimits[[#This Row],[2033]]</f>
        <v>2.6029868000000001E-2</v>
      </c>
      <c r="Y30" s="38">
        <v>1.9522401000000002E-2</v>
      </c>
      <c r="Z30" s="38">
        <f>Table_LL97SpaceLimits[[#This Row],[2035]]</f>
        <v>1.9522401000000002E-2</v>
      </c>
      <c r="AA30" s="38">
        <f>Table_LL97SpaceLimits[[#This Row],[2036]]</f>
        <v>1.9522401000000002E-2</v>
      </c>
      <c r="AB30" s="38">
        <f>Table_LL97SpaceLimits[[#This Row],[2037]]</f>
        <v>1.9522401000000002E-2</v>
      </c>
      <c r="AC30" s="38">
        <f>Table_LL97SpaceLimits[[#This Row],[2038]]</f>
        <v>1.9522401000000002E-2</v>
      </c>
      <c r="AD30" s="39">
        <v>1.3014934000000001E-2</v>
      </c>
      <c r="AE30" s="50">
        <f>Table_LL97SpaceLimits[[#This Row],[2040]]</f>
        <v>1.3014934000000001E-2</v>
      </c>
      <c r="AF30" s="50">
        <f>Table_LL97SpaceLimits[[#This Row],[2041]]</f>
        <v>1.3014934000000001E-2</v>
      </c>
      <c r="AG30" s="50">
        <f>Table_LL97SpaceLimits[[#This Row],[2042]]</f>
        <v>1.3014934000000001E-2</v>
      </c>
      <c r="AH30" s="50">
        <f>Table_LL97SpaceLimits[[#This Row],[2043]]</f>
        <v>1.3014934000000001E-2</v>
      </c>
      <c r="AI30" s="50">
        <f>Table_LL97SpaceLimits[[#This Row],[2044]]</f>
        <v>1.3014934000000001E-2</v>
      </c>
      <c r="AJ30" s="50">
        <f>Table_LL97SpaceLimits[[#This Row],[2045]]</f>
        <v>1.3014934000000001E-2</v>
      </c>
      <c r="AK30" s="50">
        <f>Table_LL97SpaceLimits[[#This Row],[2046]]</f>
        <v>1.3014934000000001E-2</v>
      </c>
      <c r="AL30" s="50">
        <f>Table_LL97SpaceLimits[[#This Row],[2047]]</f>
        <v>1.3014934000000001E-2</v>
      </c>
      <c r="AM30" s="50">
        <f>Table_LL97SpaceLimits[[#This Row],[2048]]</f>
        <v>1.3014934000000001E-2</v>
      </c>
      <c r="AN30" s="40">
        <v>0</v>
      </c>
      <c r="AQ30" s="5">
        <v>2042</v>
      </c>
      <c r="AR30" s="1" cm="1">
        <f t="array" ref="AR30">INDEX(Table_LL97SpaceLimits[],MATCH(AR$10,Table_LL97SpaceLimits[Property Type],0),MATCH(Table_LimitsCalc_Calculator[[#This Row],[Year]],VALUE(Table_LL97SpaceLimits[#Headers]),0))</f>
        <v>2.0527309999999999E-3</v>
      </c>
      <c r="AS30" s="1" t="e" cm="1">
        <f t="array" ref="AS30">INDEX(Table_LL97SpaceLimits[],MATCH(AS$10,Table_LL97SpaceLimits[Property Type],0),MATCH(Table_LimitsCalc_Calculator[[#This Row],[Year]],VALUE(Table_LL97SpaceLimits[#Headers]),0))</f>
        <v>#N/A</v>
      </c>
      <c r="AT30" s="1" t="e" cm="1">
        <f t="array" ref="AT30">INDEX(Table_LL97SpaceLimits[],MATCH(AT$10,Table_LL97SpaceLimits[Property Type],0),MATCH(Table_LimitsCalc_Calculator[[#This Row],[Year]],VALUE(Table_LL97SpaceLimits[#Headers]),0))</f>
        <v>#N/A</v>
      </c>
      <c r="AU30" s="1" t="e" cm="1">
        <f t="array" ref="AU30">INDEX(Table_LL97SpaceLimits[],MATCH(AU$10,Table_LL97SpaceLimits[Property Type],0),MATCH(Table_LimitsCalc_Calculator[[#This Row],[Year]],VALUE(Table_LL97SpaceLimits[#Headers]),0))</f>
        <v>#N/A</v>
      </c>
      <c r="AV30" s="1" t="e" cm="1">
        <f t="array" ref="AV30">INDEX(Table_LL97SpaceLimits[],MATCH(AV$10,Table_LL97SpaceLimits[Property Type],0),MATCH(Table_LimitsCalc_Calculator[[#This Row],[Year]],VALUE(Table_LL97SpaceLimits[#Headers]),0))</f>
        <v>#N/A</v>
      </c>
      <c r="AW30" s="1" t="e" cm="1">
        <f t="array" ref="AW30">INDEX(Table_LL97SpaceLimits[],MATCH(AW$10,Table_LL97SpaceLimits[Property Type],0),MATCH(Table_LimitsCalc_Calculator[[#This Row],[Year]],VALUE(Table_LL97SpaceLimits[#Headers]),0))</f>
        <v>#N/A</v>
      </c>
      <c r="AX30" s="1" t="e" cm="1">
        <f t="array" ref="AX30">INDEX(Table_LL97SpaceLimits[],MATCH(AX$10,Table_LL97SpaceLimits[Property Type],0),MATCH(Table_LimitsCalc_Calculator[[#This Row],[Year]],VALUE(Table_LL97SpaceLimits[#Headers]),0))</f>
        <v>#N/A</v>
      </c>
      <c r="AY30" s="1" t="e" cm="1">
        <f t="array" ref="AY30">INDEX(Table_LL97SpaceLimits[],MATCH(AY$10,Table_LL97SpaceLimits[Property Type],0),MATCH(Table_LimitsCalc_Calculator[[#This Row],[Year]],VALUE(Table_LL97SpaceLimits[#Headers]),0))</f>
        <v>#N/A</v>
      </c>
      <c r="AZ30" s="54">
        <f>Table_LimitsCalc_Calculator[[#This Row],[Space 1 Limit Intensity]]*AR$9</f>
        <v>0</v>
      </c>
      <c r="BA30" s="1" t="e">
        <f>Table_LimitsCalc_Calculator[[#This Row],[Space 2 Limit Intensity]]*AS$9</f>
        <v>#N/A</v>
      </c>
      <c r="BB30" s="1" t="e">
        <f>Table_LimitsCalc_Calculator[[#This Row],[Space 3 Limit Intensity]]*AT$9</f>
        <v>#N/A</v>
      </c>
      <c r="BC30" s="1" t="e">
        <f>Table_LimitsCalc_Calculator[[#This Row],[Space 4 Limit Intensity]]*AU$9</f>
        <v>#N/A</v>
      </c>
      <c r="BD30" s="1" t="e">
        <f>Table_LimitsCalc_Calculator[[#This Row],[Space 5 Limit Intensity]]*AV$9</f>
        <v>#N/A</v>
      </c>
      <c r="BE30" s="1" t="e">
        <f>Table_LimitsCalc_Calculator[[#This Row],[Space 6 Limit Intensity]]*AW$9</f>
        <v>#N/A</v>
      </c>
      <c r="BF30" s="1" t="e">
        <f>Table_LimitsCalc_Calculator[[#This Row],[Space 7 Limit Intensity]]*AX$9</f>
        <v>#N/A</v>
      </c>
      <c r="BG30" s="1" t="e">
        <f>Table_LimitsCalc_Calculator[[#This Row],[Space 8 Limit Intensity]]*AY$9</f>
        <v>#N/A</v>
      </c>
      <c r="BH30" s="84">
        <f>_xlfn.AGGREGATE(9,6,Table_LimitsCalc_Calculator[[#This Row],[Space 1 Limit (tCO2e)]:[Space 8 Limit (tCO2e)]])</f>
        <v>0</v>
      </c>
      <c r="BK30" s="5">
        <v>2042</v>
      </c>
      <c r="BL30" s="1" cm="1">
        <f t="array" ref="BL30">INDEX(Table_LL97SpaceLimits[],MATCH(BL$10,Table_LL97SpaceLimits[Property Type],0),MATCH(Table_LimitsCalc_Sample1[[#This Row],[Year]],VALUE(Table_LL97SpaceLimits[#Headers]),0))</f>
        <v>2.0527309999999999E-3</v>
      </c>
      <c r="BM30" s="1" cm="1">
        <f t="array" ref="BM30">INDEX(Table_LL97SpaceLimits[],MATCH(BM$10,Table_LL97SpaceLimits[Property Type],0),MATCH(Table_LimitsCalc_Sample1[[#This Row],[Year]],VALUE(Table_LL97SpaceLimits[#Headers]),0))</f>
        <v>1.3228200000000001E-4</v>
      </c>
      <c r="BN30" s="1" cm="1">
        <f t="array" ref="BN30">INDEX(Table_LL97SpaceLimits[],MATCH(BN$10,Table_LL97SpaceLimits[Property Type],0),MATCH(Table_LimitsCalc_Sample1[[#This Row],[Year]],VALUE(Table_LL97SpaceLimits[#Headers]),0))</f>
        <v>0</v>
      </c>
      <c r="BO30" s="1" cm="1">
        <f t="array" ref="BO30">INDEX(Table_LL97SpaceLimits[],MATCH(BO$10,Table_LL97SpaceLimits[Property Type],0),MATCH(Table_LimitsCalc_Sample1[[#This Row],[Year]],VALUE(Table_LL97SpaceLimits[#Headers]),0))</f>
        <v>3.8747069999999998E-3</v>
      </c>
      <c r="BP30" s="1" cm="1">
        <f t="array" ref="BP30">INDEX(Table_LL97SpaceLimits[],MATCH(BP$10,Table_LL97SpaceLimits[Property Type],0),MATCH(Table_LimitsCalc_Sample1[[#This Row],[Year]],VALUE(Table_LL97SpaceLimits[#Headers]),0))</f>
        <v>1.7604E-4</v>
      </c>
      <c r="BQ30" s="1" t="e" cm="1">
        <f t="array" ref="BQ30">INDEX(Table_LL97SpaceLimits[],MATCH(BQ$10,Table_LL97SpaceLimits[Property Type],0),MATCH(Table_LimitsCalc_Sample1[[#This Row],[Year]],VALUE(Table_LL97SpaceLimits[#Headers]),0))</f>
        <v>#N/A</v>
      </c>
      <c r="BR30" s="1" t="e" cm="1">
        <f t="array" ref="BR30">INDEX(Table_LL97SpaceLimits[],MATCH(BR$10,Table_LL97SpaceLimits[Property Type],0),MATCH(Table_LimitsCalc_Sample1[[#This Row],[Year]],VALUE(Table_LL97SpaceLimits[#Headers]),0))</f>
        <v>#N/A</v>
      </c>
      <c r="BS30" s="1" t="e" cm="1">
        <f t="array" ref="BS30">INDEX(Table_LL97SpaceLimits[],MATCH(BS$10,Table_LL97SpaceLimits[Property Type],0),MATCH(Table_LimitsCalc_Sample1[[#This Row],[Year]],VALUE(Table_LL97SpaceLimits[#Headers]),0))</f>
        <v>#N/A</v>
      </c>
      <c r="BT30" s="54">
        <f>Table_LimitsCalc_Sample1[[#This Row],[Space 1 Limit Intensity]]*BL$9</f>
        <v>113.5160243</v>
      </c>
      <c r="BU30" s="1">
        <f>Table_LimitsCalc_Sample1[[#This Row],[Space 2 Limit Intensity]]*BM$9</f>
        <v>0.66141000000000005</v>
      </c>
      <c r="BV30" s="1">
        <f>Table_LimitsCalc_Sample1[[#This Row],[Space 3 Limit Intensity]]*BN$9</f>
        <v>0</v>
      </c>
      <c r="BW30" s="1">
        <f>Table_LimitsCalc_Sample1[[#This Row],[Space 4 Limit Intensity]]*BO$9</f>
        <v>3.0997656</v>
      </c>
      <c r="BX30" s="1">
        <f>Table_LimitsCalc_Sample1[[#This Row],[Space 5 Limit Intensity]]*BP$9</f>
        <v>0.114426</v>
      </c>
      <c r="BY30" s="1" t="e">
        <f>Table_LimitsCalc_Sample1[[#This Row],[Space 6 Limit Intensity]]*BQ$9</f>
        <v>#N/A</v>
      </c>
      <c r="BZ30" s="1" t="e">
        <f>Table_LimitsCalc_Sample1[[#This Row],[Space 6 Limit Intensity]]*BR$9</f>
        <v>#N/A</v>
      </c>
      <c r="CA30" s="1" t="e">
        <f>Table_LimitsCalc_Sample1[[#This Row],[Space 6 Limit Intensity]]*BS$9</f>
        <v>#N/A</v>
      </c>
      <c r="CB30" s="84">
        <f>_xlfn.AGGREGATE(9,6,Table_LimitsCalc_Sample1[[#This Row],[Space 1 Limit (tCO2e)]:[Space 6 Limit (tCO2e)]])</f>
        <v>117.39162589999999</v>
      </c>
      <c r="CD30"/>
      <c r="CE30"/>
      <c r="CF30"/>
      <c r="CG30"/>
      <c r="CH30"/>
      <c r="CI30"/>
      <c r="CJ30"/>
      <c r="CK30"/>
      <c r="CL30"/>
      <c r="CM30"/>
      <c r="CN30"/>
      <c r="CO30"/>
      <c r="CP30"/>
      <c r="CQ30"/>
      <c r="CR30"/>
      <c r="CS30"/>
      <c r="CT30"/>
    </row>
    <row r="31" spans="2:98">
      <c r="C31" s="51" t="s">
        <v>274</v>
      </c>
      <c r="E31"/>
      <c r="M31" s="35" t="s">
        <v>275</v>
      </c>
      <c r="N31" s="36">
        <v>6.7499999999999999E-3</v>
      </c>
      <c r="O31" s="36">
        <f>Table_LL97SpaceLimits[[#This Row],[2024]]</f>
        <v>6.7499999999999999E-3</v>
      </c>
      <c r="P31" s="36">
        <f>Table_LL97SpaceLimits[[#This Row],[2025]]</f>
        <v>6.7499999999999999E-3</v>
      </c>
      <c r="Q31" s="36">
        <f>Table_LL97SpaceLimits[[#This Row],[2026]]</f>
        <v>6.7499999999999999E-3</v>
      </c>
      <c r="R31" s="36">
        <f>Table_LL97SpaceLimits[[#This Row],[2027]]</f>
        <v>6.7499999999999999E-3</v>
      </c>
      <c r="S31" s="36">
        <f>Table_LL97SpaceLimits[[#This Row],[2028]]</f>
        <v>6.7499999999999999E-3</v>
      </c>
      <c r="T31" s="41">
        <v>2.2184119999999999E-3</v>
      </c>
      <c r="U31" s="37">
        <f>Table_LL97SpaceLimits[[#This Row],[2030]]</f>
        <v>2.2184119999999999E-3</v>
      </c>
      <c r="V31" s="37">
        <f>Table_LL97SpaceLimits[[#This Row],[2031]]</f>
        <v>2.2184119999999999E-3</v>
      </c>
      <c r="W31" s="37">
        <f>Table_LL97SpaceLimits[[#This Row],[2032]]</f>
        <v>2.2184119999999999E-3</v>
      </c>
      <c r="X31" s="37">
        <f>Table_LL97SpaceLimits[[#This Row],[2033]]</f>
        <v>2.2184119999999999E-3</v>
      </c>
      <c r="Y31" s="38">
        <v>1.663809E-3</v>
      </c>
      <c r="Z31" s="38">
        <f>Table_LL97SpaceLimits[[#This Row],[2035]]</f>
        <v>1.663809E-3</v>
      </c>
      <c r="AA31" s="38">
        <f>Table_LL97SpaceLimits[[#This Row],[2036]]</f>
        <v>1.663809E-3</v>
      </c>
      <c r="AB31" s="38">
        <f>Table_LL97SpaceLimits[[#This Row],[2037]]</f>
        <v>1.663809E-3</v>
      </c>
      <c r="AC31" s="38">
        <f>Table_LL97SpaceLimits[[#This Row],[2038]]</f>
        <v>1.663809E-3</v>
      </c>
      <c r="AD31" s="39">
        <v>1.109206E-3</v>
      </c>
      <c r="AE31" s="50">
        <f>Table_LL97SpaceLimits[[#This Row],[2040]]</f>
        <v>1.109206E-3</v>
      </c>
      <c r="AF31" s="50">
        <f>Table_LL97SpaceLimits[[#This Row],[2041]]</f>
        <v>1.109206E-3</v>
      </c>
      <c r="AG31" s="50">
        <f>Table_LL97SpaceLimits[[#This Row],[2042]]</f>
        <v>1.109206E-3</v>
      </c>
      <c r="AH31" s="50">
        <f>Table_LL97SpaceLimits[[#This Row],[2043]]</f>
        <v>1.109206E-3</v>
      </c>
      <c r="AI31" s="50">
        <f>Table_LL97SpaceLimits[[#This Row],[2044]]</f>
        <v>1.109206E-3</v>
      </c>
      <c r="AJ31" s="50">
        <f>Table_LL97SpaceLimits[[#This Row],[2045]]</f>
        <v>1.109206E-3</v>
      </c>
      <c r="AK31" s="50">
        <f>Table_LL97SpaceLimits[[#This Row],[2046]]</f>
        <v>1.109206E-3</v>
      </c>
      <c r="AL31" s="50">
        <f>Table_LL97SpaceLimits[[#This Row],[2047]]</f>
        <v>1.109206E-3</v>
      </c>
      <c r="AM31" s="50">
        <f>Table_LL97SpaceLimits[[#This Row],[2048]]</f>
        <v>1.109206E-3</v>
      </c>
      <c r="AN31" s="40">
        <v>0</v>
      </c>
      <c r="AQ31" s="5">
        <v>2043</v>
      </c>
      <c r="AR31" s="1" cm="1">
        <f t="array" ref="AR31">INDEX(Table_LL97SpaceLimits[],MATCH(AR$10,Table_LL97SpaceLimits[Property Type],0),MATCH(Table_LimitsCalc_Calculator[[#This Row],[Year]],VALUE(Table_LL97SpaceLimits[#Headers]),0))</f>
        <v>2.0527309999999999E-3</v>
      </c>
      <c r="AS31" s="1" t="e" cm="1">
        <f t="array" ref="AS31">INDEX(Table_LL97SpaceLimits[],MATCH(AS$10,Table_LL97SpaceLimits[Property Type],0),MATCH(Table_LimitsCalc_Calculator[[#This Row],[Year]],VALUE(Table_LL97SpaceLimits[#Headers]),0))</f>
        <v>#N/A</v>
      </c>
      <c r="AT31" s="1" t="e" cm="1">
        <f t="array" ref="AT31">INDEX(Table_LL97SpaceLimits[],MATCH(AT$10,Table_LL97SpaceLimits[Property Type],0),MATCH(Table_LimitsCalc_Calculator[[#This Row],[Year]],VALUE(Table_LL97SpaceLimits[#Headers]),0))</f>
        <v>#N/A</v>
      </c>
      <c r="AU31" s="1" t="e" cm="1">
        <f t="array" ref="AU31">INDEX(Table_LL97SpaceLimits[],MATCH(AU$10,Table_LL97SpaceLimits[Property Type],0),MATCH(Table_LimitsCalc_Calculator[[#This Row],[Year]],VALUE(Table_LL97SpaceLimits[#Headers]),0))</f>
        <v>#N/A</v>
      </c>
      <c r="AV31" s="1" t="e" cm="1">
        <f t="array" ref="AV31">INDEX(Table_LL97SpaceLimits[],MATCH(AV$10,Table_LL97SpaceLimits[Property Type],0),MATCH(Table_LimitsCalc_Calculator[[#This Row],[Year]],VALUE(Table_LL97SpaceLimits[#Headers]),0))</f>
        <v>#N/A</v>
      </c>
      <c r="AW31" s="1" t="e" cm="1">
        <f t="array" ref="AW31">INDEX(Table_LL97SpaceLimits[],MATCH(AW$10,Table_LL97SpaceLimits[Property Type],0),MATCH(Table_LimitsCalc_Calculator[[#This Row],[Year]],VALUE(Table_LL97SpaceLimits[#Headers]),0))</f>
        <v>#N/A</v>
      </c>
      <c r="AX31" s="1" t="e" cm="1">
        <f t="array" ref="AX31">INDEX(Table_LL97SpaceLimits[],MATCH(AX$10,Table_LL97SpaceLimits[Property Type],0),MATCH(Table_LimitsCalc_Calculator[[#This Row],[Year]],VALUE(Table_LL97SpaceLimits[#Headers]),0))</f>
        <v>#N/A</v>
      </c>
      <c r="AY31" s="1" t="e" cm="1">
        <f t="array" ref="AY31">INDEX(Table_LL97SpaceLimits[],MATCH(AY$10,Table_LL97SpaceLimits[Property Type],0),MATCH(Table_LimitsCalc_Calculator[[#This Row],[Year]],VALUE(Table_LL97SpaceLimits[#Headers]),0))</f>
        <v>#N/A</v>
      </c>
      <c r="AZ31" s="54">
        <f>Table_LimitsCalc_Calculator[[#This Row],[Space 1 Limit Intensity]]*AR$9</f>
        <v>0</v>
      </c>
      <c r="BA31" s="1" t="e">
        <f>Table_LimitsCalc_Calculator[[#This Row],[Space 2 Limit Intensity]]*AS$9</f>
        <v>#N/A</v>
      </c>
      <c r="BB31" s="1" t="e">
        <f>Table_LimitsCalc_Calculator[[#This Row],[Space 3 Limit Intensity]]*AT$9</f>
        <v>#N/A</v>
      </c>
      <c r="BC31" s="1" t="e">
        <f>Table_LimitsCalc_Calculator[[#This Row],[Space 4 Limit Intensity]]*AU$9</f>
        <v>#N/A</v>
      </c>
      <c r="BD31" s="1" t="e">
        <f>Table_LimitsCalc_Calculator[[#This Row],[Space 5 Limit Intensity]]*AV$9</f>
        <v>#N/A</v>
      </c>
      <c r="BE31" s="1" t="e">
        <f>Table_LimitsCalc_Calculator[[#This Row],[Space 6 Limit Intensity]]*AW$9</f>
        <v>#N/A</v>
      </c>
      <c r="BF31" s="1" t="e">
        <f>Table_LimitsCalc_Calculator[[#This Row],[Space 7 Limit Intensity]]*AX$9</f>
        <v>#N/A</v>
      </c>
      <c r="BG31" s="1" t="e">
        <f>Table_LimitsCalc_Calculator[[#This Row],[Space 8 Limit Intensity]]*AY$9</f>
        <v>#N/A</v>
      </c>
      <c r="BH31" s="84">
        <f>_xlfn.AGGREGATE(9,6,Table_LimitsCalc_Calculator[[#This Row],[Space 1 Limit (tCO2e)]:[Space 8 Limit (tCO2e)]])</f>
        <v>0</v>
      </c>
      <c r="BK31" s="5">
        <v>2043</v>
      </c>
      <c r="BL31" s="1" cm="1">
        <f t="array" ref="BL31">INDEX(Table_LL97SpaceLimits[],MATCH(BL$10,Table_LL97SpaceLimits[Property Type],0),MATCH(Table_LimitsCalc_Sample1[[#This Row],[Year]],VALUE(Table_LL97SpaceLimits[#Headers]),0))</f>
        <v>2.0527309999999999E-3</v>
      </c>
      <c r="BM31" s="1" cm="1">
        <f t="array" ref="BM31">INDEX(Table_LL97SpaceLimits[],MATCH(BM$10,Table_LL97SpaceLimits[Property Type],0),MATCH(Table_LimitsCalc_Sample1[[#This Row],[Year]],VALUE(Table_LL97SpaceLimits[#Headers]),0))</f>
        <v>1.3228200000000001E-4</v>
      </c>
      <c r="BN31" s="1" cm="1">
        <f t="array" ref="BN31">INDEX(Table_LL97SpaceLimits[],MATCH(BN$10,Table_LL97SpaceLimits[Property Type],0),MATCH(Table_LimitsCalc_Sample1[[#This Row],[Year]],VALUE(Table_LL97SpaceLimits[#Headers]),0))</f>
        <v>0</v>
      </c>
      <c r="BO31" s="1" cm="1">
        <f t="array" ref="BO31">INDEX(Table_LL97SpaceLimits[],MATCH(BO$10,Table_LL97SpaceLimits[Property Type],0),MATCH(Table_LimitsCalc_Sample1[[#This Row],[Year]],VALUE(Table_LL97SpaceLimits[#Headers]),0))</f>
        <v>3.8747069999999998E-3</v>
      </c>
      <c r="BP31" s="1" cm="1">
        <f t="array" ref="BP31">INDEX(Table_LL97SpaceLimits[],MATCH(BP$10,Table_LL97SpaceLimits[Property Type],0),MATCH(Table_LimitsCalc_Sample1[[#This Row],[Year]],VALUE(Table_LL97SpaceLimits[#Headers]),0))</f>
        <v>1.7604E-4</v>
      </c>
      <c r="BQ31" s="1" t="e" cm="1">
        <f t="array" ref="BQ31">INDEX(Table_LL97SpaceLimits[],MATCH(BQ$10,Table_LL97SpaceLimits[Property Type],0),MATCH(Table_LimitsCalc_Sample1[[#This Row],[Year]],VALUE(Table_LL97SpaceLimits[#Headers]),0))</f>
        <v>#N/A</v>
      </c>
      <c r="BR31" s="1" t="e" cm="1">
        <f t="array" ref="BR31">INDEX(Table_LL97SpaceLimits[],MATCH(BR$10,Table_LL97SpaceLimits[Property Type],0),MATCH(Table_LimitsCalc_Sample1[[#This Row],[Year]],VALUE(Table_LL97SpaceLimits[#Headers]),0))</f>
        <v>#N/A</v>
      </c>
      <c r="BS31" s="1" t="e" cm="1">
        <f t="array" ref="BS31">INDEX(Table_LL97SpaceLimits[],MATCH(BS$10,Table_LL97SpaceLimits[Property Type],0),MATCH(Table_LimitsCalc_Sample1[[#This Row],[Year]],VALUE(Table_LL97SpaceLimits[#Headers]),0))</f>
        <v>#N/A</v>
      </c>
      <c r="BT31" s="54">
        <f>Table_LimitsCalc_Sample1[[#This Row],[Space 1 Limit Intensity]]*BL$9</f>
        <v>113.5160243</v>
      </c>
      <c r="BU31" s="1">
        <f>Table_LimitsCalc_Sample1[[#This Row],[Space 2 Limit Intensity]]*BM$9</f>
        <v>0.66141000000000005</v>
      </c>
      <c r="BV31" s="1">
        <f>Table_LimitsCalc_Sample1[[#This Row],[Space 3 Limit Intensity]]*BN$9</f>
        <v>0</v>
      </c>
      <c r="BW31" s="1">
        <f>Table_LimitsCalc_Sample1[[#This Row],[Space 4 Limit Intensity]]*BO$9</f>
        <v>3.0997656</v>
      </c>
      <c r="BX31" s="1">
        <f>Table_LimitsCalc_Sample1[[#This Row],[Space 5 Limit Intensity]]*BP$9</f>
        <v>0.114426</v>
      </c>
      <c r="BY31" s="1" t="e">
        <f>Table_LimitsCalc_Sample1[[#This Row],[Space 6 Limit Intensity]]*BQ$9</f>
        <v>#N/A</v>
      </c>
      <c r="BZ31" s="1" t="e">
        <f>Table_LimitsCalc_Sample1[[#This Row],[Space 6 Limit Intensity]]*BR$9</f>
        <v>#N/A</v>
      </c>
      <c r="CA31" s="1" t="e">
        <f>Table_LimitsCalc_Sample1[[#This Row],[Space 6 Limit Intensity]]*BS$9</f>
        <v>#N/A</v>
      </c>
      <c r="CB31" s="84">
        <f>_xlfn.AGGREGATE(9,6,Table_LimitsCalc_Sample1[[#This Row],[Space 1 Limit (tCO2e)]:[Space 6 Limit (tCO2e)]])</f>
        <v>117.39162589999999</v>
      </c>
      <c r="CD31"/>
      <c r="CE31"/>
      <c r="CF31"/>
      <c r="CG31"/>
      <c r="CH31"/>
      <c r="CI31"/>
      <c r="CJ31"/>
      <c r="CK31"/>
      <c r="CL31"/>
      <c r="CM31"/>
      <c r="CN31"/>
      <c r="CO31"/>
      <c r="CP31"/>
      <c r="CQ31"/>
      <c r="CR31"/>
      <c r="CS31"/>
      <c r="CT31"/>
    </row>
    <row r="32" spans="2:98">
      <c r="E32"/>
      <c r="M32" s="35" t="s">
        <v>276</v>
      </c>
      <c r="N32" s="36">
        <v>8.4600000000000005E-3</v>
      </c>
      <c r="O32" s="36">
        <f>Table_LL97SpaceLimits[[#This Row],[2024]]</f>
        <v>8.4600000000000005E-3</v>
      </c>
      <c r="P32" s="36">
        <f>Table_LL97SpaceLimits[[#This Row],[2025]]</f>
        <v>8.4600000000000005E-3</v>
      </c>
      <c r="Q32" s="36">
        <f>Table_LL97SpaceLimits[[#This Row],[2026]]</f>
        <v>8.4600000000000005E-3</v>
      </c>
      <c r="R32" s="36">
        <f>Table_LL97SpaceLimits[[#This Row],[2027]]</f>
        <v>8.4600000000000005E-3</v>
      </c>
      <c r="S32" s="36">
        <f>Table_LL97SpaceLimits[[#This Row],[2028]]</f>
        <v>8.4600000000000005E-3</v>
      </c>
      <c r="T32" s="41">
        <v>4.7058500000000001E-3</v>
      </c>
      <c r="U32" s="37">
        <f>Table_LL97SpaceLimits[[#This Row],[2030]]</f>
        <v>4.7058500000000001E-3</v>
      </c>
      <c r="V32" s="37">
        <f>Table_LL97SpaceLimits[[#This Row],[2031]]</f>
        <v>4.7058500000000001E-3</v>
      </c>
      <c r="W32" s="37">
        <f>Table_LL97SpaceLimits[[#This Row],[2032]]</f>
        <v>4.7058500000000001E-3</v>
      </c>
      <c r="X32" s="37">
        <f>Table_LL97SpaceLimits[[#This Row],[2033]]</f>
        <v>4.7058500000000001E-3</v>
      </c>
      <c r="Y32" s="38">
        <v>3.5293870000000001E-3</v>
      </c>
      <c r="Z32" s="38">
        <f>Table_LL97SpaceLimits[[#This Row],[2035]]</f>
        <v>3.5293870000000001E-3</v>
      </c>
      <c r="AA32" s="38">
        <f>Table_LL97SpaceLimits[[#This Row],[2036]]</f>
        <v>3.5293870000000001E-3</v>
      </c>
      <c r="AB32" s="38">
        <f>Table_LL97SpaceLimits[[#This Row],[2037]]</f>
        <v>3.5293870000000001E-3</v>
      </c>
      <c r="AC32" s="38">
        <f>Table_LL97SpaceLimits[[#This Row],[2038]]</f>
        <v>3.5293870000000001E-3</v>
      </c>
      <c r="AD32" s="39">
        <v>2.3529250000000001E-3</v>
      </c>
      <c r="AE32" s="50">
        <f>Table_LL97SpaceLimits[[#This Row],[2040]]</f>
        <v>2.3529250000000001E-3</v>
      </c>
      <c r="AF32" s="50">
        <f>Table_LL97SpaceLimits[[#This Row],[2041]]</f>
        <v>2.3529250000000001E-3</v>
      </c>
      <c r="AG32" s="50">
        <f>Table_LL97SpaceLimits[[#This Row],[2042]]</f>
        <v>2.3529250000000001E-3</v>
      </c>
      <c r="AH32" s="50">
        <f>Table_LL97SpaceLimits[[#This Row],[2043]]</f>
        <v>2.3529250000000001E-3</v>
      </c>
      <c r="AI32" s="50">
        <f>Table_LL97SpaceLimits[[#This Row],[2044]]</f>
        <v>2.3529250000000001E-3</v>
      </c>
      <c r="AJ32" s="50">
        <f>Table_LL97SpaceLimits[[#This Row],[2045]]</f>
        <v>2.3529250000000001E-3</v>
      </c>
      <c r="AK32" s="50">
        <f>Table_LL97SpaceLimits[[#This Row],[2046]]</f>
        <v>2.3529250000000001E-3</v>
      </c>
      <c r="AL32" s="50">
        <f>Table_LL97SpaceLimits[[#This Row],[2047]]</f>
        <v>2.3529250000000001E-3</v>
      </c>
      <c r="AM32" s="50">
        <f>Table_LL97SpaceLimits[[#This Row],[2048]]</f>
        <v>2.3529250000000001E-3</v>
      </c>
      <c r="AN32" s="40">
        <v>0</v>
      </c>
      <c r="AQ32" s="5">
        <v>2044</v>
      </c>
      <c r="AR32" s="1" cm="1">
        <f t="array" ref="AR32">INDEX(Table_LL97SpaceLimits[],MATCH(AR$10,Table_LL97SpaceLimits[Property Type],0),MATCH(Table_LimitsCalc_Calculator[[#This Row],[Year]],VALUE(Table_LL97SpaceLimits[#Headers]),0))</f>
        <v>2.0527309999999999E-3</v>
      </c>
      <c r="AS32" s="1" t="e" cm="1">
        <f t="array" ref="AS32">INDEX(Table_LL97SpaceLimits[],MATCH(AS$10,Table_LL97SpaceLimits[Property Type],0),MATCH(Table_LimitsCalc_Calculator[[#This Row],[Year]],VALUE(Table_LL97SpaceLimits[#Headers]),0))</f>
        <v>#N/A</v>
      </c>
      <c r="AT32" s="1" t="e" cm="1">
        <f t="array" ref="AT32">INDEX(Table_LL97SpaceLimits[],MATCH(AT$10,Table_LL97SpaceLimits[Property Type],0),MATCH(Table_LimitsCalc_Calculator[[#This Row],[Year]],VALUE(Table_LL97SpaceLimits[#Headers]),0))</f>
        <v>#N/A</v>
      </c>
      <c r="AU32" s="1" t="e" cm="1">
        <f t="array" ref="AU32">INDEX(Table_LL97SpaceLimits[],MATCH(AU$10,Table_LL97SpaceLimits[Property Type],0),MATCH(Table_LimitsCalc_Calculator[[#This Row],[Year]],VALUE(Table_LL97SpaceLimits[#Headers]),0))</f>
        <v>#N/A</v>
      </c>
      <c r="AV32" s="1" t="e" cm="1">
        <f t="array" ref="AV32">INDEX(Table_LL97SpaceLimits[],MATCH(AV$10,Table_LL97SpaceLimits[Property Type],0),MATCH(Table_LimitsCalc_Calculator[[#This Row],[Year]],VALUE(Table_LL97SpaceLimits[#Headers]),0))</f>
        <v>#N/A</v>
      </c>
      <c r="AW32" s="1" t="e" cm="1">
        <f t="array" ref="AW32">INDEX(Table_LL97SpaceLimits[],MATCH(AW$10,Table_LL97SpaceLimits[Property Type],0),MATCH(Table_LimitsCalc_Calculator[[#This Row],[Year]],VALUE(Table_LL97SpaceLimits[#Headers]),0))</f>
        <v>#N/A</v>
      </c>
      <c r="AX32" s="1" t="e" cm="1">
        <f t="array" ref="AX32">INDEX(Table_LL97SpaceLimits[],MATCH(AX$10,Table_LL97SpaceLimits[Property Type],0),MATCH(Table_LimitsCalc_Calculator[[#This Row],[Year]],VALUE(Table_LL97SpaceLimits[#Headers]),0))</f>
        <v>#N/A</v>
      </c>
      <c r="AY32" s="1" t="e" cm="1">
        <f t="array" ref="AY32">INDEX(Table_LL97SpaceLimits[],MATCH(AY$10,Table_LL97SpaceLimits[Property Type],0),MATCH(Table_LimitsCalc_Calculator[[#This Row],[Year]],VALUE(Table_LL97SpaceLimits[#Headers]),0))</f>
        <v>#N/A</v>
      </c>
      <c r="AZ32" s="54">
        <f>Table_LimitsCalc_Calculator[[#This Row],[Space 1 Limit Intensity]]*AR$9</f>
        <v>0</v>
      </c>
      <c r="BA32" s="1" t="e">
        <f>Table_LimitsCalc_Calculator[[#This Row],[Space 2 Limit Intensity]]*AS$9</f>
        <v>#N/A</v>
      </c>
      <c r="BB32" s="1" t="e">
        <f>Table_LimitsCalc_Calculator[[#This Row],[Space 3 Limit Intensity]]*AT$9</f>
        <v>#N/A</v>
      </c>
      <c r="BC32" s="1" t="e">
        <f>Table_LimitsCalc_Calculator[[#This Row],[Space 4 Limit Intensity]]*AU$9</f>
        <v>#N/A</v>
      </c>
      <c r="BD32" s="1" t="e">
        <f>Table_LimitsCalc_Calculator[[#This Row],[Space 5 Limit Intensity]]*AV$9</f>
        <v>#N/A</v>
      </c>
      <c r="BE32" s="1" t="e">
        <f>Table_LimitsCalc_Calculator[[#This Row],[Space 6 Limit Intensity]]*AW$9</f>
        <v>#N/A</v>
      </c>
      <c r="BF32" s="1" t="e">
        <f>Table_LimitsCalc_Calculator[[#This Row],[Space 7 Limit Intensity]]*AX$9</f>
        <v>#N/A</v>
      </c>
      <c r="BG32" s="1" t="e">
        <f>Table_LimitsCalc_Calculator[[#This Row],[Space 8 Limit Intensity]]*AY$9</f>
        <v>#N/A</v>
      </c>
      <c r="BH32" s="84">
        <f>_xlfn.AGGREGATE(9,6,Table_LimitsCalc_Calculator[[#This Row],[Space 1 Limit (tCO2e)]:[Space 8 Limit (tCO2e)]])</f>
        <v>0</v>
      </c>
      <c r="BK32" s="5">
        <v>2044</v>
      </c>
      <c r="BL32" s="1" cm="1">
        <f t="array" ref="BL32">INDEX(Table_LL97SpaceLimits[],MATCH(BL$10,Table_LL97SpaceLimits[Property Type],0),MATCH(Table_LimitsCalc_Sample1[[#This Row],[Year]],VALUE(Table_LL97SpaceLimits[#Headers]),0))</f>
        <v>2.0527309999999999E-3</v>
      </c>
      <c r="BM32" s="1" cm="1">
        <f t="array" ref="BM32">INDEX(Table_LL97SpaceLimits[],MATCH(BM$10,Table_LL97SpaceLimits[Property Type],0),MATCH(Table_LimitsCalc_Sample1[[#This Row],[Year]],VALUE(Table_LL97SpaceLimits[#Headers]),0))</f>
        <v>1.3228200000000001E-4</v>
      </c>
      <c r="BN32" s="1" cm="1">
        <f t="array" ref="BN32">INDEX(Table_LL97SpaceLimits[],MATCH(BN$10,Table_LL97SpaceLimits[Property Type],0),MATCH(Table_LimitsCalc_Sample1[[#This Row],[Year]],VALUE(Table_LL97SpaceLimits[#Headers]),0))</f>
        <v>0</v>
      </c>
      <c r="BO32" s="1" cm="1">
        <f t="array" ref="BO32">INDEX(Table_LL97SpaceLimits[],MATCH(BO$10,Table_LL97SpaceLimits[Property Type],0),MATCH(Table_LimitsCalc_Sample1[[#This Row],[Year]],VALUE(Table_LL97SpaceLimits[#Headers]),0))</f>
        <v>3.8747069999999998E-3</v>
      </c>
      <c r="BP32" s="1" cm="1">
        <f t="array" ref="BP32">INDEX(Table_LL97SpaceLimits[],MATCH(BP$10,Table_LL97SpaceLimits[Property Type],0),MATCH(Table_LimitsCalc_Sample1[[#This Row],[Year]],VALUE(Table_LL97SpaceLimits[#Headers]),0))</f>
        <v>1.7604E-4</v>
      </c>
      <c r="BQ32" s="1" t="e" cm="1">
        <f t="array" ref="BQ32">INDEX(Table_LL97SpaceLimits[],MATCH(BQ$10,Table_LL97SpaceLimits[Property Type],0),MATCH(Table_LimitsCalc_Sample1[[#This Row],[Year]],VALUE(Table_LL97SpaceLimits[#Headers]),0))</f>
        <v>#N/A</v>
      </c>
      <c r="BR32" s="1" t="e" cm="1">
        <f t="array" ref="BR32">INDEX(Table_LL97SpaceLimits[],MATCH(BR$10,Table_LL97SpaceLimits[Property Type],0),MATCH(Table_LimitsCalc_Sample1[[#This Row],[Year]],VALUE(Table_LL97SpaceLimits[#Headers]),0))</f>
        <v>#N/A</v>
      </c>
      <c r="BS32" s="1" t="e" cm="1">
        <f t="array" ref="BS32">INDEX(Table_LL97SpaceLimits[],MATCH(BS$10,Table_LL97SpaceLimits[Property Type],0),MATCH(Table_LimitsCalc_Sample1[[#This Row],[Year]],VALUE(Table_LL97SpaceLimits[#Headers]),0))</f>
        <v>#N/A</v>
      </c>
      <c r="BT32" s="54">
        <f>Table_LimitsCalc_Sample1[[#This Row],[Space 1 Limit Intensity]]*BL$9</f>
        <v>113.5160243</v>
      </c>
      <c r="BU32" s="1">
        <f>Table_LimitsCalc_Sample1[[#This Row],[Space 2 Limit Intensity]]*BM$9</f>
        <v>0.66141000000000005</v>
      </c>
      <c r="BV32" s="1">
        <f>Table_LimitsCalc_Sample1[[#This Row],[Space 3 Limit Intensity]]*BN$9</f>
        <v>0</v>
      </c>
      <c r="BW32" s="1">
        <f>Table_LimitsCalc_Sample1[[#This Row],[Space 4 Limit Intensity]]*BO$9</f>
        <v>3.0997656</v>
      </c>
      <c r="BX32" s="1">
        <f>Table_LimitsCalc_Sample1[[#This Row],[Space 5 Limit Intensity]]*BP$9</f>
        <v>0.114426</v>
      </c>
      <c r="BY32" s="1" t="e">
        <f>Table_LimitsCalc_Sample1[[#This Row],[Space 6 Limit Intensity]]*BQ$9</f>
        <v>#N/A</v>
      </c>
      <c r="BZ32" s="1" t="e">
        <f>Table_LimitsCalc_Sample1[[#This Row],[Space 6 Limit Intensity]]*BR$9</f>
        <v>#N/A</v>
      </c>
      <c r="CA32" s="1" t="e">
        <f>Table_LimitsCalc_Sample1[[#This Row],[Space 6 Limit Intensity]]*BS$9</f>
        <v>#N/A</v>
      </c>
      <c r="CB32" s="84">
        <f>_xlfn.AGGREGATE(9,6,Table_LimitsCalc_Sample1[[#This Row],[Space 1 Limit (tCO2e)]:[Space 6 Limit (tCO2e)]])</f>
        <v>117.39162589999999</v>
      </c>
      <c r="CD32"/>
      <c r="CE32"/>
      <c r="CF32"/>
      <c r="CG32"/>
      <c r="CH32"/>
      <c r="CI32"/>
      <c r="CJ32"/>
      <c r="CK32"/>
      <c r="CL32"/>
      <c r="CM32"/>
      <c r="CN32"/>
      <c r="CO32"/>
      <c r="CP32"/>
      <c r="CQ32"/>
      <c r="CR32"/>
      <c r="CS32"/>
      <c r="CT32"/>
    </row>
    <row r="33" spans="5:98">
      <c r="E33"/>
      <c r="M33" s="35" t="s">
        <v>277</v>
      </c>
      <c r="N33" s="36">
        <v>4.2599999999999999E-3</v>
      </c>
      <c r="O33" s="36">
        <f>Table_LL97SpaceLimits[[#This Row],[2024]]</f>
        <v>4.2599999999999999E-3</v>
      </c>
      <c r="P33" s="36">
        <f>Table_LL97SpaceLimits[[#This Row],[2025]]</f>
        <v>4.2599999999999999E-3</v>
      </c>
      <c r="Q33" s="36">
        <f>Table_LL97SpaceLimits[[#This Row],[2026]]</f>
        <v>4.2599999999999999E-3</v>
      </c>
      <c r="R33" s="36">
        <f>Table_LL97SpaceLimits[[#This Row],[2027]]</f>
        <v>4.2599999999999999E-3</v>
      </c>
      <c r="S33" s="36">
        <f>Table_LL97SpaceLimits[[#This Row],[2028]]</f>
        <v>4.2599999999999999E-3</v>
      </c>
      <c r="T33" s="41">
        <v>1.98044E-3</v>
      </c>
      <c r="U33" s="37">
        <f>Table_LL97SpaceLimits[[#This Row],[2030]]</f>
        <v>1.98044E-3</v>
      </c>
      <c r="V33" s="37">
        <f>Table_LL97SpaceLimits[[#This Row],[2031]]</f>
        <v>1.98044E-3</v>
      </c>
      <c r="W33" s="37">
        <f>Table_LL97SpaceLimits[[#This Row],[2032]]</f>
        <v>1.98044E-3</v>
      </c>
      <c r="X33" s="37">
        <f>Table_LL97SpaceLimits[[#This Row],[2033]]</f>
        <v>1.98044E-3</v>
      </c>
      <c r="Y33" s="38">
        <v>1.48533E-3</v>
      </c>
      <c r="Z33" s="38">
        <f>Table_LL97SpaceLimits[[#This Row],[2035]]</f>
        <v>1.48533E-3</v>
      </c>
      <c r="AA33" s="38">
        <f>Table_LL97SpaceLimits[[#This Row],[2036]]</f>
        <v>1.48533E-3</v>
      </c>
      <c r="AB33" s="38">
        <f>Table_LL97SpaceLimits[[#This Row],[2037]]</f>
        <v>1.48533E-3</v>
      </c>
      <c r="AC33" s="38">
        <f>Table_LL97SpaceLimits[[#This Row],[2038]]</f>
        <v>1.48533E-3</v>
      </c>
      <c r="AD33" s="39">
        <v>9.9021999999999999E-4</v>
      </c>
      <c r="AE33" s="50">
        <f>Table_LL97SpaceLimits[[#This Row],[2040]]</f>
        <v>9.9021999999999999E-4</v>
      </c>
      <c r="AF33" s="50">
        <f>Table_LL97SpaceLimits[[#This Row],[2041]]</f>
        <v>9.9021999999999999E-4</v>
      </c>
      <c r="AG33" s="50">
        <f>Table_LL97SpaceLimits[[#This Row],[2042]]</f>
        <v>9.9021999999999999E-4</v>
      </c>
      <c r="AH33" s="50">
        <f>Table_LL97SpaceLimits[[#This Row],[2043]]</f>
        <v>9.9021999999999999E-4</v>
      </c>
      <c r="AI33" s="50">
        <f>Table_LL97SpaceLimits[[#This Row],[2044]]</f>
        <v>9.9021999999999999E-4</v>
      </c>
      <c r="AJ33" s="50">
        <f>Table_LL97SpaceLimits[[#This Row],[2045]]</f>
        <v>9.9021999999999999E-4</v>
      </c>
      <c r="AK33" s="50">
        <f>Table_LL97SpaceLimits[[#This Row],[2046]]</f>
        <v>9.9021999999999999E-4</v>
      </c>
      <c r="AL33" s="50">
        <f>Table_LL97SpaceLimits[[#This Row],[2047]]</f>
        <v>9.9021999999999999E-4</v>
      </c>
      <c r="AM33" s="50">
        <f>Table_LL97SpaceLimits[[#This Row],[2048]]</f>
        <v>9.9021999999999999E-4</v>
      </c>
      <c r="AN33" s="40">
        <v>0</v>
      </c>
      <c r="AQ33" s="5">
        <v>2045</v>
      </c>
      <c r="AR33" s="1" cm="1">
        <f t="array" ref="AR33">INDEX(Table_LL97SpaceLimits[],MATCH(AR$10,Table_LL97SpaceLimits[Property Type],0),MATCH(Table_LimitsCalc_Calculator[[#This Row],[Year]],VALUE(Table_LL97SpaceLimits[#Headers]),0))</f>
        <v>2.0527309999999999E-3</v>
      </c>
      <c r="AS33" s="1" t="e" cm="1">
        <f t="array" ref="AS33">INDEX(Table_LL97SpaceLimits[],MATCH(AS$10,Table_LL97SpaceLimits[Property Type],0),MATCH(Table_LimitsCalc_Calculator[[#This Row],[Year]],VALUE(Table_LL97SpaceLimits[#Headers]),0))</f>
        <v>#N/A</v>
      </c>
      <c r="AT33" s="1" t="e" cm="1">
        <f t="array" ref="AT33">INDEX(Table_LL97SpaceLimits[],MATCH(AT$10,Table_LL97SpaceLimits[Property Type],0),MATCH(Table_LimitsCalc_Calculator[[#This Row],[Year]],VALUE(Table_LL97SpaceLimits[#Headers]),0))</f>
        <v>#N/A</v>
      </c>
      <c r="AU33" s="1" t="e" cm="1">
        <f t="array" ref="AU33">INDEX(Table_LL97SpaceLimits[],MATCH(AU$10,Table_LL97SpaceLimits[Property Type],0),MATCH(Table_LimitsCalc_Calculator[[#This Row],[Year]],VALUE(Table_LL97SpaceLimits[#Headers]),0))</f>
        <v>#N/A</v>
      </c>
      <c r="AV33" s="1" t="e" cm="1">
        <f t="array" ref="AV33">INDEX(Table_LL97SpaceLimits[],MATCH(AV$10,Table_LL97SpaceLimits[Property Type],0),MATCH(Table_LimitsCalc_Calculator[[#This Row],[Year]],VALUE(Table_LL97SpaceLimits[#Headers]),0))</f>
        <v>#N/A</v>
      </c>
      <c r="AW33" s="1" t="e" cm="1">
        <f t="array" ref="AW33">INDEX(Table_LL97SpaceLimits[],MATCH(AW$10,Table_LL97SpaceLimits[Property Type],0),MATCH(Table_LimitsCalc_Calculator[[#This Row],[Year]],VALUE(Table_LL97SpaceLimits[#Headers]),0))</f>
        <v>#N/A</v>
      </c>
      <c r="AX33" s="1" t="e" cm="1">
        <f t="array" ref="AX33">INDEX(Table_LL97SpaceLimits[],MATCH(AX$10,Table_LL97SpaceLimits[Property Type],0),MATCH(Table_LimitsCalc_Calculator[[#This Row],[Year]],VALUE(Table_LL97SpaceLimits[#Headers]),0))</f>
        <v>#N/A</v>
      </c>
      <c r="AY33" s="1" t="e" cm="1">
        <f t="array" ref="AY33">INDEX(Table_LL97SpaceLimits[],MATCH(AY$10,Table_LL97SpaceLimits[Property Type],0),MATCH(Table_LimitsCalc_Calculator[[#This Row],[Year]],VALUE(Table_LL97SpaceLimits[#Headers]),0))</f>
        <v>#N/A</v>
      </c>
      <c r="AZ33" s="54">
        <f>Table_LimitsCalc_Calculator[[#This Row],[Space 1 Limit Intensity]]*AR$9</f>
        <v>0</v>
      </c>
      <c r="BA33" s="1" t="e">
        <f>Table_LimitsCalc_Calculator[[#This Row],[Space 2 Limit Intensity]]*AS$9</f>
        <v>#N/A</v>
      </c>
      <c r="BB33" s="1" t="e">
        <f>Table_LimitsCalc_Calculator[[#This Row],[Space 3 Limit Intensity]]*AT$9</f>
        <v>#N/A</v>
      </c>
      <c r="BC33" s="1" t="e">
        <f>Table_LimitsCalc_Calculator[[#This Row],[Space 4 Limit Intensity]]*AU$9</f>
        <v>#N/A</v>
      </c>
      <c r="BD33" s="1" t="e">
        <f>Table_LimitsCalc_Calculator[[#This Row],[Space 5 Limit Intensity]]*AV$9</f>
        <v>#N/A</v>
      </c>
      <c r="BE33" s="1" t="e">
        <f>Table_LimitsCalc_Calculator[[#This Row],[Space 6 Limit Intensity]]*AW$9</f>
        <v>#N/A</v>
      </c>
      <c r="BF33" s="1" t="e">
        <f>Table_LimitsCalc_Calculator[[#This Row],[Space 7 Limit Intensity]]*AX$9</f>
        <v>#N/A</v>
      </c>
      <c r="BG33" s="1" t="e">
        <f>Table_LimitsCalc_Calculator[[#This Row],[Space 8 Limit Intensity]]*AY$9</f>
        <v>#N/A</v>
      </c>
      <c r="BH33" s="84">
        <f>_xlfn.AGGREGATE(9,6,Table_LimitsCalc_Calculator[[#This Row],[Space 1 Limit (tCO2e)]:[Space 8 Limit (tCO2e)]])</f>
        <v>0</v>
      </c>
      <c r="BK33" s="5">
        <v>2045</v>
      </c>
      <c r="BL33" s="1" cm="1">
        <f t="array" ref="BL33">INDEX(Table_LL97SpaceLimits[],MATCH(BL$10,Table_LL97SpaceLimits[Property Type],0),MATCH(Table_LimitsCalc_Sample1[[#This Row],[Year]],VALUE(Table_LL97SpaceLimits[#Headers]),0))</f>
        <v>2.0527309999999999E-3</v>
      </c>
      <c r="BM33" s="1" cm="1">
        <f t="array" ref="BM33">INDEX(Table_LL97SpaceLimits[],MATCH(BM$10,Table_LL97SpaceLimits[Property Type],0),MATCH(Table_LimitsCalc_Sample1[[#This Row],[Year]],VALUE(Table_LL97SpaceLimits[#Headers]),0))</f>
        <v>1.3228200000000001E-4</v>
      </c>
      <c r="BN33" s="1" cm="1">
        <f t="array" ref="BN33">INDEX(Table_LL97SpaceLimits[],MATCH(BN$10,Table_LL97SpaceLimits[Property Type],0),MATCH(Table_LimitsCalc_Sample1[[#This Row],[Year]],VALUE(Table_LL97SpaceLimits[#Headers]),0))</f>
        <v>0</v>
      </c>
      <c r="BO33" s="1" cm="1">
        <f t="array" ref="BO33">INDEX(Table_LL97SpaceLimits[],MATCH(BO$10,Table_LL97SpaceLimits[Property Type],0),MATCH(Table_LimitsCalc_Sample1[[#This Row],[Year]],VALUE(Table_LL97SpaceLimits[#Headers]),0))</f>
        <v>3.8747069999999998E-3</v>
      </c>
      <c r="BP33" s="1" cm="1">
        <f t="array" ref="BP33">INDEX(Table_LL97SpaceLimits[],MATCH(BP$10,Table_LL97SpaceLimits[Property Type],0),MATCH(Table_LimitsCalc_Sample1[[#This Row],[Year]],VALUE(Table_LL97SpaceLimits[#Headers]),0))</f>
        <v>1.7604E-4</v>
      </c>
      <c r="BQ33" s="1" t="e" cm="1">
        <f t="array" ref="BQ33">INDEX(Table_LL97SpaceLimits[],MATCH(BQ$10,Table_LL97SpaceLimits[Property Type],0),MATCH(Table_LimitsCalc_Sample1[[#This Row],[Year]],VALUE(Table_LL97SpaceLimits[#Headers]),0))</f>
        <v>#N/A</v>
      </c>
      <c r="BR33" s="1" t="e" cm="1">
        <f t="array" ref="BR33">INDEX(Table_LL97SpaceLimits[],MATCH(BR$10,Table_LL97SpaceLimits[Property Type],0),MATCH(Table_LimitsCalc_Sample1[[#This Row],[Year]],VALUE(Table_LL97SpaceLimits[#Headers]),0))</f>
        <v>#N/A</v>
      </c>
      <c r="BS33" s="1" t="e" cm="1">
        <f t="array" ref="BS33">INDEX(Table_LL97SpaceLimits[],MATCH(BS$10,Table_LL97SpaceLimits[Property Type],0),MATCH(Table_LimitsCalc_Sample1[[#This Row],[Year]],VALUE(Table_LL97SpaceLimits[#Headers]),0))</f>
        <v>#N/A</v>
      </c>
      <c r="BT33" s="54">
        <f>Table_LimitsCalc_Sample1[[#This Row],[Space 1 Limit Intensity]]*BL$9</f>
        <v>113.5160243</v>
      </c>
      <c r="BU33" s="1">
        <f>Table_LimitsCalc_Sample1[[#This Row],[Space 2 Limit Intensity]]*BM$9</f>
        <v>0.66141000000000005</v>
      </c>
      <c r="BV33" s="1">
        <f>Table_LimitsCalc_Sample1[[#This Row],[Space 3 Limit Intensity]]*BN$9</f>
        <v>0</v>
      </c>
      <c r="BW33" s="1">
        <f>Table_LimitsCalc_Sample1[[#This Row],[Space 4 Limit Intensity]]*BO$9</f>
        <v>3.0997656</v>
      </c>
      <c r="BX33" s="1">
        <f>Table_LimitsCalc_Sample1[[#This Row],[Space 5 Limit Intensity]]*BP$9</f>
        <v>0.114426</v>
      </c>
      <c r="BY33" s="1" t="e">
        <f>Table_LimitsCalc_Sample1[[#This Row],[Space 6 Limit Intensity]]*BQ$9</f>
        <v>#N/A</v>
      </c>
      <c r="BZ33" s="1" t="e">
        <f>Table_LimitsCalc_Sample1[[#This Row],[Space 6 Limit Intensity]]*BR$9</f>
        <v>#N/A</v>
      </c>
      <c r="CA33" s="1" t="e">
        <f>Table_LimitsCalc_Sample1[[#This Row],[Space 6 Limit Intensity]]*BS$9</f>
        <v>#N/A</v>
      </c>
      <c r="CB33" s="84">
        <f>_xlfn.AGGREGATE(9,6,Table_LimitsCalc_Sample1[[#This Row],[Space 1 Limit (tCO2e)]:[Space 6 Limit (tCO2e)]])</f>
        <v>117.39162589999999</v>
      </c>
      <c r="CD33"/>
      <c r="CE33"/>
      <c r="CF33"/>
      <c r="CG33"/>
      <c r="CH33"/>
      <c r="CI33"/>
      <c r="CJ33"/>
      <c r="CK33"/>
      <c r="CL33"/>
      <c r="CM33"/>
      <c r="CN33"/>
      <c r="CO33"/>
      <c r="CP33"/>
      <c r="CQ33"/>
      <c r="CR33"/>
      <c r="CS33"/>
      <c r="CT33"/>
    </row>
    <row r="34" spans="5:98">
      <c r="E34"/>
      <c r="M34" s="35" t="s">
        <v>278</v>
      </c>
      <c r="N34" s="36">
        <v>7.5799999999999999E-3</v>
      </c>
      <c r="O34" s="36">
        <f>Table_LL97SpaceLimits[[#This Row],[2024]]</f>
        <v>7.5799999999999999E-3</v>
      </c>
      <c r="P34" s="36">
        <f>Table_LL97SpaceLimits[[#This Row],[2025]]</f>
        <v>7.5799999999999999E-3</v>
      </c>
      <c r="Q34" s="36">
        <f>Table_LL97SpaceLimits[[#This Row],[2026]]</f>
        <v>7.5799999999999999E-3</v>
      </c>
      <c r="R34" s="36">
        <f>Table_LL97SpaceLimits[[#This Row],[2027]]</f>
        <v>7.5799999999999999E-3</v>
      </c>
      <c r="S34" s="36">
        <f>Table_LL97SpaceLimits[[#This Row],[2028]]</f>
        <v>7.5799999999999999E-3</v>
      </c>
      <c r="T34" s="41">
        <v>1.4170299999999999E-3</v>
      </c>
      <c r="U34" s="37">
        <f>Table_LL97SpaceLimits[[#This Row],[2030]]</f>
        <v>1.4170299999999999E-3</v>
      </c>
      <c r="V34" s="37">
        <f>Table_LL97SpaceLimits[[#This Row],[2031]]</f>
        <v>1.4170299999999999E-3</v>
      </c>
      <c r="W34" s="37">
        <f>Table_LL97SpaceLimits[[#This Row],[2032]]</f>
        <v>1.4170299999999999E-3</v>
      </c>
      <c r="X34" s="37">
        <f>Table_LL97SpaceLimits[[#This Row],[2033]]</f>
        <v>1.4170299999999999E-3</v>
      </c>
      <c r="Y34" s="38">
        <v>9.7599299999999998E-4</v>
      </c>
      <c r="Z34" s="38">
        <f>Table_LL97SpaceLimits[[#This Row],[2035]]</f>
        <v>9.7599299999999998E-4</v>
      </c>
      <c r="AA34" s="38">
        <f>Table_LL97SpaceLimits[[#This Row],[2036]]</f>
        <v>9.7599299999999998E-4</v>
      </c>
      <c r="AB34" s="38">
        <f>Table_LL97SpaceLimits[[#This Row],[2037]]</f>
        <v>9.7599299999999998E-4</v>
      </c>
      <c r="AC34" s="38">
        <f>Table_LL97SpaceLimits[[#This Row],[2038]]</f>
        <v>9.7599299999999998E-4</v>
      </c>
      <c r="AD34" s="39">
        <v>5.0834600000000001E-4</v>
      </c>
      <c r="AE34" s="50">
        <f>Table_LL97SpaceLimits[[#This Row],[2040]]</f>
        <v>5.0834600000000001E-4</v>
      </c>
      <c r="AF34" s="50">
        <f>Table_LL97SpaceLimits[[#This Row],[2041]]</f>
        <v>5.0834600000000001E-4</v>
      </c>
      <c r="AG34" s="50">
        <f>Table_LL97SpaceLimits[[#This Row],[2042]]</f>
        <v>5.0834600000000001E-4</v>
      </c>
      <c r="AH34" s="50">
        <f>Table_LL97SpaceLimits[[#This Row],[2043]]</f>
        <v>5.0834600000000001E-4</v>
      </c>
      <c r="AI34" s="50">
        <f>Table_LL97SpaceLimits[[#This Row],[2044]]</f>
        <v>5.0834600000000001E-4</v>
      </c>
      <c r="AJ34" s="50">
        <f>Table_LL97SpaceLimits[[#This Row],[2045]]</f>
        <v>5.0834600000000001E-4</v>
      </c>
      <c r="AK34" s="50">
        <f>Table_LL97SpaceLimits[[#This Row],[2046]]</f>
        <v>5.0834600000000001E-4</v>
      </c>
      <c r="AL34" s="50">
        <f>Table_LL97SpaceLimits[[#This Row],[2047]]</f>
        <v>5.0834600000000001E-4</v>
      </c>
      <c r="AM34" s="50">
        <f>Table_LL97SpaceLimits[[#This Row],[2048]]</f>
        <v>5.0834600000000001E-4</v>
      </c>
      <c r="AN34" s="40">
        <v>0</v>
      </c>
      <c r="AQ34" s="5">
        <v>2046</v>
      </c>
      <c r="AR34" s="1" cm="1">
        <f t="array" ref="AR34">INDEX(Table_LL97SpaceLimits[],MATCH(AR$10,Table_LL97SpaceLimits[Property Type],0),MATCH(Table_LimitsCalc_Calculator[[#This Row],[Year]],VALUE(Table_LL97SpaceLimits[#Headers]),0))</f>
        <v>2.0527309999999999E-3</v>
      </c>
      <c r="AS34" s="1" t="e" cm="1">
        <f t="array" ref="AS34">INDEX(Table_LL97SpaceLimits[],MATCH(AS$10,Table_LL97SpaceLimits[Property Type],0),MATCH(Table_LimitsCalc_Calculator[[#This Row],[Year]],VALUE(Table_LL97SpaceLimits[#Headers]),0))</f>
        <v>#N/A</v>
      </c>
      <c r="AT34" s="1" t="e" cm="1">
        <f t="array" ref="AT34">INDEX(Table_LL97SpaceLimits[],MATCH(AT$10,Table_LL97SpaceLimits[Property Type],0),MATCH(Table_LimitsCalc_Calculator[[#This Row],[Year]],VALUE(Table_LL97SpaceLimits[#Headers]),0))</f>
        <v>#N/A</v>
      </c>
      <c r="AU34" s="1" t="e" cm="1">
        <f t="array" ref="AU34">INDEX(Table_LL97SpaceLimits[],MATCH(AU$10,Table_LL97SpaceLimits[Property Type],0),MATCH(Table_LimitsCalc_Calculator[[#This Row],[Year]],VALUE(Table_LL97SpaceLimits[#Headers]),0))</f>
        <v>#N/A</v>
      </c>
      <c r="AV34" s="1" t="e" cm="1">
        <f t="array" ref="AV34">INDEX(Table_LL97SpaceLimits[],MATCH(AV$10,Table_LL97SpaceLimits[Property Type],0),MATCH(Table_LimitsCalc_Calculator[[#This Row],[Year]],VALUE(Table_LL97SpaceLimits[#Headers]),0))</f>
        <v>#N/A</v>
      </c>
      <c r="AW34" s="1" t="e" cm="1">
        <f t="array" ref="AW34">INDEX(Table_LL97SpaceLimits[],MATCH(AW$10,Table_LL97SpaceLimits[Property Type],0),MATCH(Table_LimitsCalc_Calculator[[#This Row],[Year]],VALUE(Table_LL97SpaceLimits[#Headers]),0))</f>
        <v>#N/A</v>
      </c>
      <c r="AX34" s="1" t="e" cm="1">
        <f t="array" ref="AX34">INDEX(Table_LL97SpaceLimits[],MATCH(AX$10,Table_LL97SpaceLimits[Property Type],0),MATCH(Table_LimitsCalc_Calculator[[#This Row],[Year]],VALUE(Table_LL97SpaceLimits[#Headers]),0))</f>
        <v>#N/A</v>
      </c>
      <c r="AY34" s="1" t="e" cm="1">
        <f t="array" ref="AY34">INDEX(Table_LL97SpaceLimits[],MATCH(AY$10,Table_LL97SpaceLimits[Property Type],0),MATCH(Table_LimitsCalc_Calculator[[#This Row],[Year]],VALUE(Table_LL97SpaceLimits[#Headers]),0))</f>
        <v>#N/A</v>
      </c>
      <c r="AZ34" s="54">
        <f>Table_LimitsCalc_Calculator[[#This Row],[Space 1 Limit Intensity]]*AR$9</f>
        <v>0</v>
      </c>
      <c r="BA34" s="1" t="e">
        <f>Table_LimitsCalc_Calculator[[#This Row],[Space 2 Limit Intensity]]*AS$9</f>
        <v>#N/A</v>
      </c>
      <c r="BB34" s="1" t="e">
        <f>Table_LimitsCalc_Calculator[[#This Row],[Space 3 Limit Intensity]]*AT$9</f>
        <v>#N/A</v>
      </c>
      <c r="BC34" s="1" t="e">
        <f>Table_LimitsCalc_Calculator[[#This Row],[Space 4 Limit Intensity]]*AU$9</f>
        <v>#N/A</v>
      </c>
      <c r="BD34" s="1" t="e">
        <f>Table_LimitsCalc_Calculator[[#This Row],[Space 5 Limit Intensity]]*AV$9</f>
        <v>#N/A</v>
      </c>
      <c r="BE34" s="1" t="e">
        <f>Table_LimitsCalc_Calculator[[#This Row],[Space 6 Limit Intensity]]*AW$9</f>
        <v>#N/A</v>
      </c>
      <c r="BF34" s="1" t="e">
        <f>Table_LimitsCalc_Calculator[[#This Row],[Space 7 Limit Intensity]]*AX$9</f>
        <v>#N/A</v>
      </c>
      <c r="BG34" s="1" t="e">
        <f>Table_LimitsCalc_Calculator[[#This Row],[Space 8 Limit Intensity]]*AY$9</f>
        <v>#N/A</v>
      </c>
      <c r="BH34" s="84">
        <f>_xlfn.AGGREGATE(9,6,Table_LimitsCalc_Calculator[[#This Row],[Space 1 Limit (tCO2e)]:[Space 8 Limit (tCO2e)]])</f>
        <v>0</v>
      </c>
      <c r="BK34" s="5">
        <v>2046</v>
      </c>
      <c r="BL34" s="1" cm="1">
        <f t="array" ref="BL34">INDEX(Table_LL97SpaceLimits[],MATCH(BL$10,Table_LL97SpaceLimits[Property Type],0),MATCH(Table_LimitsCalc_Sample1[[#This Row],[Year]],VALUE(Table_LL97SpaceLimits[#Headers]),0))</f>
        <v>2.0527309999999999E-3</v>
      </c>
      <c r="BM34" s="1" cm="1">
        <f t="array" ref="BM34">INDEX(Table_LL97SpaceLimits[],MATCH(BM$10,Table_LL97SpaceLimits[Property Type],0),MATCH(Table_LimitsCalc_Sample1[[#This Row],[Year]],VALUE(Table_LL97SpaceLimits[#Headers]),0))</f>
        <v>1.3228200000000001E-4</v>
      </c>
      <c r="BN34" s="1" cm="1">
        <f t="array" ref="BN34">INDEX(Table_LL97SpaceLimits[],MATCH(BN$10,Table_LL97SpaceLimits[Property Type],0),MATCH(Table_LimitsCalc_Sample1[[#This Row],[Year]],VALUE(Table_LL97SpaceLimits[#Headers]),0))</f>
        <v>0</v>
      </c>
      <c r="BO34" s="1" cm="1">
        <f t="array" ref="BO34">INDEX(Table_LL97SpaceLimits[],MATCH(BO$10,Table_LL97SpaceLimits[Property Type],0),MATCH(Table_LimitsCalc_Sample1[[#This Row],[Year]],VALUE(Table_LL97SpaceLimits[#Headers]),0))</f>
        <v>3.8747069999999998E-3</v>
      </c>
      <c r="BP34" s="1" cm="1">
        <f t="array" ref="BP34">INDEX(Table_LL97SpaceLimits[],MATCH(BP$10,Table_LL97SpaceLimits[Property Type],0),MATCH(Table_LimitsCalc_Sample1[[#This Row],[Year]],VALUE(Table_LL97SpaceLimits[#Headers]),0))</f>
        <v>1.7604E-4</v>
      </c>
      <c r="BQ34" s="1" t="e" cm="1">
        <f t="array" ref="BQ34">INDEX(Table_LL97SpaceLimits[],MATCH(BQ$10,Table_LL97SpaceLimits[Property Type],0),MATCH(Table_LimitsCalc_Sample1[[#This Row],[Year]],VALUE(Table_LL97SpaceLimits[#Headers]),0))</f>
        <v>#N/A</v>
      </c>
      <c r="BR34" s="1" t="e" cm="1">
        <f t="array" ref="BR34">INDEX(Table_LL97SpaceLimits[],MATCH(BR$10,Table_LL97SpaceLimits[Property Type],0),MATCH(Table_LimitsCalc_Sample1[[#This Row],[Year]],VALUE(Table_LL97SpaceLimits[#Headers]),0))</f>
        <v>#N/A</v>
      </c>
      <c r="BS34" s="1" t="e" cm="1">
        <f t="array" ref="BS34">INDEX(Table_LL97SpaceLimits[],MATCH(BS$10,Table_LL97SpaceLimits[Property Type],0),MATCH(Table_LimitsCalc_Sample1[[#This Row],[Year]],VALUE(Table_LL97SpaceLimits[#Headers]),0))</f>
        <v>#N/A</v>
      </c>
      <c r="BT34" s="54">
        <f>Table_LimitsCalc_Sample1[[#This Row],[Space 1 Limit Intensity]]*BL$9</f>
        <v>113.5160243</v>
      </c>
      <c r="BU34" s="1">
        <f>Table_LimitsCalc_Sample1[[#This Row],[Space 2 Limit Intensity]]*BM$9</f>
        <v>0.66141000000000005</v>
      </c>
      <c r="BV34" s="1">
        <f>Table_LimitsCalc_Sample1[[#This Row],[Space 3 Limit Intensity]]*BN$9</f>
        <v>0</v>
      </c>
      <c r="BW34" s="1">
        <f>Table_LimitsCalc_Sample1[[#This Row],[Space 4 Limit Intensity]]*BO$9</f>
        <v>3.0997656</v>
      </c>
      <c r="BX34" s="1">
        <f>Table_LimitsCalc_Sample1[[#This Row],[Space 5 Limit Intensity]]*BP$9</f>
        <v>0.114426</v>
      </c>
      <c r="BY34" s="1" t="e">
        <f>Table_LimitsCalc_Sample1[[#This Row],[Space 6 Limit Intensity]]*BQ$9</f>
        <v>#N/A</v>
      </c>
      <c r="BZ34" s="1" t="e">
        <f>Table_LimitsCalc_Sample1[[#This Row],[Space 6 Limit Intensity]]*BR$9</f>
        <v>#N/A</v>
      </c>
      <c r="CA34" s="1" t="e">
        <f>Table_LimitsCalc_Sample1[[#This Row],[Space 6 Limit Intensity]]*BS$9</f>
        <v>#N/A</v>
      </c>
      <c r="CB34" s="84">
        <f>_xlfn.AGGREGATE(9,6,Table_LimitsCalc_Sample1[[#This Row],[Space 1 Limit (tCO2e)]:[Space 6 Limit (tCO2e)]])</f>
        <v>117.39162589999999</v>
      </c>
      <c r="CD34"/>
      <c r="CE34"/>
      <c r="CF34"/>
      <c r="CG34"/>
      <c r="CH34"/>
      <c r="CI34"/>
      <c r="CJ34"/>
      <c r="CK34"/>
      <c r="CL34"/>
      <c r="CM34"/>
      <c r="CN34"/>
      <c r="CO34"/>
      <c r="CP34"/>
      <c r="CQ34"/>
      <c r="CR34"/>
      <c r="CS34"/>
      <c r="CT34"/>
    </row>
    <row r="35" spans="5:98">
      <c r="E35"/>
      <c r="M35" s="35" t="s">
        <v>279</v>
      </c>
      <c r="N35" s="36">
        <v>1.074E-2</v>
      </c>
      <c r="O35" s="36">
        <f>Table_LL97SpaceLimits[[#This Row],[2024]]</f>
        <v>1.074E-2</v>
      </c>
      <c r="P35" s="36">
        <f>Table_LL97SpaceLimits[[#This Row],[2025]]</f>
        <v>1.074E-2</v>
      </c>
      <c r="Q35" s="36">
        <f>Table_LL97SpaceLimits[[#This Row],[2026]]</f>
        <v>1.074E-2</v>
      </c>
      <c r="R35" s="36">
        <f>Table_LL97SpaceLimits[[#This Row],[2027]]</f>
        <v>1.074E-2</v>
      </c>
      <c r="S35" s="36">
        <f>Table_LL97SpaceLimits[[#This Row],[2028]]</f>
        <v>1.074E-2</v>
      </c>
      <c r="T35" s="41">
        <v>2.912778E-3</v>
      </c>
      <c r="U35" s="37">
        <f>Table_LL97SpaceLimits[[#This Row],[2030]]</f>
        <v>2.912778E-3</v>
      </c>
      <c r="V35" s="37">
        <f>Table_LL97SpaceLimits[[#This Row],[2031]]</f>
        <v>2.912778E-3</v>
      </c>
      <c r="W35" s="37">
        <f>Table_LL97SpaceLimits[[#This Row],[2032]]</f>
        <v>2.912778E-3</v>
      </c>
      <c r="X35" s="37">
        <f>Table_LL97SpaceLimits[[#This Row],[2033]]</f>
        <v>2.912778E-3</v>
      </c>
      <c r="Y35" s="38">
        <v>1.6835649999999999E-3</v>
      </c>
      <c r="Z35" s="38">
        <f>Table_LL97SpaceLimits[[#This Row],[2035]]</f>
        <v>1.6835649999999999E-3</v>
      </c>
      <c r="AA35" s="38">
        <f>Table_LL97SpaceLimits[[#This Row],[2036]]</f>
        <v>1.6835649999999999E-3</v>
      </c>
      <c r="AB35" s="38">
        <f>Table_LL97SpaceLimits[[#This Row],[2037]]</f>
        <v>1.6835649999999999E-3</v>
      </c>
      <c r="AC35" s="38">
        <f>Table_LL97SpaceLimits[[#This Row],[2038]]</f>
        <v>1.6835649999999999E-3</v>
      </c>
      <c r="AD35" s="39">
        <v>4.0785099999999998E-4</v>
      </c>
      <c r="AE35" s="50">
        <f>Table_LL97SpaceLimits[[#This Row],[2040]]</f>
        <v>4.0785099999999998E-4</v>
      </c>
      <c r="AF35" s="50">
        <f>Table_LL97SpaceLimits[[#This Row],[2041]]</f>
        <v>4.0785099999999998E-4</v>
      </c>
      <c r="AG35" s="50">
        <f>Table_LL97SpaceLimits[[#This Row],[2042]]</f>
        <v>4.0785099999999998E-4</v>
      </c>
      <c r="AH35" s="50">
        <f>Table_LL97SpaceLimits[[#This Row],[2043]]</f>
        <v>4.0785099999999998E-4</v>
      </c>
      <c r="AI35" s="50">
        <f>Table_LL97SpaceLimits[[#This Row],[2044]]</f>
        <v>4.0785099999999998E-4</v>
      </c>
      <c r="AJ35" s="50">
        <f>Table_LL97SpaceLimits[[#This Row],[2045]]</f>
        <v>4.0785099999999998E-4</v>
      </c>
      <c r="AK35" s="50">
        <f>Table_LL97SpaceLimits[[#This Row],[2046]]</f>
        <v>4.0785099999999998E-4</v>
      </c>
      <c r="AL35" s="50">
        <f>Table_LL97SpaceLimits[[#This Row],[2047]]</f>
        <v>4.0785099999999998E-4</v>
      </c>
      <c r="AM35" s="50">
        <f>Table_LL97SpaceLimits[[#This Row],[2048]]</f>
        <v>4.0785099999999998E-4</v>
      </c>
      <c r="AN35" s="40">
        <v>0</v>
      </c>
      <c r="AQ35" s="5">
        <v>2047</v>
      </c>
      <c r="AR35" s="1" cm="1">
        <f t="array" ref="AR35">INDEX(Table_LL97SpaceLimits[],MATCH(AR$10,Table_LL97SpaceLimits[Property Type],0),MATCH(Table_LimitsCalc_Calculator[[#This Row],[Year]],VALUE(Table_LL97SpaceLimits[#Headers]),0))</f>
        <v>2.0527309999999999E-3</v>
      </c>
      <c r="AS35" s="1" t="e" cm="1">
        <f t="array" ref="AS35">INDEX(Table_LL97SpaceLimits[],MATCH(AS$10,Table_LL97SpaceLimits[Property Type],0),MATCH(Table_LimitsCalc_Calculator[[#This Row],[Year]],VALUE(Table_LL97SpaceLimits[#Headers]),0))</f>
        <v>#N/A</v>
      </c>
      <c r="AT35" s="1" t="e" cm="1">
        <f t="array" ref="AT35">INDEX(Table_LL97SpaceLimits[],MATCH(AT$10,Table_LL97SpaceLimits[Property Type],0),MATCH(Table_LimitsCalc_Calculator[[#This Row],[Year]],VALUE(Table_LL97SpaceLimits[#Headers]),0))</f>
        <v>#N/A</v>
      </c>
      <c r="AU35" s="1" t="e" cm="1">
        <f t="array" ref="AU35">INDEX(Table_LL97SpaceLimits[],MATCH(AU$10,Table_LL97SpaceLimits[Property Type],0),MATCH(Table_LimitsCalc_Calculator[[#This Row],[Year]],VALUE(Table_LL97SpaceLimits[#Headers]),0))</f>
        <v>#N/A</v>
      </c>
      <c r="AV35" s="1" t="e" cm="1">
        <f t="array" ref="AV35">INDEX(Table_LL97SpaceLimits[],MATCH(AV$10,Table_LL97SpaceLimits[Property Type],0),MATCH(Table_LimitsCalc_Calculator[[#This Row],[Year]],VALUE(Table_LL97SpaceLimits[#Headers]),0))</f>
        <v>#N/A</v>
      </c>
      <c r="AW35" s="1" t="e" cm="1">
        <f t="array" ref="AW35">INDEX(Table_LL97SpaceLimits[],MATCH(AW$10,Table_LL97SpaceLimits[Property Type],0),MATCH(Table_LimitsCalc_Calculator[[#This Row],[Year]],VALUE(Table_LL97SpaceLimits[#Headers]),0))</f>
        <v>#N/A</v>
      </c>
      <c r="AX35" s="1" t="e" cm="1">
        <f t="array" ref="AX35">INDEX(Table_LL97SpaceLimits[],MATCH(AX$10,Table_LL97SpaceLimits[Property Type],0),MATCH(Table_LimitsCalc_Calculator[[#This Row],[Year]],VALUE(Table_LL97SpaceLimits[#Headers]),0))</f>
        <v>#N/A</v>
      </c>
      <c r="AY35" s="1" t="e" cm="1">
        <f t="array" ref="AY35">INDEX(Table_LL97SpaceLimits[],MATCH(AY$10,Table_LL97SpaceLimits[Property Type],0),MATCH(Table_LimitsCalc_Calculator[[#This Row],[Year]],VALUE(Table_LL97SpaceLimits[#Headers]),0))</f>
        <v>#N/A</v>
      </c>
      <c r="AZ35" s="54">
        <f>Table_LimitsCalc_Calculator[[#This Row],[Space 1 Limit Intensity]]*AR$9</f>
        <v>0</v>
      </c>
      <c r="BA35" s="1" t="e">
        <f>Table_LimitsCalc_Calculator[[#This Row],[Space 2 Limit Intensity]]*AS$9</f>
        <v>#N/A</v>
      </c>
      <c r="BB35" s="1" t="e">
        <f>Table_LimitsCalc_Calculator[[#This Row],[Space 3 Limit Intensity]]*AT$9</f>
        <v>#N/A</v>
      </c>
      <c r="BC35" s="1" t="e">
        <f>Table_LimitsCalc_Calculator[[#This Row],[Space 4 Limit Intensity]]*AU$9</f>
        <v>#N/A</v>
      </c>
      <c r="BD35" s="1" t="e">
        <f>Table_LimitsCalc_Calculator[[#This Row],[Space 5 Limit Intensity]]*AV$9</f>
        <v>#N/A</v>
      </c>
      <c r="BE35" s="1" t="e">
        <f>Table_LimitsCalc_Calculator[[#This Row],[Space 6 Limit Intensity]]*AW$9</f>
        <v>#N/A</v>
      </c>
      <c r="BF35" s="1" t="e">
        <f>Table_LimitsCalc_Calculator[[#This Row],[Space 7 Limit Intensity]]*AX$9</f>
        <v>#N/A</v>
      </c>
      <c r="BG35" s="1" t="e">
        <f>Table_LimitsCalc_Calculator[[#This Row],[Space 8 Limit Intensity]]*AY$9</f>
        <v>#N/A</v>
      </c>
      <c r="BH35" s="84">
        <f>_xlfn.AGGREGATE(9,6,Table_LimitsCalc_Calculator[[#This Row],[Space 1 Limit (tCO2e)]:[Space 8 Limit (tCO2e)]])</f>
        <v>0</v>
      </c>
      <c r="BK35" s="5">
        <v>2047</v>
      </c>
      <c r="BL35" s="1" cm="1">
        <f t="array" ref="BL35">INDEX(Table_LL97SpaceLimits[],MATCH(BL$10,Table_LL97SpaceLimits[Property Type],0),MATCH(Table_LimitsCalc_Sample1[[#This Row],[Year]],VALUE(Table_LL97SpaceLimits[#Headers]),0))</f>
        <v>2.0527309999999999E-3</v>
      </c>
      <c r="BM35" s="1" cm="1">
        <f t="array" ref="BM35">INDEX(Table_LL97SpaceLimits[],MATCH(BM$10,Table_LL97SpaceLimits[Property Type],0),MATCH(Table_LimitsCalc_Sample1[[#This Row],[Year]],VALUE(Table_LL97SpaceLimits[#Headers]),0))</f>
        <v>1.3228200000000001E-4</v>
      </c>
      <c r="BN35" s="1" cm="1">
        <f t="array" ref="BN35">INDEX(Table_LL97SpaceLimits[],MATCH(BN$10,Table_LL97SpaceLimits[Property Type],0),MATCH(Table_LimitsCalc_Sample1[[#This Row],[Year]],VALUE(Table_LL97SpaceLimits[#Headers]),0))</f>
        <v>0</v>
      </c>
      <c r="BO35" s="1" cm="1">
        <f t="array" ref="BO35">INDEX(Table_LL97SpaceLimits[],MATCH(BO$10,Table_LL97SpaceLimits[Property Type],0),MATCH(Table_LimitsCalc_Sample1[[#This Row],[Year]],VALUE(Table_LL97SpaceLimits[#Headers]),0))</f>
        <v>3.8747069999999998E-3</v>
      </c>
      <c r="BP35" s="1" cm="1">
        <f t="array" ref="BP35">INDEX(Table_LL97SpaceLimits[],MATCH(BP$10,Table_LL97SpaceLimits[Property Type],0),MATCH(Table_LimitsCalc_Sample1[[#This Row],[Year]],VALUE(Table_LL97SpaceLimits[#Headers]),0))</f>
        <v>1.7604E-4</v>
      </c>
      <c r="BQ35" s="1" t="e" cm="1">
        <f t="array" ref="BQ35">INDEX(Table_LL97SpaceLimits[],MATCH(BQ$10,Table_LL97SpaceLimits[Property Type],0),MATCH(Table_LimitsCalc_Sample1[[#This Row],[Year]],VALUE(Table_LL97SpaceLimits[#Headers]),0))</f>
        <v>#N/A</v>
      </c>
      <c r="BR35" s="1" t="e" cm="1">
        <f t="array" ref="BR35">INDEX(Table_LL97SpaceLimits[],MATCH(BR$10,Table_LL97SpaceLimits[Property Type],0),MATCH(Table_LimitsCalc_Sample1[[#This Row],[Year]],VALUE(Table_LL97SpaceLimits[#Headers]),0))</f>
        <v>#N/A</v>
      </c>
      <c r="BS35" s="1" t="e" cm="1">
        <f t="array" ref="BS35">INDEX(Table_LL97SpaceLimits[],MATCH(BS$10,Table_LL97SpaceLimits[Property Type],0),MATCH(Table_LimitsCalc_Sample1[[#This Row],[Year]],VALUE(Table_LL97SpaceLimits[#Headers]),0))</f>
        <v>#N/A</v>
      </c>
      <c r="BT35" s="54">
        <f>Table_LimitsCalc_Sample1[[#This Row],[Space 1 Limit Intensity]]*BL$9</f>
        <v>113.5160243</v>
      </c>
      <c r="BU35" s="1">
        <f>Table_LimitsCalc_Sample1[[#This Row],[Space 2 Limit Intensity]]*BM$9</f>
        <v>0.66141000000000005</v>
      </c>
      <c r="BV35" s="1">
        <f>Table_LimitsCalc_Sample1[[#This Row],[Space 3 Limit Intensity]]*BN$9</f>
        <v>0</v>
      </c>
      <c r="BW35" s="1">
        <f>Table_LimitsCalc_Sample1[[#This Row],[Space 4 Limit Intensity]]*BO$9</f>
        <v>3.0997656</v>
      </c>
      <c r="BX35" s="1">
        <f>Table_LimitsCalc_Sample1[[#This Row],[Space 5 Limit Intensity]]*BP$9</f>
        <v>0.114426</v>
      </c>
      <c r="BY35" s="1" t="e">
        <f>Table_LimitsCalc_Sample1[[#This Row],[Space 6 Limit Intensity]]*BQ$9</f>
        <v>#N/A</v>
      </c>
      <c r="BZ35" s="1" t="e">
        <f>Table_LimitsCalc_Sample1[[#This Row],[Space 6 Limit Intensity]]*BR$9</f>
        <v>#N/A</v>
      </c>
      <c r="CA35" s="1" t="e">
        <f>Table_LimitsCalc_Sample1[[#This Row],[Space 6 Limit Intensity]]*BS$9</f>
        <v>#N/A</v>
      </c>
      <c r="CB35" s="84">
        <f>_xlfn.AGGREGATE(9,6,Table_LimitsCalc_Sample1[[#This Row],[Space 1 Limit (tCO2e)]:[Space 6 Limit (tCO2e)]])</f>
        <v>117.39162589999999</v>
      </c>
      <c r="CD35"/>
      <c r="CE35"/>
      <c r="CF35"/>
      <c r="CG35"/>
      <c r="CH35"/>
      <c r="CI35"/>
      <c r="CJ35"/>
      <c r="CK35"/>
      <c r="CL35"/>
      <c r="CM35"/>
      <c r="CN35"/>
      <c r="CO35"/>
      <c r="CP35"/>
      <c r="CQ35"/>
      <c r="CR35"/>
      <c r="CS35"/>
      <c r="CT35"/>
    </row>
    <row r="36" spans="5:98">
      <c r="E36"/>
      <c r="M36" s="35" t="s">
        <v>280</v>
      </c>
      <c r="N36" s="36">
        <v>1.1809999999999999E-2</v>
      </c>
      <c r="O36" s="36">
        <f>Table_LL97SpaceLimits[[#This Row],[2024]]</f>
        <v>1.1809999999999999E-2</v>
      </c>
      <c r="P36" s="36">
        <f>Table_LL97SpaceLimits[[#This Row],[2025]]</f>
        <v>1.1809999999999999E-2</v>
      </c>
      <c r="Q36" s="36">
        <f>Table_LL97SpaceLimits[[#This Row],[2026]]</f>
        <v>1.1809999999999999E-2</v>
      </c>
      <c r="R36" s="36">
        <f>Table_LL97SpaceLimits[[#This Row],[2027]]</f>
        <v>1.1809999999999999E-2</v>
      </c>
      <c r="S36" s="36">
        <f>Table_LL97SpaceLimits[[#This Row],[2028]]</f>
        <v>1.1809999999999999E-2</v>
      </c>
      <c r="T36" s="41">
        <v>5.3952679999999999E-3</v>
      </c>
      <c r="U36" s="37">
        <f>Table_LL97SpaceLimits[[#This Row],[2030]]</f>
        <v>5.3952679999999999E-3</v>
      </c>
      <c r="V36" s="37">
        <f>Table_LL97SpaceLimits[[#This Row],[2031]]</f>
        <v>5.3952679999999999E-3</v>
      </c>
      <c r="W36" s="37">
        <f>Table_LL97SpaceLimits[[#This Row],[2032]]</f>
        <v>5.3952679999999999E-3</v>
      </c>
      <c r="X36" s="37">
        <f>Table_LL97SpaceLimits[[#This Row],[2033]]</f>
        <v>5.3952679999999999E-3</v>
      </c>
      <c r="Y36" s="38">
        <v>4.0464510000000004E-3</v>
      </c>
      <c r="Z36" s="38">
        <f>Table_LL97SpaceLimits[[#This Row],[2035]]</f>
        <v>4.0464510000000004E-3</v>
      </c>
      <c r="AA36" s="38">
        <f>Table_LL97SpaceLimits[[#This Row],[2036]]</f>
        <v>4.0464510000000004E-3</v>
      </c>
      <c r="AB36" s="38">
        <f>Table_LL97SpaceLimits[[#This Row],[2037]]</f>
        <v>4.0464510000000004E-3</v>
      </c>
      <c r="AC36" s="38">
        <f>Table_LL97SpaceLimits[[#This Row],[2038]]</f>
        <v>4.0464510000000004E-3</v>
      </c>
      <c r="AD36" s="39">
        <v>2.697634E-3</v>
      </c>
      <c r="AE36" s="50">
        <f>Table_LL97SpaceLimits[[#This Row],[2040]]</f>
        <v>2.697634E-3</v>
      </c>
      <c r="AF36" s="50">
        <f>Table_LL97SpaceLimits[[#This Row],[2041]]</f>
        <v>2.697634E-3</v>
      </c>
      <c r="AG36" s="50">
        <f>Table_LL97SpaceLimits[[#This Row],[2042]]</f>
        <v>2.697634E-3</v>
      </c>
      <c r="AH36" s="50">
        <f>Table_LL97SpaceLimits[[#This Row],[2043]]</f>
        <v>2.697634E-3</v>
      </c>
      <c r="AI36" s="50">
        <f>Table_LL97SpaceLimits[[#This Row],[2044]]</f>
        <v>2.697634E-3</v>
      </c>
      <c r="AJ36" s="50">
        <f>Table_LL97SpaceLimits[[#This Row],[2045]]</f>
        <v>2.697634E-3</v>
      </c>
      <c r="AK36" s="50">
        <f>Table_LL97SpaceLimits[[#This Row],[2046]]</f>
        <v>2.697634E-3</v>
      </c>
      <c r="AL36" s="50">
        <f>Table_LL97SpaceLimits[[#This Row],[2047]]</f>
        <v>2.697634E-3</v>
      </c>
      <c r="AM36" s="50">
        <f>Table_LL97SpaceLimits[[#This Row],[2048]]</f>
        <v>2.697634E-3</v>
      </c>
      <c r="AN36" s="40">
        <v>0</v>
      </c>
      <c r="AQ36" s="5">
        <v>2048</v>
      </c>
      <c r="AR36" s="1" cm="1">
        <f t="array" ref="AR36">INDEX(Table_LL97SpaceLimits[],MATCH(AR$10,Table_LL97SpaceLimits[Property Type],0),MATCH(Table_LimitsCalc_Calculator[[#This Row],[Year]],VALUE(Table_LL97SpaceLimits[#Headers]),0))</f>
        <v>2.0527309999999999E-3</v>
      </c>
      <c r="AS36" s="1" t="e" cm="1">
        <f t="array" ref="AS36">INDEX(Table_LL97SpaceLimits[],MATCH(AS$10,Table_LL97SpaceLimits[Property Type],0),MATCH(Table_LimitsCalc_Calculator[[#This Row],[Year]],VALUE(Table_LL97SpaceLimits[#Headers]),0))</f>
        <v>#N/A</v>
      </c>
      <c r="AT36" s="1" t="e" cm="1">
        <f t="array" ref="AT36">INDEX(Table_LL97SpaceLimits[],MATCH(AT$10,Table_LL97SpaceLimits[Property Type],0),MATCH(Table_LimitsCalc_Calculator[[#This Row],[Year]],VALUE(Table_LL97SpaceLimits[#Headers]),0))</f>
        <v>#N/A</v>
      </c>
      <c r="AU36" s="1" t="e" cm="1">
        <f t="array" ref="AU36">INDEX(Table_LL97SpaceLimits[],MATCH(AU$10,Table_LL97SpaceLimits[Property Type],0),MATCH(Table_LimitsCalc_Calculator[[#This Row],[Year]],VALUE(Table_LL97SpaceLimits[#Headers]),0))</f>
        <v>#N/A</v>
      </c>
      <c r="AV36" s="1" t="e" cm="1">
        <f t="array" ref="AV36">INDEX(Table_LL97SpaceLimits[],MATCH(AV$10,Table_LL97SpaceLimits[Property Type],0),MATCH(Table_LimitsCalc_Calculator[[#This Row],[Year]],VALUE(Table_LL97SpaceLimits[#Headers]),0))</f>
        <v>#N/A</v>
      </c>
      <c r="AW36" s="1" t="e" cm="1">
        <f t="array" ref="AW36">INDEX(Table_LL97SpaceLimits[],MATCH(AW$10,Table_LL97SpaceLimits[Property Type],0),MATCH(Table_LimitsCalc_Calculator[[#This Row],[Year]],VALUE(Table_LL97SpaceLimits[#Headers]),0))</f>
        <v>#N/A</v>
      </c>
      <c r="AX36" s="1" t="e" cm="1">
        <f t="array" ref="AX36">INDEX(Table_LL97SpaceLimits[],MATCH(AX$10,Table_LL97SpaceLimits[Property Type],0),MATCH(Table_LimitsCalc_Calculator[[#This Row],[Year]],VALUE(Table_LL97SpaceLimits[#Headers]),0))</f>
        <v>#N/A</v>
      </c>
      <c r="AY36" s="1" t="e" cm="1">
        <f t="array" ref="AY36">INDEX(Table_LL97SpaceLimits[],MATCH(AY$10,Table_LL97SpaceLimits[Property Type],0),MATCH(Table_LimitsCalc_Calculator[[#This Row],[Year]],VALUE(Table_LL97SpaceLimits[#Headers]),0))</f>
        <v>#N/A</v>
      </c>
      <c r="AZ36" s="54">
        <f>Table_LimitsCalc_Calculator[[#This Row],[Space 1 Limit Intensity]]*AR$9</f>
        <v>0</v>
      </c>
      <c r="BA36" s="1" t="e">
        <f>Table_LimitsCalc_Calculator[[#This Row],[Space 2 Limit Intensity]]*AS$9</f>
        <v>#N/A</v>
      </c>
      <c r="BB36" s="1" t="e">
        <f>Table_LimitsCalc_Calculator[[#This Row],[Space 3 Limit Intensity]]*AT$9</f>
        <v>#N/A</v>
      </c>
      <c r="BC36" s="1" t="e">
        <f>Table_LimitsCalc_Calculator[[#This Row],[Space 4 Limit Intensity]]*AU$9</f>
        <v>#N/A</v>
      </c>
      <c r="BD36" s="1" t="e">
        <f>Table_LimitsCalc_Calculator[[#This Row],[Space 5 Limit Intensity]]*AV$9</f>
        <v>#N/A</v>
      </c>
      <c r="BE36" s="1" t="e">
        <f>Table_LimitsCalc_Calculator[[#This Row],[Space 6 Limit Intensity]]*AW$9</f>
        <v>#N/A</v>
      </c>
      <c r="BF36" s="1" t="e">
        <f>Table_LimitsCalc_Calculator[[#This Row],[Space 7 Limit Intensity]]*AX$9</f>
        <v>#N/A</v>
      </c>
      <c r="BG36" s="1" t="e">
        <f>Table_LimitsCalc_Calculator[[#This Row],[Space 8 Limit Intensity]]*AY$9</f>
        <v>#N/A</v>
      </c>
      <c r="BH36" s="84">
        <f>_xlfn.AGGREGATE(9,6,Table_LimitsCalc_Calculator[[#This Row],[Space 1 Limit (tCO2e)]:[Space 8 Limit (tCO2e)]])</f>
        <v>0</v>
      </c>
      <c r="BK36" s="5">
        <v>2048</v>
      </c>
      <c r="BL36" s="1" cm="1">
        <f t="array" ref="BL36">INDEX(Table_LL97SpaceLimits[],MATCH(BL$10,Table_LL97SpaceLimits[Property Type],0),MATCH(Table_LimitsCalc_Sample1[[#This Row],[Year]],VALUE(Table_LL97SpaceLimits[#Headers]),0))</f>
        <v>2.0527309999999999E-3</v>
      </c>
      <c r="BM36" s="1" cm="1">
        <f t="array" ref="BM36">INDEX(Table_LL97SpaceLimits[],MATCH(BM$10,Table_LL97SpaceLimits[Property Type],0),MATCH(Table_LimitsCalc_Sample1[[#This Row],[Year]],VALUE(Table_LL97SpaceLimits[#Headers]),0))</f>
        <v>1.3228200000000001E-4</v>
      </c>
      <c r="BN36" s="1" cm="1">
        <f t="array" ref="BN36">INDEX(Table_LL97SpaceLimits[],MATCH(BN$10,Table_LL97SpaceLimits[Property Type],0),MATCH(Table_LimitsCalc_Sample1[[#This Row],[Year]],VALUE(Table_LL97SpaceLimits[#Headers]),0))</f>
        <v>0</v>
      </c>
      <c r="BO36" s="1" cm="1">
        <f t="array" ref="BO36">INDEX(Table_LL97SpaceLimits[],MATCH(BO$10,Table_LL97SpaceLimits[Property Type],0),MATCH(Table_LimitsCalc_Sample1[[#This Row],[Year]],VALUE(Table_LL97SpaceLimits[#Headers]),0))</f>
        <v>3.8747069999999998E-3</v>
      </c>
      <c r="BP36" s="1" cm="1">
        <f t="array" ref="BP36">INDEX(Table_LL97SpaceLimits[],MATCH(BP$10,Table_LL97SpaceLimits[Property Type],0),MATCH(Table_LimitsCalc_Sample1[[#This Row],[Year]],VALUE(Table_LL97SpaceLimits[#Headers]),0))</f>
        <v>1.7604E-4</v>
      </c>
      <c r="BQ36" s="1" t="e" cm="1">
        <f t="array" ref="BQ36">INDEX(Table_LL97SpaceLimits[],MATCH(BQ$10,Table_LL97SpaceLimits[Property Type],0),MATCH(Table_LimitsCalc_Sample1[[#This Row],[Year]],VALUE(Table_LL97SpaceLimits[#Headers]),0))</f>
        <v>#N/A</v>
      </c>
      <c r="BR36" s="1" t="e" cm="1">
        <f t="array" ref="BR36">INDEX(Table_LL97SpaceLimits[],MATCH(BR$10,Table_LL97SpaceLimits[Property Type],0),MATCH(Table_LimitsCalc_Sample1[[#This Row],[Year]],VALUE(Table_LL97SpaceLimits[#Headers]),0))</f>
        <v>#N/A</v>
      </c>
      <c r="BS36" s="1" t="e" cm="1">
        <f t="array" ref="BS36">INDEX(Table_LL97SpaceLimits[],MATCH(BS$10,Table_LL97SpaceLimits[Property Type],0),MATCH(Table_LimitsCalc_Sample1[[#This Row],[Year]],VALUE(Table_LL97SpaceLimits[#Headers]),0))</f>
        <v>#N/A</v>
      </c>
      <c r="BT36" s="54">
        <f>Table_LimitsCalc_Sample1[[#This Row],[Space 1 Limit Intensity]]*BL$9</f>
        <v>113.5160243</v>
      </c>
      <c r="BU36" s="1">
        <f>Table_LimitsCalc_Sample1[[#This Row],[Space 2 Limit Intensity]]*BM$9</f>
        <v>0.66141000000000005</v>
      </c>
      <c r="BV36" s="1">
        <f>Table_LimitsCalc_Sample1[[#This Row],[Space 3 Limit Intensity]]*BN$9</f>
        <v>0</v>
      </c>
      <c r="BW36" s="1">
        <f>Table_LimitsCalc_Sample1[[#This Row],[Space 4 Limit Intensity]]*BO$9</f>
        <v>3.0997656</v>
      </c>
      <c r="BX36" s="1">
        <f>Table_LimitsCalc_Sample1[[#This Row],[Space 5 Limit Intensity]]*BP$9</f>
        <v>0.114426</v>
      </c>
      <c r="BY36" s="1" t="e">
        <f>Table_LimitsCalc_Sample1[[#This Row],[Space 6 Limit Intensity]]*BQ$9</f>
        <v>#N/A</v>
      </c>
      <c r="BZ36" s="1" t="e">
        <f>Table_LimitsCalc_Sample1[[#This Row],[Space 6 Limit Intensity]]*BR$9</f>
        <v>#N/A</v>
      </c>
      <c r="CA36" s="1" t="e">
        <f>Table_LimitsCalc_Sample1[[#This Row],[Space 6 Limit Intensity]]*BS$9</f>
        <v>#N/A</v>
      </c>
      <c r="CB36" s="84">
        <f>_xlfn.AGGREGATE(9,6,Table_LimitsCalc_Sample1[[#This Row],[Space 1 Limit (tCO2e)]:[Space 6 Limit (tCO2e)]])</f>
        <v>117.39162589999999</v>
      </c>
      <c r="CD36"/>
      <c r="CE36"/>
      <c r="CF36"/>
      <c r="CG36"/>
      <c r="CH36"/>
      <c r="CI36"/>
      <c r="CJ36"/>
      <c r="CK36"/>
      <c r="CL36"/>
      <c r="CM36"/>
      <c r="CN36"/>
      <c r="CO36"/>
      <c r="CP36"/>
      <c r="CQ36"/>
      <c r="CR36"/>
      <c r="CS36"/>
      <c r="CT36"/>
    </row>
    <row r="37" spans="5:98">
      <c r="E37"/>
      <c r="M37" s="35" t="s">
        <v>23</v>
      </c>
      <c r="N37" s="36">
        <v>6.7499999999999999E-3</v>
      </c>
      <c r="O37" s="36">
        <f>Table_LL97SpaceLimits[[#This Row],[2024]]</f>
        <v>6.7499999999999999E-3</v>
      </c>
      <c r="P37" s="36">
        <f>Table_LL97SpaceLimits[[#This Row],[2025]]</f>
        <v>6.7499999999999999E-3</v>
      </c>
      <c r="Q37" s="36">
        <f>Table_LL97SpaceLimits[[#This Row],[2026]]</f>
        <v>6.7499999999999999E-3</v>
      </c>
      <c r="R37" s="36">
        <f>Table_LL97SpaceLimits[[#This Row],[2027]]</f>
        <v>6.7499999999999999E-3</v>
      </c>
      <c r="S37" s="36">
        <f>Table_LL97SpaceLimits[[#This Row],[2028]]</f>
        <v>6.7499999999999999E-3</v>
      </c>
      <c r="T37" s="41">
        <v>3.3466400000000001E-3</v>
      </c>
      <c r="U37" s="37">
        <f>Table_LL97SpaceLimits[[#This Row],[2030]]</f>
        <v>3.3466400000000001E-3</v>
      </c>
      <c r="V37" s="37">
        <f>Table_LL97SpaceLimits[[#This Row],[2031]]</f>
        <v>3.3466400000000001E-3</v>
      </c>
      <c r="W37" s="37">
        <f>Table_LL97SpaceLimits[[#This Row],[2032]]</f>
        <v>3.3466400000000001E-3</v>
      </c>
      <c r="X37" s="37">
        <f>Table_LL97SpaceLimits[[#This Row],[2033]]</f>
        <v>3.3466400000000001E-3</v>
      </c>
      <c r="Y37" s="38">
        <v>2.6921829999999999E-3</v>
      </c>
      <c r="Z37" s="38">
        <f>Table_LL97SpaceLimits[[#This Row],[2035]]</f>
        <v>2.6921829999999999E-3</v>
      </c>
      <c r="AA37" s="38">
        <f>Table_LL97SpaceLimits[[#This Row],[2036]]</f>
        <v>2.6921829999999999E-3</v>
      </c>
      <c r="AB37" s="38">
        <f>Table_LL97SpaceLimits[[#This Row],[2037]]</f>
        <v>2.6921829999999999E-3</v>
      </c>
      <c r="AC37" s="38">
        <f>Table_LL97SpaceLimits[[#This Row],[2038]]</f>
        <v>2.6921829999999999E-3</v>
      </c>
      <c r="AD37" s="39">
        <v>2.0527309999999999E-3</v>
      </c>
      <c r="AE37" s="50">
        <f>Table_LL97SpaceLimits[[#This Row],[2040]]</f>
        <v>2.0527309999999999E-3</v>
      </c>
      <c r="AF37" s="50">
        <f>Table_LL97SpaceLimits[[#This Row],[2041]]</f>
        <v>2.0527309999999999E-3</v>
      </c>
      <c r="AG37" s="50">
        <f>Table_LL97SpaceLimits[[#This Row],[2042]]</f>
        <v>2.0527309999999999E-3</v>
      </c>
      <c r="AH37" s="50">
        <f>Table_LL97SpaceLimits[[#This Row],[2043]]</f>
        <v>2.0527309999999999E-3</v>
      </c>
      <c r="AI37" s="50">
        <f>Table_LL97SpaceLimits[[#This Row],[2044]]</f>
        <v>2.0527309999999999E-3</v>
      </c>
      <c r="AJ37" s="50">
        <f>Table_LL97SpaceLimits[[#This Row],[2045]]</f>
        <v>2.0527309999999999E-3</v>
      </c>
      <c r="AK37" s="50">
        <f>Table_LL97SpaceLimits[[#This Row],[2046]]</f>
        <v>2.0527309999999999E-3</v>
      </c>
      <c r="AL37" s="50">
        <f>Table_LL97SpaceLimits[[#This Row],[2047]]</f>
        <v>2.0527309999999999E-3</v>
      </c>
      <c r="AM37" s="50">
        <f>Table_LL97SpaceLimits[[#This Row],[2048]]</f>
        <v>2.0527309999999999E-3</v>
      </c>
      <c r="AN37" s="40">
        <v>0</v>
      </c>
      <c r="AQ37" s="5">
        <v>2049</v>
      </c>
      <c r="AR37" s="1" cm="1">
        <f t="array" ref="AR37">INDEX(Table_LL97SpaceLimits[],MATCH(AR$10,Table_LL97SpaceLimits[Property Type],0),MATCH(Table_LimitsCalc_Calculator[[#This Row],[Year]],VALUE(Table_LL97SpaceLimits[#Headers]),0))</f>
        <v>2.0527309999999999E-3</v>
      </c>
      <c r="AS37" s="1" t="e" cm="1">
        <f t="array" ref="AS37">INDEX(Table_LL97SpaceLimits[],MATCH(AS$10,Table_LL97SpaceLimits[Property Type],0),MATCH(Table_LimitsCalc_Calculator[[#This Row],[Year]],VALUE(Table_LL97SpaceLimits[#Headers]),0))</f>
        <v>#N/A</v>
      </c>
      <c r="AT37" s="1" t="e" cm="1">
        <f t="array" ref="AT37">INDEX(Table_LL97SpaceLimits[],MATCH(AT$10,Table_LL97SpaceLimits[Property Type],0),MATCH(Table_LimitsCalc_Calculator[[#This Row],[Year]],VALUE(Table_LL97SpaceLimits[#Headers]),0))</f>
        <v>#N/A</v>
      </c>
      <c r="AU37" s="1" t="e" cm="1">
        <f t="array" ref="AU37">INDEX(Table_LL97SpaceLimits[],MATCH(AU$10,Table_LL97SpaceLimits[Property Type],0),MATCH(Table_LimitsCalc_Calculator[[#This Row],[Year]],VALUE(Table_LL97SpaceLimits[#Headers]),0))</f>
        <v>#N/A</v>
      </c>
      <c r="AV37" s="1" t="e" cm="1">
        <f t="array" ref="AV37">INDEX(Table_LL97SpaceLimits[],MATCH(AV$10,Table_LL97SpaceLimits[Property Type],0),MATCH(Table_LimitsCalc_Calculator[[#This Row],[Year]],VALUE(Table_LL97SpaceLimits[#Headers]),0))</f>
        <v>#N/A</v>
      </c>
      <c r="AW37" s="1" t="e" cm="1">
        <f t="array" ref="AW37">INDEX(Table_LL97SpaceLimits[],MATCH(AW$10,Table_LL97SpaceLimits[Property Type],0),MATCH(Table_LimitsCalc_Calculator[[#This Row],[Year]],VALUE(Table_LL97SpaceLimits[#Headers]),0))</f>
        <v>#N/A</v>
      </c>
      <c r="AX37" s="1" t="e" cm="1">
        <f t="array" ref="AX37">INDEX(Table_LL97SpaceLimits[],MATCH(AX$10,Table_LL97SpaceLimits[Property Type],0),MATCH(Table_LimitsCalc_Calculator[[#This Row],[Year]],VALUE(Table_LL97SpaceLimits[#Headers]),0))</f>
        <v>#N/A</v>
      </c>
      <c r="AY37" s="1" t="e" cm="1">
        <f t="array" ref="AY37">INDEX(Table_LL97SpaceLimits[],MATCH(AY$10,Table_LL97SpaceLimits[Property Type],0),MATCH(Table_LimitsCalc_Calculator[[#This Row],[Year]],VALUE(Table_LL97SpaceLimits[#Headers]),0))</f>
        <v>#N/A</v>
      </c>
      <c r="AZ37" s="54">
        <f>Table_LimitsCalc_Calculator[[#This Row],[Space 1 Limit Intensity]]*AR$9</f>
        <v>0</v>
      </c>
      <c r="BA37" s="1" t="e">
        <f>Table_LimitsCalc_Calculator[[#This Row],[Space 2 Limit Intensity]]*AS$9</f>
        <v>#N/A</v>
      </c>
      <c r="BB37" s="1" t="e">
        <f>Table_LimitsCalc_Calculator[[#This Row],[Space 3 Limit Intensity]]*AT$9</f>
        <v>#N/A</v>
      </c>
      <c r="BC37" s="1" t="e">
        <f>Table_LimitsCalc_Calculator[[#This Row],[Space 4 Limit Intensity]]*AU$9</f>
        <v>#N/A</v>
      </c>
      <c r="BD37" s="1" t="e">
        <f>Table_LimitsCalc_Calculator[[#This Row],[Space 5 Limit Intensity]]*AV$9</f>
        <v>#N/A</v>
      </c>
      <c r="BE37" s="1" t="e">
        <f>Table_LimitsCalc_Calculator[[#This Row],[Space 6 Limit Intensity]]*AW$9</f>
        <v>#N/A</v>
      </c>
      <c r="BF37" s="1" t="e">
        <f>Table_LimitsCalc_Calculator[[#This Row],[Space 7 Limit Intensity]]*AX$9</f>
        <v>#N/A</v>
      </c>
      <c r="BG37" s="1" t="e">
        <f>Table_LimitsCalc_Calculator[[#This Row],[Space 8 Limit Intensity]]*AY$9</f>
        <v>#N/A</v>
      </c>
      <c r="BH37" s="84">
        <f>_xlfn.AGGREGATE(9,6,Table_LimitsCalc_Calculator[[#This Row],[Space 1 Limit (tCO2e)]:[Space 8 Limit (tCO2e)]])</f>
        <v>0</v>
      </c>
      <c r="BK37" s="5">
        <v>2049</v>
      </c>
      <c r="BL37" s="1" cm="1">
        <f t="array" ref="BL37">INDEX(Table_LL97SpaceLimits[],MATCH(BL$10,Table_LL97SpaceLimits[Property Type],0),MATCH(Table_LimitsCalc_Sample1[[#This Row],[Year]],VALUE(Table_LL97SpaceLimits[#Headers]),0))</f>
        <v>2.0527309999999999E-3</v>
      </c>
      <c r="BM37" s="1" cm="1">
        <f t="array" ref="BM37">INDEX(Table_LL97SpaceLimits[],MATCH(BM$10,Table_LL97SpaceLimits[Property Type],0),MATCH(Table_LimitsCalc_Sample1[[#This Row],[Year]],VALUE(Table_LL97SpaceLimits[#Headers]),0))</f>
        <v>1.3228200000000001E-4</v>
      </c>
      <c r="BN37" s="1" cm="1">
        <f t="array" ref="BN37">INDEX(Table_LL97SpaceLimits[],MATCH(BN$10,Table_LL97SpaceLimits[Property Type],0),MATCH(Table_LimitsCalc_Sample1[[#This Row],[Year]],VALUE(Table_LL97SpaceLimits[#Headers]),0))</f>
        <v>0</v>
      </c>
      <c r="BO37" s="1" cm="1">
        <f t="array" ref="BO37">INDEX(Table_LL97SpaceLimits[],MATCH(BO$10,Table_LL97SpaceLimits[Property Type],0),MATCH(Table_LimitsCalc_Sample1[[#This Row],[Year]],VALUE(Table_LL97SpaceLimits[#Headers]),0))</f>
        <v>3.8747069999999998E-3</v>
      </c>
      <c r="BP37" s="1" cm="1">
        <f t="array" ref="BP37">INDEX(Table_LL97SpaceLimits[],MATCH(BP$10,Table_LL97SpaceLimits[Property Type],0),MATCH(Table_LimitsCalc_Sample1[[#This Row],[Year]],VALUE(Table_LL97SpaceLimits[#Headers]),0))</f>
        <v>1.7604E-4</v>
      </c>
      <c r="BQ37" s="1" t="e" cm="1">
        <f t="array" ref="BQ37">INDEX(Table_LL97SpaceLimits[],MATCH(BQ$10,Table_LL97SpaceLimits[Property Type],0),MATCH(Table_LimitsCalc_Sample1[[#This Row],[Year]],VALUE(Table_LL97SpaceLimits[#Headers]),0))</f>
        <v>#N/A</v>
      </c>
      <c r="BR37" s="1" t="e" cm="1">
        <f t="array" ref="BR37">INDEX(Table_LL97SpaceLimits[],MATCH(BR$10,Table_LL97SpaceLimits[Property Type],0),MATCH(Table_LimitsCalc_Sample1[[#This Row],[Year]],VALUE(Table_LL97SpaceLimits[#Headers]),0))</f>
        <v>#N/A</v>
      </c>
      <c r="BS37" s="1" t="e" cm="1">
        <f t="array" ref="BS37">INDEX(Table_LL97SpaceLimits[],MATCH(BS$10,Table_LL97SpaceLimits[Property Type],0),MATCH(Table_LimitsCalc_Sample1[[#This Row],[Year]],VALUE(Table_LL97SpaceLimits[#Headers]),0))</f>
        <v>#N/A</v>
      </c>
      <c r="BT37" s="54">
        <f>Table_LimitsCalc_Sample1[[#This Row],[Space 1 Limit Intensity]]*BL$9</f>
        <v>113.5160243</v>
      </c>
      <c r="BU37" s="1">
        <f>Table_LimitsCalc_Sample1[[#This Row],[Space 2 Limit Intensity]]*BM$9</f>
        <v>0.66141000000000005</v>
      </c>
      <c r="BV37" s="1">
        <f>Table_LimitsCalc_Sample1[[#This Row],[Space 3 Limit Intensity]]*BN$9</f>
        <v>0</v>
      </c>
      <c r="BW37" s="1">
        <f>Table_LimitsCalc_Sample1[[#This Row],[Space 4 Limit Intensity]]*BO$9</f>
        <v>3.0997656</v>
      </c>
      <c r="BX37" s="1">
        <f>Table_LimitsCalc_Sample1[[#This Row],[Space 5 Limit Intensity]]*BP$9</f>
        <v>0.114426</v>
      </c>
      <c r="BY37" s="1" t="e">
        <f>Table_LimitsCalc_Sample1[[#This Row],[Space 6 Limit Intensity]]*BQ$9</f>
        <v>#N/A</v>
      </c>
      <c r="BZ37" s="1" t="e">
        <f>Table_LimitsCalc_Sample1[[#This Row],[Space 6 Limit Intensity]]*BR$9</f>
        <v>#N/A</v>
      </c>
      <c r="CA37" s="1" t="e">
        <f>Table_LimitsCalc_Sample1[[#This Row],[Space 6 Limit Intensity]]*BS$9</f>
        <v>#N/A</v>
      </c>
      <c r="CB37" s="84">
        <f>_xlfn.AGGREGATE(9,6,Table_LimitsCalc_Sample1[[#This Row],[Space 1 Limit (tCO2e)]:[Space 6 Limit (tCO2e)]])</f>
        <v>117.39162589999999</v>
      </c>
      <c r="CD37"/>
      <c r="CE37"/>
      <c r="CF37"/>
      <c r="CG37"/>
      <c r="CH37"/>
      <c r="CI37"/>
      <c r="CJ37"/>
      <c r="CK37"/>
      <c r="CL37"/>
      <c r="CM37"/>
      <c r="CN37"/>
      <c r="CO37"/>
      <c r="CP37"/>
      <c r="CQ37"/>
      <c r="CR37"/>
      <c r="CS37"/>
      <c r="CT37"/>
    </row>
    <row r="38" spans="5:98">
      <c r="E38"/>
      <c r="M38" s="35" t="s">
        <v>281</v>
      </c>
      <c r="N38" s="36">
        <v>1.1809999999999999E-2</v>
      </c>
      <c r="O38" s="36">
        <f>Table_LL97SpaceLimits[[#This Row],[2024]]</f>
        <v>1.1809999999999999E-2</v>
      </c>
      <c r="P38" s="36">
        <f>Table_LL97SpaceLimits[[#This Row],[2025]]</f>
        <v>1.1809999999999999E-2</v>
      </c>
      <c r="Q38" s="36">
        <f>Table_LL97SpaceLimits[[#This Row],[2026]]</f>
        <v>1.1809999999999999E-2</v>
      </c>
      <c r="R38" s="36">
        <f>Table_LL97SpaceLimits[[#This Row],[2027]]</f>
        <v>1.1809999999999999E-2</v>
      </c>
      <c r="S38" s="36">
        <f>Table_LL97SpaceLimits[[#This Row],[2028]]</f>
        <v>1.1809999999999999E-2</v>
      </c>
      <c r="T38" s="41">
        <v>5.3958000000000001E-3</v>
      </c>
      <c r="U38" s="37">
        <f>Table_LL97SpaceLimits[[#This Row],[2030]]</f>
        <v>5.3958000000000001E-3</v>
      </c>
      <c r="V38" s="37">
        <f>Table_LL97SpaceLimits[[#This Row],[2031]]</f>
        <v>5.3958000000000001E-3</v>
      </c>
      <c r="W38" s="37">
        <f>Table_LL97SpaceLimits[[#This Row],[2032]]</f>
        <v>5.3958000000000001E-3</v>
      </c>
      <c r="X38" s="37">
        <f>Table_LL97SpaceLimits[[#This Row],[2033]]</f>
        <v>5.3958000000000001E-3</v>
      </c>
      <c r="Y38" s="38">
        <v>4.0468500000000003E-3</v>
      </c>
      <c r="Z38" s="38">
        <f>Table_LL97SpaceLimits[[#This Row],[2035]]</f>
        <v>4.0468500000000003E-3</v>
      </c>
      <c r="AA38" s="38">
        <f>Table_LL97SpaceLimits[[#This Row],[2036]]</f>
        <v>4.0468500000000003E-3</v>
      </c>
      <c r="AB38" s="38">
        <f>Table_LL97SpaceLimits[[#This Row],[2037]]</f>
        <v>4.0468500000000003E-3</v>
      </c>
      <c r="AC38" s="38">
        <f>Table_LL97SpaceLimits[[#This Row],[2038]]</f>
        <v>4.0468500000000003E-3</v>
      </c>
      <c r="AD38" s="39">
        <v>2.6979E-3</v>
      </c>
      <c r="AE38" s="50">
        <f>Table_LL97SpaceLimits[[#This Row],[2040]]</f>
        <v>2.6979E-3</v>
      </c>
      <c r="AF38" s="50">
        <f>Table_LL97SpaceLimits[[#This Row],[2041]]</f>
        <v>2.6979E-3</v>
      </c>
      <c r="AG38" s="50">
        <f>Table_LL97SpaceLimits[[#This Row],[2042]]</f>
        <v>2.6979E-3</v>
      </c>
      <c r="AH38" s="50">
        <f>Table_LL97SpaceLimits[[#This Row],[2043]]</f>
        <v>2.6979E-3</v>
      </c>
      <c r="AI38" s="50">
        <f>Table_LL97SpaceLimits[[#This Row],[2044]]</f>
        <v>2.6979E-3</v>
      </c>
      <c r="AJ38" s="50">
        <f>Table_LL97SpaceLimits[[#This Row],[2045]]</f>
        <v>2.6979E-3</v>
      </c>
      <c r="AK38" s="50">
        <f>Table_LL97SpaceLimits[[#This Row],[2046]]</f>
        <v>2.6979E-3</v>
      </c>
      <c r="AL38" s="50">
        <f>Table_LL97SpaceLimits[[#This Row],[2047]]</f>
        <v>2.6979E-3</v>
      </c>
      <c r="AM38" s="50">
        <f>Table_LL97SpaceLimits[[#This Row],[2048]]</f>
        <v>2.6979E-3</v>
      </c>
      <c r="AN38" s="40">
        <v>0</v>
      </c>
      <c r="AQ38" s="5">
        <v>2050</v>
      </c>
      <c r="AR38" s="1" cm="1">
        <f t="array" ref="AR38">INDEX(Table_LL97SpaceLimits[],MATCH(AR$10,Table_LL97SpaceLimits[Property Type],0),MATCH(Table_LimitsCalc_Calculator[[#This Row],[Year]],VALUE(Table_LL97SpaceLimits[#Headers]),0))</f>
        <v>0</v>
      </c>
      <c r="AS38" s="1" t="e" cm="1">
        <f t="array" ref="AS38">INDEX(Table_LL97SpaceLimits[],MATCH(AS$10,Table_LL97SpaceLimits[Property Type],0),MATCH(Table_LimitsCalc_Calculator[[#This Row],[Year]],VALUE(Table_LL97SpaceLimits[#Headers]),0))</f>
        <v>#N/A</v>
      </c>
      <c r="AT38" s="1" t="e" cm="1">
        <f t="array" ref="AT38">INDEX(Table_LL97SpaceLimits[],MATCH(AT$10,Table_LL97SpaceLimits[Property Type],0),MATCH(Table_LimitsCalc_Calculator[[#This Row],[Year]],VALUE(Table_LL97SpaceLimits[#Headers]),0))</f>
        <v>#N/A</v>
      </c>
      <c r="AU38" s="1" t="e" cm="1">
        <f t="array" ref="AU38">INDEX(Table_LL97SpaceLimits[],MATCH(AU$10,Table_LL97SpaceLimits[Property Type],0),MATCH(Table_LimitsCalc_Calculator[[#This Row],[Year]],VALUE(Table_LL97SpaceLimits[#Headers]),0))</f>
        <v>#N/A</v>
      </c>
      <c r="AV38" s="1" t="e" cm="1">
        <f t="array" ref="AV38">INDEX(Table_LL97SpaceLimits[],MATCH(AV$10,Table_LL97SpaceLimits[Property Type],0),MATCH(Table_LimitsCalc_Calculator[[#This Row],[Year]],VALUE(Table_LL97SpaceLimits[#Headers]),0))</f>
        <v>#N/A</v>
      </c>
      <c r="AW38" s="1" t="e" cm="1">
        <f t="array" ref="AW38">INDEX(Table_LL97SpaceLimits[],MATCH(AW$10,Table_LL97SpaceLimits[Property Type],0),MATCH(Table_LimitsCalc_Calculator[[#This Row],[Year]],VALUE(Table_LL97SpaceLimits[#Headers]),0))</f>
        <v>#N/A</v>
      </c>
      <c r="AX38" s="1" t="e" cm="1">
        <f t="array" ref="AX38">INDEX(Table_LL97SpaceLimits[],MATCH(AX$10,Table_LL97SpaceLimits[Property Type],0),MATCH(Table_LimitsCalc_Calculator[[#This Row],[Year]],VALUE(Table_LL97SpaceLimits[#Headers]),0))</f>
        <v>#N/A</v>
      </c>
      <c r="AY38" s="1" t="e" cm="1">
        <f t="array" ref="AY38">INDEX(Table_LL97SpaceLimits[],MATCH(AY$10,Table_LL97SpaceLimits[Property Type],0),MATCH(Table_LimitsCalc_Calculator[[#This Row],[Year]],VALUE(Table_LL97SpaceLimits[#Headers]),0))</f>
        <v>#N/A</v>
      </c>
      <c r="AZ38" s="54">
        <f>Table_LimitsCalc_Calculator[[#This Row],[Space 1 Limit Intensity]]*AR$9</f>
        <v>0</v>
      </c>
      <c r="BA38" s="1" t="e">
        <f>Table_LimitsCalc_Calculator[[#This Row],[Space 2 Limit Intensity]]*AS$9</f>
        <v>#N/A</v>
      </c>
      <c r="BB38" s="1" t="e">
        <f>Table_LimitsCalc_Calculator[[#This Row],[Space 3 Limit Intensity]]*AT$9</f>
        <v>#N/A</v>
      </c>
      <c r="BC38" s="1" t="e">
        <f>Table_LimitsCalc_Calculator[[#This Row],[Space 4 Limit Intensity]]*AU$9</f>
        <v>#N/A</v>
      </c>
      <c r="BD38" s="1" t="e">
        <f>Table_LimitsCalc_Calculator[[#This Row],[Space 5 Limit Intensity]]*AV$9</f>
        <v>#N/A</v>
      </c>
      <c r="BE38" s="1" t="e">
        <f>Table_LimitsCalc_Calculator[[#This Row],[Space 6 Limit Intensity]]*AW$9</f>
        <v>#N/A</v>
      </c>
      <c r="BF38" s="1" t="e">
        <f>Table_LimitsCalc_Calculator[[#This Row],[Space 7 Limit Intensity]]*AX$9</f>
        <v>#N/A</v>
      </c>
      <c r="BG38" s="1" t="e">
        <f>Table_LimitsCalc_Calculator[[#This Row],[Space 8 Limit Intensity]]*AY$9</f>
        <v>#N/A</v>
      </c>
      <c r="BH38" s="84">
        <f>_xlfn.AGGREGATE(9,6,Table_LimitsCalc_Calculator[[#This Row],[Space 1 Limit (tCO2e)]:[Space 8 Limit (tCO2e)]])</f>
        <v>0</v>
      </c>
      <c r="BK38" s="5">
        <v>2050</v>
      </c>
      <c r="BL38" s="1" cm="1">
        <f t="array" ref="BL38">INDEX(Table_LL97SpaceLimits[],MATCH(BL$10,Table_LL97SpaceLimits[Property Type],0),MATCH(Table_LimitsCalc_Sample1[[#This Row],[Year]],VALUE(Table_LL97SpaceLimits[#Headers]),0))</f>
        <v>0</v>
      </c>
      <c r="BM38" s="1" cm="1">
        <f t="array" ref="BM38">INDEX(Table_LL97SpaceLimits[],MATCH(BM$10,Table_LL97SpaceLimits[Property Type],0),MATCH(Table_LimitsCalc_Sample1[[#This Row],[Year]],VALUE(Table_LL97SpaceLimits[#Headers]),0))</f>
        <v>0</v>
      </c>
      <c r="BN38" s="1" cm="1">
        <f t="array" ref="BN38">INDEX(Table_LL97SpaceLimits[],MATCH(BN$10,Table_LL97SpaceLimits[Property Type],0),MATCH(Table_LimitsCalc_Sample1[[#This Row],[Year]],VALUE(Table_LL97SpaceLimits[#Headers]),0))</f>
        <v>0</v>
      </c>
      <c r="BO38" s="1" cm="1">
        <f t="array" ref="BO38">INDEX(Table_LL97SpaceLimits[],MATCH(BO$10,Table_LL97SpaceLimits[Property Type],0),MATCH(Table_LimitsCalc_Sample1[[#This Row],[Year]],VALUE(Table_LL97SpaceLimits[#Headers]),0))</f>
        <v>0</v>
      </c>
      <c r="BP38" s="1" cm="1">
        <f t="array" ref="BP38">INDEX(Table_LL97SpaceLimits[],MATCH(BP$10,Table_LL97SpaceLimits[Property Type],0),MATCH(Table_LimitsCalc_Sample1[[#This Row],[Year]],VALUE(Table_LL97SpaceLimits[#Headers]),0))</f>
        <v>0</v>
      </c>
      <c r="BQ38" s="1" t="e" cm="1">
        <f t="array" ref="BQ38">INDEX(Table_LL97SpaceLimits[],MATCH(BQ$10,Table_LL97SpaceLimits[Property Type],0),MATCH(Table_LimitsCalc_Sample1[[#This Row],[Year]],VALUE(Table_LL97SpaceLimits[#Headers]),0))</f>
        <v>#N/A</v>
      </c>
      <c r="BR38" s="1" t="e" cm="1">
        <f t="array" ref="BR38">INDEX(Table_LL97SpaceLimits[],MATCH(BR$10,Table_LL97SpaceLimits[Property Type],0),MATCH(Table_LimitsCalc_Sample1[[#This Row],[Year]],VALUE(Table_LL97SpaceLimits[#Headers]),0))</f>
        <v>#N/A</v>
      </c>
      <c r="BS38" s="1" t="e" cm="1">
        <f t="array" ref="BS38">INDEX(Table_LL97SpaceLimits[],MATCH(BS$10,Table_LL97SpaceLimits[Property Type],0),MATCH(Table_LimitsCalc_Sample1[[#This Row],[Year]],VALUE(Table_LL97SpaceLimits[#Headers]),0))</f>
        <v>#N/A</v>
      </c>
      <c r="BT38" s="54">
        <f>Table_LimitsCalc_Sample1[[#This Row],[Space 1 Limit Intensity]]*BL$9</f>
        <v>0</v>
      </c>
      <c r="BU38" s="1">
        <f>Table_LimitsCalc_Sample1[[#This Row],[Space 2 Limit Intensity]]*BM$9</f>
        <v>0</v>
      </c>
      <c r="BV38" s="1">
        <f>Table_LimitsCalc_Sample1[[#This Row],[Space 3 Limit Intensity]]*BN$9</f>
        <v>0</v>
      </c>
      <c r="BW38" s="1">
        <f>Table_LimitsCalc_Sample1[[#This Row],[Space 4 Limit Intensity]]*BO$9</f>
        <v>0</v>
      </c>
      <c r="BX38" s="1">
        <f>Table_LimitsCalc_Sample1[[#This Row],[Space 5 Limit Intensity]]*BP$9</f>
        <v>0</v>
      </c>
      <c r="BY38" s="1" t="e">
        <f>Table_LimitsCalc_Sample1[[#This Row],[Space 6 Limit Intensity]]*BQ$9</f>
        <v>#N/A</v>
      </c>
      <c r="BZ38" s="1" t="e">
        <f>Table_LimitsCalc_Sample1[[#This Row],[Space 6 Limit Intensity]]*BR$9</f>
        <v>#N/A</v>
      </c>
      <c r="CA38" s="1" t="e">
        <f>Table_LimitsCalc_Sample1[[#This Row],[Space 6 Limit Intensity]]*BS$9</f>
        <v>#N/A</v>
      </c>
      <c r="CB38" s="84">
        <f>_xlfn.AGGREGATE(9,6,Table_LimitsCalc_Sample1[[#This Row],[Space 1 Limit (tCO2e)]:[Space 6 Limit (tCO2e)]])</f>
        <v>0</v>
      </c>
      <c r="CD38"/>
      <c r="CE38"/>
      <c r="CF38"/>
      <c r="CG38"/>
      <c r="CH38"/>
      <c r="CI38"/>
      <c r="CJ38"/>
      <c r="CK38"/>
      <c r="CL38"/>
      <c r="CM38"/>
      <c r="CN38"/>
      <c r="CO38"/>
      <c r="CP38"/>
      <c r="CQ38"/>
      <c r="CR38"/>
      <c r="CS38"/>
      <c r="CT38"/>
    </row>
    <row r="39" spans="5:98">
      <c r="E39"/>
      <c r="M39" s="35" t="s">
        <v>282</v>
      </c>
      <c r="N39" s="36">
        <v>4.2599999999999999E-3</v>
      </c>
      <c r="O39" s="36">
        <f>Table_LL97SpaceLimits[[#This Row],[2024]]</f>
        <v>4.2599999999999999E-3</v>
      </c>
      <c r="P39" s="36">
        <f>Table_LL97SpaceLimits[[#This Row],[2025]]</f>
        <v>4.2599999999999999E-3</v>
      </c>
      <c r="Q39" s="36">
        <f>Table_LL97SpaceLimits[[#This Row],[2026]]</f>
        <v>4.2599999999999999E-3</v>
      </c>
      <c r="R39" s="36">
        <f>Table_LL97SpaceLimits[[#This Row],[2027]]</f>
        <v>4.2599999999999999E-3</v>
      </c>
      <c r="S39" s="36">
        <f>Table_LL97SpaceLimits[[#This Row],[2028]]</f>
        <v>4.2599999999999999E-3</v>
      </c>
      <c r="T39" s="41">
        <v>8.8318700000000001E-4</v>
      </c>
      <c r="U39" s="37">
        <f>Table_LL97SpaceLimits[[#This Row],[2030]]</f>
        <v>8.8318700000000001E-4</v>
      </c>
      <c r="V39" s="37">
        <f>Table_LL97SpaceLimits[[#This Row],[2031]]</f>
        <v>8.8318700000000001E-4</v>
      </c>
      <c r="W39" s="37">
        <f>Table_LL97SpaceLimits[[#This Row],[2032]]</f>
        <v>8.8318700000000001E-4</v>
      </c>
      <c r="X39" s="37">
        <f>Table_LL97SpaceLimits[[#This Row],[2033]]</f>
        <v>8.8318700000000001E-4</v>
      </c>
      <c r="Y39" s="38">
        <v>5.6805099999999997E-4</v>
      </c>
      <c r="Z39" s="38">
        <f>Table_LL97SpaceLimits[[#This Row],[2035]]</f>
        <v>5.6805099999999997E-4</v>
      </c>
      <c r="AA39" s="38">
        <f>Table_LL97SpaceLimits[[#This Row],[2036]]</f>
        <v>5.6805099999999997E-4</v>
      </c>
      <c r="AB39" s="38">
        <f>Table_LL97SpaceLimits[[#This Row],[2037]]</f>
        <v>5.6805099999999997E-4</v>
      </c>
      <c r="AC39" s="38">
        <f>Table_LL97SpaceLimits[[#This Row],[2038]]</f>
        <v>5.6805099999999997E-4</v>
      </c>
      <c r="AD39" s="39">
        <v>1.6315200000000001E-4</v>
      </c>
      <c r="AE39" s="50">
        <f>Table_LL97SpaceLimits[[#This Row],[2040]]</f>
        <v>1.6315200000000001E-4</v>
      </c>
      <c r="AF39" s="50">
        <f>Table_LL97SpaceLimits[[#This Row],[2041]]</f>
        <v>1.6315200000000001E-4</v>
      </c>
      <c r="AG39" s="50">
        <f>Table_LL97SpaceLimits[[#This Row],[2042]]</f>
        <v>1.6315200000000001E-4</v>
      </c>
      <c r="AH39" s="50">
        <f>Table_LL97SpaceLimits[[#This Row],[2043]]</f>
        <v>1.6315200000000001E-4</v>
      </c>
      <c r="AI39" s="50">
        <f>Table_LL97SpaceLimits[[#This Row],[2044]]</f>
        <v>1.6315200000000001E-4</v>
      </c>
      <c r="AJ39" s="50">
        <f>Table_LL97SpaceLimits[[#This Row],[2045]]</f>
        <v>1.6315200000000001E-4</v>
      </c>
      <c r="AK39" s="50">
        <f>Table_LL97SpaceLimits[[#This Row],[2046]]</f>
        <v>1.6315200000000001E-4</v>
      </c>
      <c r="AL39" s="50">
        <f>Table_LL97SpaceLimits[[#This Row],[2047]]</f>
        <v>1.6315200000000001E-4</v>
      </c>
      <c r="AM39" s="50">
        <f>Table_LL97SpaceLimits[[#This Row],[2048]]</f>
        <v>1.6315200000000001E-4</v>
      </c>
      <c r="AN39" s="40">
        <v>0</v>
      </c>
      <c r="CD39"/>
      <c r="CE39"/>
      <c r="CF39"/>
      <c r="CG39"/>
      <c r="CH39"/>
      <c r="CI39"/>
      <c r="CJ39"/>
      <c r="CK39"/>
      <c r="CL39"/>
      <c r="CM39"/>
      <c r="CN39"/>
      <c r="CO39"/>
      <c r="CP39"/>
      <c r="CQ39"/>
      <c r="CR39"/>
      <c r="CS39"/>
      <c r="CT39"/>
    </row>
    <row r="40" spans="5:98">
      <c r="E40"/>
      <c r="M40" s="35" t="s">
        <v>283</v>
      </c>
      <c r="N40" s="36">
        <v>7.5799999999999999E-3</v>
      </c>
      <c r="O40" s="36">
        <f>Table_LL97SpaceLimits[[#This Row],[2024]]</f>
        <v>7.5799999999999999E-3</v>
      </c>
      <c r="P40" s="36">
        <f>Table_LL97SpaceLimits[[#This Row],[2025]]</f>
        <v>7.5799999999999999E-3</v>
      </c>
      <c r="Q40" s="36">
        <f>Table_LL97SpaceLimits[[#This Row],[2026]]</f>
        <v>7.5799999999999999E-3</v>
      </c>
      <c r="R40" s="36">
        <f>Table_LL97SpaceLimits[[#This Row],[2027]]</f>
        <v>7.5799999999999999E-3</v>
      </c>
      <c r="S40" s="36">
        <f>Table_LL97SpaceLimits[[#This Row],[2028]]</f>
        <v>7.5799999999999999E-3</v>
      </c>
      <c r="T40" s="41">
        <v>2.6908520000000001E-3</v>
      </c>
      <c r="U40" s="37">
        <f>Table_LL97SpaceLimits[[#This Row],[2030]]</f>
        <v>2.6908520000000001E-3</v>
      </c>
      <c r="V40" s="37">
        <f>Table_LL97SpaceLimits[[#This Row],[2031]]</f>
        <v>2.6908520000000001E-3</v>
      </c>
      <c r="W40" s="37">
        <f>Table_LL97SpaceLimits[[#This Row],[2032]]</f>
        <v>2.6908520000000001E-3</v>
      </c>
      <c r="X40" s="37">
        <f>Table_LL97SpaceLimits[[#This Row],[2033]]</f>
        <v>2.6908520000000001E-3</v>
      </c>
      <c r="Y40" s="38">
        <v>1.65234E-3</v>
      </c>
      <c r="Z40" s="38">
        <f>Table_LL97SpaceLimits[[#This Row],[2035]]</f>
        <v>1.65234E-3</v>
      </c>
      <c r="AA40" s="38">
        <f>Table_LL97SpaceLimits[[#This Row],[2036]]</f>
        <v>1.65234E-3</v>
      </c>
      <c r="AB40" s="38">
        <f>Table_LL97SpaceLimits[[#This Row],[2037]]</f>
        <v>1.65234E-3</v>
      </c>
      <c r="AC40" s="38">
        <f>Table_LL97SpaceLimits[[#This Row],[2038]]</f>
        <v>1.65234E-3</v>
      </c>
      <c r="AD40" s="39">
        <v>5.8189299999999999E-4</v>
      </c>
      <c r="AE40" s="50">
        <f>Table_LL97SpaceLimits[[#This Row],[2040]]</f>
        <v>5.8189299999999999E-4</v>
      </c>
      <c r="AF40" s="50">
        <f>Table_LL97SpaceLimits[[#This Row],[2041]]</f>
        <v>5.8189299999999999E-4</v>
      </c>
      <c r="AG40" s="50">
        <f>Table_LL97SpaceLimits[[#This Row],[2042]]</f>
        <v>5.8189299999999999E-4</v>
      </c>
      <c r="AH40" s="50">
        <f>Table_LL97SpaceLimits[[#This Row],[2043]]</f>
        <v>5.8189299999999999E-4</v>
      </c>
      <c r="AI40" s="50">
        <f>Table_LL97SpaceLimits[[#This Row],[2044]]</f>
        <v>5.8189299999999999E-4</v>
      </c>
      <c r="AJ40" s="50">
        <f>Table_LL97SpaceLimits[[#This Row],[2045]]</f>
        <v>5.8189299999999999E-4</v>
      </c>
      <c r="AK40" s="50">
        <f>Table_LL97SpaceLimits[[#This Row],[2046]]</f>
        <v>5.8189299999999999E-4</v>
      </c>
      <c r="AL40" s="50">
        <f>Table_LL97SpaceLimits[[#This Row],[2047]]</f>
        <v>5.8189299999999999E-4</v>
      </c>
      <c r="AM40" s="50">
        <f>Table_LL97SpaceLimits[[#This Row],[2048]]</f>
        <v>5.8189299999999999E-4</v>
      </c>
      <c r="AN40" s="40">
        <v>0</v>
      </c>
      <c r="CD40"/>
      <c r="CE40"/>
      <c r="CF40"/>
      <c r="CG40"/>
      <c r="CH40"/>
      <c r="CI40"/>
      <c r="CJ40"/>
      <c r="CK40"/>
      <c r="CL40"/>
      <c r="CM40"/>
      <c r="CN40"/>
      <c r="CO40"/>
      <c r="CP40"/>
      <c r="CQ40"/>
      <c r="CR40"/>
      <c r="CS40"/>
      <c r="CT40"/>
    </row>
    <row r="41" spans="5:98">
      <c r="E41"/>
      <c r="M41" s="35" t="s">
        <v>284</v>
      </c>
      <c r="N41" s="36">
        <v>8.4600000000000005E-3</v>
      </c>
      <c r="O41" s="36">
        <f>Table_LL97SpaceLimits[[#This Row],[2024]]</f>
        <v>8.4600000000000005E-3</v>
      </c>
      <c r="P41" s="36">
        <f>Table_LL97SpaceLimits[[#This Row],[2025]]</f>
        <v>8.4600000000000005E-3</v>
      </c>
      <c r="Q41" s="36">
        <f>Table_LL97SpaceLimits[[#This Row],[2026]]</f>
        <v>8.4600000000000005E-3</v>
      </c>
      <c r="R41" s="36">
        <f>Table_LL97SpaceLimits[[#This Row],[2027]]</f>
        <v>8.4600000000000005E-3</v>
      </c>
      <c r="S41" s="36">
        <f>Table_LL97SpaceLimits[[#This Row],[2028]]</f>
        <v>8.4600000000000005E-3</v>
      </c>
      <c r="T41" s="41">
        <v>2.9340059999999999E-3</v>
      </c>
      <c r="U41" s="37">
        <f>Table_LL97SpaceLimits[[#This Row],[2030]]</f>
        <v>2.9340059999999999E-3</v>
      </c>
      <c r="V41" s="37">
        <f>Table_LL97SpaceLimits[[#This Row],[2031]]</f>
        <v>2.9340059999999999E-3</v>
      </c>
      <c r="W41" s="37">
        <f>Table_LL97SpaceLimits[[#This Row],[2032]]</f>
        <v>2.9340059999999999E-3</v>
      </c>
      <c r="X41" s="37">
        <f>Table_LL97SpaceLimits[[#This Row],[2033]]</f>
        <v>2.9340059999999999E-3</v>
      </c>
      <c r="Y41" s="38">
        <v>1.867699E-3</v>
      </c>
      <c r="Z41" s="38">
        <f>Table_LL97SpaceLimits[[#This Row],[2035]]</f>
        <v>1.867699E-3</v>
      </c>
      <c r="AA41" s="38">
        <f>Table_LL97SpaceLimits[[#This Row],[2036]]</f>
        <v>1.867699E-3</v>
      </c>
      <c r="AB41" s="38">
        <f>Table_LL97SpaceLimits[[#This Row],[2037]]</f>
        <v>1.867699E-3</v>
      </c>
      <c r="AC41" s="38">
        <f>Table_LL97SpaceLimits[[#This Row],[2038]]</f>
        <v>1.867699E-3</v>
      </c>
      <c r="AD41" s="39">
        <v>8.39571E-4</v>
      </c>
      <c r="AE41" s="50">
        <f>Table_LL97SpaceLimits[[#This Row],[2040]]</f>
        <v>8.39571E-4</v>
      </c>
      <c r="AF41" s="50">
        <f>Table_LL97SpaceLimits[[#This Row],[2041]]</f>
        <v>8.39571E-4</v>
      </c>
      <c r="AG41" s="50">
        <f>Table_LL97SpaceLimits[[#This Row],[2042]]</f>
        <v>8.39571E-4</v>
      </c>
      <c r="AH41" s="50">
        <f>Table_LL97SpaceLimits[[#This Row],[2043]]</f>
        <v>8.39571E-4</v>
      </c>
      <c r="AI41" s="50">
        <f>Table_LL97SpaceLimits[[#This Row],[2044]]</f>
        <v>8.39571E-4</v>
      </c>
      <c r="AJ41" s="50">
        <f>Table_LL97SpaceLimits[[#This Row],[2045]]</f>
        <v>8.39571E-4</v>
      </c>
      <c r="AK41" s="50">
        <f>Table_LL97SpaceLimits[[#This Row],[2046]]</f>
        <v>8.39571E-4</v>
      </c>
      <c r="AL41" s="50">
        <f>Table_LL97SpaceLimits[[#This Row],[2047]]</f>
        <v>8.39571E-4</v>
      </c>
      <c r="AM41" s="50">
        <f>Table_LL97SpaceLimits[[#This Row],[2048]]</f>
        <v>8.39571E-4</v>
      </c>
      <c r="AN41" s="40">
        <v>0</v>
      </c>
      <c r="CD41"/>
      <c r="CE41"/>
      <c r="CF41"/>
      <c r="CG41"/>
      <c r="CH41"/>
      <c r="CI41"/>
      <c r="CJ41"/>
      <c r="CK41"/>
      <c r="CL41"/>
      <c r="CM41"/>
      <c r="CN41"/>
      <c r="CO41"/>
      <c r="CP41"/>
      <c r="CQ41"/>
      <c r="CR41"/>
      <c r="CS41"/>
      <c r="CT41"/>
    </row>
    <row r="42" spans="5:98">
      <c r="E42"/>
      <c r="M42" s="35" t="s">
        <v>285</v>
      </c>
      <c r="N42" s="36">
        <v>9.8700000000000003E-3</v>
      </c>
      <c r="O42" s="36">
        <f>Table_LL97SpaceLimits[[#This Row],[2024]]</f>
        <v>9.8700000000000003E-3</v>
      </c>
      <c r="P42" s="36">
        <f>Table_LL97SpaceLimits[[#This Row],[2025]]</f>
        <v>9.8700000000000003E-3</v>
      </c>
      <c r="Q42" s="36">
        <f>Table_LL97SpaceLimits[[#This Row],[2026]]</f>
        <v>9.8700000000000003E-3</v>
      </c>
      <c r="R42" s="36">
        <f>Table_LL97SpaceLimits[[#This Row],[2027]]</f>
        <v>9.8700000000000003E-3</v>
      </c>
      <c r="S42" s="36">
        <f>Table_LL97SpaceLimits[[#This Row],[2028]]</f>
        <v>9.8700000000000003E-3</v>
      </c>
      <c r="T42" s="41">
        <v>2.956738E-3</v>
      </c>
      <c r="U42" s="37">
        <f>Table_LL97SpaceLimits[[#This Row],[2030]]</f>
        <v>2.956738E-3</v>
      </c>
      <c r="V42" s="37">
        <f>Table_LL97SpaceLimits[[#This Row],[2031]]</f>
        <v>2.956738E-3</v>
      </c>
      <c r="W42" s="37">
        <f>Table_LL97SpaceLimits[[#This Row],[2032]]</f>
        <v>2.956738E-3</v>
      </c>
      <c r="X42" s="37">
        <f>Table_LL97SpaceLimits[[#This Row],[2033]]</f>
        <v>2.956738E-3</v>
      </c>
      <c r="Y42" s="38">
        <v>2.2501219999999998E-3</v>
      </c>
      <c r="Z42" s="38">
        <f>Table_LL97SpaceLimits[[#This Row],[2035]]</f>
        <v>2.2501219999999998E-3</v>
      </c>
      <c r="AA42" s="38">
        <f>Table_LL97SpaceLimits[[#This Row],[2036]]</f>
        <v>2.2501219999999998E-3</v>
      </c>
      <c r="AB42" s="38">
        <f>Table_LL97SpaceLimits[[#This Row],[2037]]</f>
        <v>2.2501219999999998E-3</v>
      </c>
      <c r="AC42" s="38">
        <f>Table_LL97SpaceLimits[[#This Row],[2038]]</f>
        <v>2.2501219999999998E-3</v>
      </c>
      <c r="AD42" s="39">
        <v>1.3556099999999999E-3</v>
      </c>
      <c r="AE42" s="50">
        <f>Table_LL97SpaceLimits[[#This Row],[2040]]</f>
        <v>1.3556099999999999E-3</v>
      </c>
      <c r="AF42" s="50">
        <f>Table_LL97SpaceLimits[[#This Row],[2041]]</f>
        <v>1.3556099999999999E-3</v>
      </c>
      <c r="AG42" s="50">
        <f>Table_LL97SpaceLimits[[#This Row],[2042]]</f>
        <v>1.3556099999999999E-3</v>
      </c>
      <c r="AH42" s="50">
        <f>Table_LL97SpaceLimits[[#This Row],[2043]]</f>
        <v>1.3556099999999999E-3</v>
      </c>
      <c r="AI42" s="50">
        <f>Table_LL97SpaceLimits[[#This Row],[2044]]</f>
        <v>1.3556099999999999E-3</v>
      </c>
      <c r="AJ42" s="50">
        <f>Table_LL97SpaceLimits[[#This Row],[2045]]</f>
        <v>1.3556099999999999E-3</v>
      </c>
      <c r="AK42" s="50">
        <f>Table_LL97SpaceLimits[[#This Row],[2046]]</f>
        <v>1.3556099999999999E-3</v>
      </c>
      <c r="AL42" s="50">
        <f>Table_LL97SpaceLimits[[#This Row],[2047]]</f>
        <v>1.3556099999999999E-3</v>
      </c>
      <c r="AM42" s="50">
        <f>Table_LL97SpaceLimits[[#This Row],[2048]]</f>
        <v>1.3556099999999999E-3</v>
      </c>
      <c r="AN42" s="40">
        <v>0</v>
      </c>
      <c r="CD42"/>
      <c r="CE42"/>
      <c r="CF42"/>
      <c r="CG42"/>
      <c r="CH42"/>
      <c r="CI42"/>
      <c r="CJ42"/>
      <c r="CK42"/>
      <c r="CL42"/>
      <c r="CM42"/>
      <c r="CN42"/>
      <c r="CO42"/>
      <c r="CP42"/>
      <c r="CQ42"/>
      <c r="CR42"/>
      <c r="CS42"/>
      <c r="CT42"/>
    </row>
    <row r="43" spans="5:98">
      <c r="E43"/>
      <c r="M43" s="35" t="s">
        <v>286</v>
      </c>
      <c r="N43" s="36">
        <v>7.5799999999999999E-3</v>
      </c>
      <c r="O43" s="36">
        <f>Table_LL97SpaceLimits[[#This Row],[2024]]</f>
        <v>7.5799999999999999E-3</v>
      </c>
      <c r="P43" s="36">
        <f>Table_LL97SpaceLimits[[#This Row],[2025]]</f>
        <v>7.5799999999999999E-3</v>
      </c>
      <c r="Q43" s="36">
        <f>Table_LL97SpaceLimits[[#This Row],[2026]]</f>
        <v>7.5799999999999999E-3</v>
      </c>
      <c r="R43" s="36">
        <f>Table_LL97SpaceLimits[[#This Row],[2027]]</f>
        <v>7.5799999999999999E-3</v>
      </c>
      <c r="S43" s="36">
        <f>Table_LL97SpaceLimits[[#This Row],[2028]]</f>
        <v>7.5799999999999999E-3</v>
      </c>
      <c r="T43" s="41">
        <v>1.901982E-3</v>
      </c>
      <c r="U43" s="37">
        <f>Table_LL97SpaceLimits[[#This Row],[2030]]</f>
        <v>1.901982E-3</v>
      </c>
      <c r="V43" s="37">
        <f>Table_LL97SpaceLimits[[#This Row],[2031]]</f>
        <v>1.901982E-3</v>
      </c>
      <c r="W43" s="37">
        <f>Table_LL97SpaceLimits[[#This Row],[2032]]</f>
        <v>1.901982E-3</v>
      </c>
      <c r="X43" s="37">
        <f>Table_LL97SpaceLimits[[#This Row],[2033]]</f>
        <v>1.901982E-3</v>
      </c>
      <c r="Y43" s="38">
        <v>1.3290890000000001E-3</v>
      </c>
      <c r="Z43" s="38">
        <f>Table_LL97SpaceLimits[[#This Row],[2035]]</f>
        <v>1.3290890000000001E-3</v>
      </c>
      <c r="AA43" s="38">
        <f>Table_LL97SpaceLimits[[#This Row],[2036]]</f>
        <v>1.3290890000000001E-3</v>
      </c>
      <c r="AB43" s="38">
        <f>Table_LL97SpaceLimits[[#This Row],[2037]]</f>
        <v>1.3290890000000001E-3</v>
      </c>
      <c r="AC43" s="38">
        <f>Table_LL97SpaceLimits[[#This Row],[2038]]</f>
        <v>1.3290890000000001E-3</v>
      </c>
      <c r="AD43" s="39">
        <v>7.6209300000000004E-4</v>
      </c>
      <c r="AE43" s="50">
        <f>Table_LL97SpaceLimits[[#This Row],[2040]]</f>
        <v>7.6209300000000004E-4</v>
      </c>
      <c r="AF43" s="50">
        <f>Table_LL97SpaceLimits[[#This Row],[2041]]</f>
        <v>7.6209300000000004E-4</v>
      </c>
      <c r="AG43" s="50">
        <f>Table_LL97SpaceLimits[[#This Row],[2042]]</f>
        <v>7.6209300000000004E-4</v>
      </c>
      <c r="AH43" s="50">
        <f>Table_LL97SpaceLimits[[#This Row],[2043]]</f>
        <v>7.6209300000000004E-4</v>
      </c>
      <c r="AI43" s="50">
        <f>Table_LL97SpaceLimits[[#This Row],[2044]]</f>
        <v>7.6209300000000004E-4</v>
      </c>
      <c r="AJ43" s="50">
        <f>Table_LL97SpaceLimits[[#This Row],[2045]]</f>
        <v>7.6209300000000004E-4</v>
      </c>
      <c r="AK43" s="50">
        <f>Table_LL97SpaceLimits[[#This Row],[2046]]</f>
        <v>7.6209300000000004E-4</v>
      </c>
      <c r="AL43" s="50">
        <f>Table_LL97SpaceLimits[[#This Row],[2047]]</f>
        <v>7.6209300000000004E-4</v>
      </c>
      <c r="AM43" s="50">
        <f>Table_LL97SpaceLimits[[#This Row],[2048]]</f>
        <v>7.6209300000000004E-4</v>
      </c>
      <c r="AN43" s="40">
        <v>0</v>
      </c>
      <c r="CD43"/>
      <c r="CE43"/>
      <c r="CF43"/>
      <c r="CG43"/>
      <c r="CH43"/>
      <c r="CI43"/>
      <c r="CJ43"/>
      <c r="CK43"/>
      <c r="CL43"/>
      <c r="CM43"/>
      <c r="CN43"/>
      <c r="CO43"/>
      <c r="CP43"/>
      <c r="CQ43"/>
      <c r="CR43"/>
      <c r="CS43"/>
      <c r="CT43"/>
    </row>
    <row r="44" spans="5:98">
      <c r="E44"/>
      <c r="M44" s="35" t="s">
        <v>287</v>
      </c>
      <c r="N44" s="36">
        <v>1.074E-2</v>
      </c>
      <c r="O44" s="36">
        <f>Table_LL97SpaceLimits[[#This Row],[2024]]</f>
        <v>1.074E-2</v>
      </c>
      <c r="P44" s="36">
        <f>Table_LL97SpaceLimits[[#This Row],[2025]]</f>
        <v>1.074E-2</v>
      </c>
      <c r="Q44" s="36">
        <f>Table_LL97SpaceLimits[[#This Row],[2026]]</f>
        <v>1.074E-2</v>
      </c>
      <c r="R44" s="36">
        <f>Table_LL97SpaceLimits[[#This Row],[2027]]</f>
        <v>1.074E-2</v>
      </c>
      <c r="S44" s="36">
        <f>Table_LL97SpaceLimits[[#This Row],[2028]]</f>
        <v>1.074E-2</v>
      </c>
      <c r="T44" s="41">
        <v>1.9282259999999999E-3</v>
      </c>
      <c r="U44" s="37">
        <f>Table_LL97SpaceLimits[[#This Row],[2030]]</f>
        <v>1.9282259999999999E-3</v>
      </c>
      <c r="V44" s="37">
        <f>Table_LL97SpaceLimits[[#This Row],[2031]]</f>
        <v>1.9282259999999999E-3</v>
      </c>
      <c r="W44" s="37">
        <f>Table_LL97SpaceLimits[[#This Row],[2032]]</f>
        <v>1.9282259999999999E-3</v>
      </c>
      <c r="X44" s="37">
        <f>Table_LL97SpaceLimits[[#This Row],[2033]]</f>
        <v>1.9282259999999999E-3</v>
      </c>
      <c r="Y44" s="38">
        <v>1.0064259999999999E-3</v>
      </c>
      <c r="Z44" s="38">
        <f>Table_LL97SpaceLimits[[#This Row],[2035]]</f>
        <v>1.0064259999999999E-3</v>
      </c>
      <c r="AA44" s="38">
        <f>Table_LL97SpaceLimits[[#This Row],[2036]]</f>
        <v>1.0064259999999999E-3</v>
      </c>
      <c r="AB44" s="38">
        <f>Table_LL97SpaceLimits[[#This Row],[2037]]</f>
        <v>1.0064259999999999E-3</v>
      </c>
      <c r="AC44" s="38">
        <f>Table_LL97SpaceLimits[[#This Row],[2038]]</f>
        <v>1.0064259999999999E-3</v>
      </c>
      <c r="AD44" s="39">
        <v>6.7983000000000003E-5</v>
      </c>
      <c r="AE44" s="50">
        <f>Table_LL97SpaceLimits[[#This Row],[2040]]</f>
        <v>6.7983000000000003E-5</v>
      </c>
      <c r="AF44" s="50">
        <f>Table_LL97SpaceLimits[[#This Row],[2041]]</f>
        <v>6.7983000000000003E-5</v>
      </c>
      <c r="AG44" s="50">
        <f>Table_LL97SpaceLimits[[#This Row],[2042]]</f>
        <v>6.7983000000000003E-5</v>
      </c>
      <c r="AH44" s="50">
        <f>Table_LL97SpaceLimits[[#This Row],[2043]]</f>
        <v>6.7983000000000003E-5</v>
      </c>
      <c r="AI44" s="50">
        <f>Table_LL97SpaceLimits[[#This Row],[2044]]</f>
        <v>6.7983000000000003E-5</v>
      </c>
      <c r="AJ44" s="50">
        <f>Table_LL97SpaceLimits[[#This Row],[2045]]</f>
        <v>6.7983000000000003E-5</v>
      </c>
      <c r="AK44" s="50">
        <f>Table_LL97SpaceLimits[[#This Row],[2046]]</f>
        <v>6.7983000000000003E-5</v>
      </c>
      <c r="AL44" s="50">
        <f>Table_LL97SpaceLimits[[#This Row],[2047]]</f>
        <v>6.7983000000000003E-5</v>
      </c>
      <c r="AM44" s="50">
        <f>Table_LL97SpaceLimits[[#This Row],[2048]]</f>
        <v>6.7983000000000003E-5</v>
      </c>
      <c r="AN44" s="40">
        <v>0</v>
      </c>
      <c r="CD44"/>
      <c r="CE44"/>
      <c r="CF44"/>
      <c r="CG44"/>
      <c r="CH44"/>
      <c r="CI44"/>
      <c r="CJ44"/>
      <c r="CK44"/>
      <c r="CL44"/>
      <c r="CM44"/>
      <c r="CN44"/>
      <c r="CO44"/>
      <c r="CP44"/>
      <c r="CQ44"/>
      <c r="CR44"/>
      <c r="CS44"/>
      <c r="CT44"/>
    </row>
    <row r="45" spans="5:98">
      <c r="E45"/>
      <c r="M45" s="35" t="s">
        <v>288</v>
      </c>
      <c r="N45" s="36">
        <v>7.5799999999999999E-3</v>
      </c>
      <c r="O45" s="36">
        <f>Table_LL97SpaceLimits[[#This Row],[2024]]</f>
        <v>7.5799999999999999E-3</v>
      </c>
      <c r="P45" s="36">
        <f>Table_LL97SpaceLimits[[#This Row],[2025]]</f>
        <v>7.5799999999999999E-3</v>
      </c>
      <c r="Q45" s="36">
        <f>Table_LL97SpaceLimits[[#This Row],[2026]]</f>
        <v>7.5799999999999999E-3</v>
      </c>
      <c r="R45" s="36">
        <f>Table_LL97SpaceLimits[[#This Row],[2027]]</f>
        <v>7.5799999999999999E-3</v>
      </c>
      <c r="S45" s="36">
        <f>Table_LL97SpaceLimits[[#This Row],[2028]]</f>
        <v>7.5799999999999999E-3</v>
      </c>
      <c r="T45" s="41">
        <v>3.8080330000000002E-3</v>
      </c>
      <c r="U45" s="37">
        <f>Table_LL97SpaceLimits[[#This Row],[2030]]</f>
        <v>3.8080330000000002E-3</v>
      </c>
      <c r="V45" s="37">
        <f>Table_LL97SpaceLimits[[#This Row],[2031]]</f>
        <v>3.8080330000000002E-3</v>
      </c>
      <c r="W45" s="37">
        <f>Table_LL97SpaceLimits[[#This Row],[2032]]</f>
        <v>3.8080330000000002E-3</v>
      </c>
      <c r="X45" s="37">
        <f>Table_LL97SpaceLimits[[#This Row],[2033]]</f>
        <v>3.8080330000000002E-3</v>
      </c>
      <c r="Y45" s="38">
        <v>2.8560249999999999E-3</v>
      </c>
      <c r="Z45" s="38">
        <f>Table_LL97SpaceLimits[[#This Row],[2035]]</f>
        <v>2.8560249999999999E-3</v>
      </c>
      <c r="AA45" s="38">
        <f>Table_LL97SpaceLimits[[#This Row],[2036]]</f>
        <v>2.8560249999999999E-3</v>
      </c>
      <c r="AB45" s="38">
        <f>Table_LL97SpaceLimits[[#This Row],[2037]]</f>
        <v>2.8560249999999999E-3</v>
      </c>
      <c r="AC45" s="38">
        <f>Table_LL97SpaceLimits[[#This Row],[2038]]</f>
        <v>2.8560249999999999E-3</v>
      </c>
      <c r="AD45" s="39">
        <v>1.904017E-3</v>
      </c>
      <c r="AE45" s="50">
        <f>Table_LL97SpaceLimits[[#This Row],[2040]]</f>
        <v>1.904017E-3</v>
      </c>
      <c r="AF45" s="50">
        <f>Table_LL97SpaceLimits[[#This Row],[2041]]</f>
        <v>1.904017E-3</v>
      </c>
      <c r="AG45" s="50">
        <f>Table_LL97SpaceLimits[[#This Row],[2042]]</f>
        <v>1.904017E-3</v>
      </c>
      <c r="AH45" s="50">
        <f>Table_LL97SpaceLimits[[#This Row],[2043]]</f>
        <v>1.904017E-3</v>
      </c>
      <c r="AI45" s="50">
        <f>Table_LL97SpaceLimits[[#This Row],[2044]]</f>
        <v>1.904017E-3</v>
      </c>
      <c r="AJ45" s="50">
        <f>Table_LL97SpaceLimits[[#This Row],[2045]]</f>
        <v>1.904017E-3</v>
      </c>
      <c r="AK45" s="50">
        <f>Table_LL97SpaceLimits[[#This Row],[2046]]</f>
        <v>1.904017E-3</v>
      </c>
      <c r="AL45" s="50">
        <f>Table_LL97SpaceLimits[[#This Row],[2047]]</f>
        <v>1.904017E-3</v>
      </c>
      <c r="AM45" s="50">
        <f>Table_LL97SpaceLimits[[#This Row],[2048]]</f>
        <v>1.904017E-3</v>
      </c>
      <c r="AN45" s="40">
        <v>0</v>
      </c>
    </row>
    <row r="46" spans="5:98">
      <c r="E46"/>
      <c r="M46" s="35" t="s">
        <v>289</v>
      </c>
      <c r="N46" s="36">
        <v>9.8700000000000003E-3</v>
      </c>
      <c r="O46" s="36">
        <f>Table_LL97SpaceLimits[[#This Row],[2024]]</f>
        <v>9.8700000000000003E-3</v>
      </c>
      <c r="P46" s="36">
        <f>Table_LL97SpaceLimits[[#This Row],[2025]]</f>
        <v>9.8700000000000003E-3</v>
      </c>
      <c r="Q46" s="36">
        <f>Table_LL97SpaceLimits[[#This Row],[2026]]</f>
        <v>9.8700000000000003E-3</v>
      </c>
      <c r="R46" s="36">
        <f>Table_LL97SpaceLimits[[#This Row],[2027]]</f>
        <v>9.8700000000000003E-3</v>
      </c>
      <c r="S46" s="36">
        <f>Table_LL97SpaceLimits[[#This Row],[2028]]</f>
        <v>9.8700000000000003E-3</v>
      </c>
      <c r="T46" s="41">
        <v>4.4795700000000004E-3</v>
      </c>
      <c r="U46" s="37">
        <f>Table_LL97SpaceLimits[[#This Row],[2030]]</f>
        <v>4.4795700000000004E-3</v>
      </c>
      <c r="V46" s="37">
        <f>Table_LL97SpaceLimits[[#This Row],[2031]]</f>
        <v>4.4795700000000004E-3</v>
      </c>
      <c r="W46" s="37">
        <f>Table_LL97SpaceLimits[[#This Row],[2032]]</f>
        <v>4.4795700000000004E-3</v>
      </c>
      <c r="X46" s="37">
        <f>Table_LL97SpaceLimits[[#This Row],[2033]]</f>
        <v>4.4795700000000004E-3</v>
      </c>
      <c r="Y46" s="38">
        <v>3.3596780000000001E-3</v>
      </c>
      <c r="Z46" s="38">
        <f>Table_LL97SpaceLimits[[#This Row],[2035]]</f>
        <v>3.3596780000000001E-3</v>
      </c>
      <c r="AA46" s="38">
        <f>Table_LL97SpaceLimits[[#This Row],[2036]]</f>
        <v>3.3596780000000001E-3</v>
      </c>
      <c r="AB46" s="38">
        <f>Table_LL97SpaceLimits[[#This Row],[2037]]</f>
        <v>3.3596780000000001E-3</v>
      </c>
      <c r="AC46" s="38">
        <f>Table_LL97SpaceLimits[[#This Row],[2038]]</f>
        <v>3.3596780000000001E-3</v>
      </c>
      <c r="AD46" s="39">
        <v>2.2397850000000002E-3</v>
      </c>
      <c r="AE46" s="50">
        <f>Table_LL97SpaceLimits[[#This Row],[2040]]</f>
        <v>2.2397850000000002E-3</v>
      </c>
      <c r="AF46" s="50">
        <f>Table_LL97SpaceLimits[[#This Row],[2041]]</f>
        <v>2.2397850000000002E-3</v>
      </c>
      <c r="AG46" s="50">
        <f>Table_LL97SpaceLimits[[#This Row],[2042]]</f>
        <v>2.2397850000000002E-3</v>
      </c>
      <c r="AH46" s="50">
        <f>Table_LL97SpaceLimits[[#This Row],[2043]]</f>
        <v>2.2397850000000002E-3</v>
      </c>
      <c r="AI46" s="50">
        <f>Table_LL97SpaceLimits[[#This Row],[2044]]</f>
        <v>2.2397850000000002E-3</v>
      </c>
      <c r="AJ46" s="50">
        <f>Table_LL97SpaceLimits[[#This Row],[2045]]</f>
        <v>2.2397850000000002E-3</v>
      </c>
      <c r="AK46" s="50">
        <f>Table_LL97SpaceLimits[[#This Row],[2046]]</f>
        <v>2.2397850000000002E-3</v>
      </c>
      <c r="AL46" s="50">
        <f>Table_LL97SpaceLimits[[#This Row],[2047]]</f>
        <v>2.2397850000000002E-3</v>
      </c>
      <c r="AM46" s="50">
        <f>Table_LL97SpaceLimits[[#This Row],[2048]]</f>
        <v>2.2397850000000002E-3</v>
      </c>
      <c r="AN46" s="40">
        <v>0</v>
      </c>
    </row>
    <row r="47" spans="5:98">
      <c r="E47"/>
      <c r="M47" s="35" t="s">
        <v>290</v>
      </c>
      <c r="N47" s="36">
        <v>2.3810000000000001E-2</v>
      </c>
      <c r="O47" s="36">
        <f>Table_LL97SpaceLimits[[#This Row],[2024]]</f>
        <v>2.3810000000000001E-2</v>
      </c>
      <c r="P47" s="36">
        <f>Table_LL97SpaceLimits[[#This Row],[2025]]</f>
        <v>2.3810000000000001E-2</v>
      </c>
      <c r="Q47" s="36">
        <f>Table_LL97SpaceLimits[[#This Row],[2026]]</f>
        <v>2.3810000000000001E-2</v>
      </c>
      <c r="R47" s="36">
        <f>Table_LL97SpaceLimits[[#This Row],[2027]]</f>
        <v>2.3810000000000001E-2</v>
      </c>
      <c r="S47" s="36">
        <f>Table_LL97SpaceLimits[[#This Row],[2028]]</f>
        <v>2.3810000000000001E-2</v>
      </c>
      <c r="T47" s="41">
        <v>8.5050750000000008E-3</v>
      </c>
      <c r="U47" s="37">
        <f>Table_LL97SpaceLimits[[#This Row],[2030]]</f>
        <v>8.5050750000000008E-3</v>
      </c>
      <c r="V47" s="37">
        <f>Table_LL97SpaceLimits[[#This Row],[2031]]</f>
        <v>8.5050750000000008E-3</v>
      </c>
      <c r="W47" s="37">
        <f>Table_LL97SpaceLimits[[#This Row],[2032]]</f>
        <v>8.5050750000000008E-3</v>
      </c>
      <c r="X47" s="37">
        <f>Table_LL97SpaceLimits[[#This Row],[2033]]</f>
        <v>8.5050750000000008E-3</v>
      </c>
      <c r="Y47" s="38">
        <v>6.3788059999999999E-3</v>
      </c>
      <c r="Z47" s="38">
        <f>Table_LL97SpaceLimits[[#This Row],[2035]]</f>
        <v>6.3788059999999999E-3</v>
      </c>
      <c r="AA47" s="38">
        <f>Table_LL97SpaceLimits[[#This Row],[2036]]</f>
        <v>6.3788059999999999E-3</v>
      </c>
      <c r="AB47" s="38">
        <f>Table_LL97SpaceLimits[[#This Row],[2037]]</f>
        <v>6.3788059999999999E-3</v>
      </c>
      <c r="AC47" s="38">
        <f>Table_LL97SpaceLimits[[#This Row],[2038]]</f>
        <v>6.3788059999999999E-3</v>
      </c>
      <c r="AD47" s="39">
        <v>4.2525369999999998E-3</v>
      </c>
      <c r="AE47" s="50">
        <f>Table_LL97SpaceLimits[[#This Row],[2040]]</f>
        <v>4.2525369999999998E-3</v>
      </c>
      <c r="AF47" s="50">
        <f>Table_LL97SpaceLimits[[#This Row],[2041]]</f>
        <v>4.2525369999999998E-3</v>
      </c>
      <c r="AG47" s="50">
        <f>Table_LL97SpaceLimits[[#This Row],[2042]]</f>
        <v>4.2525369999999998E-3</v>
      </c>
      <c r="AH47" s="50">
        <f>Table_LL97SpaceLimits[[#This Row],[2043]]</f>
        <v>4.2525369999999998E-3</v>
      </c>
      <c r="AI47" s="50">
        <f>Table_LL97SpaceLimits[[#This Row],[2044]]</f>
        <v>4.2525369999999998E-3</v>
      </c>
      <c r="AJ47" s="50">
        <f>Table_LL97SpaceLimits[[#This Row],[2045]]</f>
        <v>4.2525369999999998E-3</v>
      </c>
      <c r="AK47" s="50">
        <f>Table_LL97SpaceLimits[[#This Row],[2046]]</f>
        <v>4.2525369999999998E-3</v>
      </c>
      <c r="AL47" s="50">
        <f>Table_LL97SpaceLimits[[#This Row],[2047]]</f>
        <v>4.2525369999999998E-3</v>
      </c>
      <c r="AM47" s="50">
        <f>Table_LL97SpaceLimits[[#This Row],[2048]]</f>
        <v>4.2525369999999998E-3</v>
      </c>
      <c r="AN47" s="40">
        <v>0</v>
      </c>
    </row>
    <row r="48" spans="5:98">
      <c r="E48"/>
      <c r="M48" s="35" t="s">
        <v>291</v>
      </c>
      <c r="N48" s="36">
        <v>1.074E-2</v>
      </c>
      <c r="O48" s="36">
        <f>Table_LL97SpaceLimits[[#This Row],[2024]]</f>
        <v>1.074E-2</v>
      </c>
      <c r="P48" s="36">
        <f>Table_LL97SpaceLimits[[#This Row],[2025]]</f>
        <v>1.074E-2</v>
      </c>
      <c r="Q48" s="36">
        <f>Table_LL97SpaceLimits[[#This Row],[2026]]</f>
        <v>1.074E-2</v>
      </c>
      <c r="R48" s="36">
        <f>Table_LL97SpaceLimits[[#This Row],[2027]]</f>
        <v>1.074E-2</v>
      </c>
      <c r="S48" s="36">
        <f>Table_LL97SpaceLimits[[#This Row],[2028]]</f>
        <v>1.074E-2</v>
      </c>
      <c r="T48" s="41">
        <v>1.823381E-3</v>
      </c>
      <c r="U48" s="37">
        <f>Table_LL97SpaceLimits[[#This Row],[2030]]</f>
        <v>1.823381E-3</v>
      </c>
      <c r="V48" s="37">
        <f>Table_LL97SpaceLimits[[#This Row],[2031]]</f>
        <v>1.823381E-3</v>
      </c>
      <c r="W48" s="37">
        <f>Table_LL97SpaceLimits[[#This Row],[2032]]</f>
        <v>1.823381E-3</v>
      </c>
      <c r="X48" s="37">
        <f>Table_LL97SpaceLimits[[#This Row],[2033]]</f>
        <v>1.823381E-3</v>
      </c>
      <c r="Y48" s="38">
        <v>1.3675359999999999E-3</v>
      </c>
      <c r="Z48" s="38">
        <f>Table_LL97SpaceLimits[[#This Row],[2035]]</f>
        <v>1.3675359999999999E-3</v>
      </c>
      <c r="AA48" s="38">
        <f>Table_LL97SpaceLimits[[#This Row],[2036]]</f>
        <v>1.3675359999999999E-3</v>
      </c>
      <c r="AB48" s="38">
        <f>Table_LL97SpaceLimits[[#This Row],[2037]]</f>
        <v>1.3675359999999999E-3</v>
      </c>
      <c r="AC48" s="38">
        <f>Table_LL97SpaceLimits[[#This Row],[2038]]</f>
        <v>1.3675359999999999E-3</v>
      </c>
      <c r="AD48" s="39">
        <v>9.1169099999999996E-4</v>
      </c>
      <c r="AE48" s="50">
        <f>Table_LL97SpaceLimits[[#This Row],[2040]]</f>
        <v>9.1169099999999996E-4</v>
      </c>
      <c r="AF48" s="50">
        <f>Table_LL97SpaceLimits[[#This Row],[2041]]</f>
        <v>9.1169099999999996E-4</v>
      </c>
      <c r="AG48" s="50">
        <f>Table_LL97SpaceLimits[[#This Row],[2042]]</f>
        <v>9.1169099999999996E-4</v>
      </c>
      <c r="AH48" s="50">
        <f>Table_LL97SpaceLimits[[#This Row],[2043]]</f>
        <v>9.1169099999999996E-4</v>
      </c>
      <c r="AI48" s="50">
        <f>Table_LL97SpaceLimits[[#This Row],[2044]]</f>
        <v>9.1169099999999996E-4</v>
      </c>
      <c r="AJ48" s="50">
        <f>Table_LL97SpaceLimits[[#This Row],[2045]]</f>
        <v>9.1169099999999996E-4</v>
      </c>
      <c r="AK48" s="50">
        <f>Table_LL97SpaceLimits[[#This Row],[2046]]</f>
        <v>9.1169099999999996E-4</v>
      </c>
      <c r="AL48" s="50">
        <f>Table_LL97SpaceLimits[[#This Row],[2047]]</f>
        <v>9.1169099999999996E-4</v>
      </c>
      <c r="AM48" s="50">
        <f>Table_LL97SpaceLimits[[#This Row],[2048]]</f>
        <v>9.1169099999999996E-4</v>
      </c>
      <c r="AN48" s="40">
        <v>0</v>
      </c>
    </row>
    <row r="49" spans="5:40">
      <c r="E49"/>
      <c r="M49" s="35" t="s">
        <v>292</v>
      </c>
      <c r="N49" s="36">
        <v>2.3810000000000001E-2</v>
      </c>
      <c r="O49" s="36">
        <f>Table_LL97SpaceLimits[[#This Row],[2024]]</f>
        <v>2.3810000000000001E-2</v>
      </c>
      <c r="P49" s="36">
        <f>Table_LL97SpaceLimits[[#This Row],[2025]]</f>
        <v>2.3810000000000001E-2</v>
      </c>
      <c r="Q49" s="36">
        <f>Table_LL97SpaceLimits[[#This Row],[2026]]</f>
        <v>2.3810000000000001E-2</v>
      </c>
      <c r="R49" s="36">
        <f>Table_LL97SpaceLimits[[#This Row],[2027]]</f>
        <v>2.3810000000000001E-2</v>
      </c>
      <c r="S49" s="36">
        <f>Table_LL97SpaceLimits[[#This Row],[2028]]</f>
        <v>2.3810000000000001E-2</v>
      </c>
      <c r="T49" s="41">
        <v>6.3218190000000002E-3</v>
      </c>
      <c r="U49" s="37">
        <f>Table_LL97SpaceLimits[[#This Row],[2030]]</f>
        <v>6.3218190000000002E-3</v>
      </c>
      <c r="V49" s="37">
        <f>Table_LL97SpaceLimits[[#This Row],[2031]]</f>
        <v>6.3218190000000002E-3</v>
      </c>
      <c r="W49" s="37">
        <f>Table_LL97SpaceLimits[[#This Row],[2032]]</f>
        <v>6.3218190000000002E-3</v>
      </c>
      <c r="X49" s="37">
        <f>Table_LL97SpaceLimits[[#This Row],[2033]]</f>
        <v>6.3218190000000002E-3</v>
      </c>
      <c r="Y49" s="38">
        <v>4.741365E-3</v>
      </c>
      <c r="Z49" s="38">
        <f>Table_LL97SpaceLimits[[#This Row],[2035]]</f>
        <v>4.741365E-3</v>
      </c>
      <c r="AA49" s="38">
        <f>Table_LL97SpaceLimits[[#This Row],[2036]]</f>
        <v>4.741365E-3</v>
      </c>
      <c r="AB49" s="38">
        <f>Table_LL97SpaceLimits[[#This Row],[2037]]</f>
        <v>4.741365E-3</v>
      </c>
      <c r="AC49" s="38">
        <f>Table_LL97SpaceLimits[[#This Row],[2038]]</f>
        <v>4.741365E-3</v>
      </c>
      <c r="AD49" s="39">
        <v>3.1609099999999998E-3</v>
      </c>
      <c r="AE49" s="50">
        <f>Table_LL97SpaceLimits[[#This Row],[2040]]</f>
        <v>3.1609099999999998E-3</v>
      </c>
      <c r="AF49" s="50">
        <f>Table_LL97SpaceLimits[[#This Row],[2041]]</f>
        <v>3.1609099999999998E-3</v>
      </c>
      <c r="AG49" s="50">
        <f>Table_LL97SpaceLimits[[#This Row],[2042]]</f>
        <v>3.1609099999999998E-3</v>
      </c>
      <c r="AH49" s="50">
        <f>Table_LL97SpaceLimits[[#This Row],[2043]]</f>
        <v>3.1609099999999998E-3</v>
      </c>
      <c r="AI49" s="50">
        <f>Table_LL97SpaceLimits[[#This Row],[2044]]</f>
        <v>3.1609099999999998E-3</v>
      </c>
      <c r="AJ49" s="50">
        <f>Table_LL97SpaceLimits[[#This Row],[2045]]</f>
        <v>3.1609099999999998E-3</v>
      </c>
      <c r="AK49" s="50">
        <f>Table_LL97SpaceLimits[[#This Row],[2046]]</f>
        <v>3.1609099999999998E-3</v>
      </c>
      <c r="AL49" s="50">
        <f>Table_LL97SpaceLimits[[#This Row],[2047]]</f>
        <v>3.1609099999999998E-3</v>
      </c>
      <c r="AM49" s="50">
        <f>Table_LL97SpaceLimits[[#This Row],[2048]]</f>
        <v>3.1609099999999998E-3</v>
      </c>
      <c r="AN49" s="40">
        <v>0</v>
      </c>
    </row>
    <row r="50" spans="5:40">
      <c r="E50"/>
      <c r="M50" s="35" t="s">
        <v>293</v>
      </c>
      <c r="N50" s="36">
        <v>2.3810000000000001E-2</v>
      </c>
      <c r="O50" s="36">
        <f>Table_LL97SpaceLimits[[#This Row],[2024]]</f>
        <v>2.3810000000000001E-2</v>
      </c>
      <c r="P50" s="36">
        <f>Table_LL97SpaceLimits[[#This Row],[2025]]</f>
        <v>2.3810000000000001E-2</v>
      </c>
      <c r="Q50" s="36">
        <f>Table_LL97SpaceLimits[[#This Row],[2026]]</f>
        <v>2.3810000000000001E-2</v>
      </c>
      <c r="R50" s="36">
        <f>Table_LL97SpaceLimits[[#This Row],[2027]]</f>
        <v>2.3810000000000001E-2</v>
      </c>
      <c r="S50" s="36">
        <f>Table_LL97SpaceLimits[[#This Row],[2028]]</f>
        <v>2.3810000000000001E-2</v>
      </c>
      <c r="T50" s="41">
        <v>1.0446456E-2</v>
      </c>
      <c r="U50" s="37">
        <f>Table_LL97SpaceLimits[[#This Row],[2030]]</f>
        <v>1.0446456E-2</v>
      </c>
      <c r="V50" s="37">
        <f>Table_LL97SpaceLimits[[#This Row],[2031]]</f>
        <v>1.0446456E-2</v>
      </c>
      <c r="W50" s="37">
        <f>Table_LL97SpaceLimits[[#This Row],[2032]]</f>
        <v>1.0446456E-2</v>
      </c>
      <c r="X50" s="37">
        <f>Table_LL97SpaceLimits[[#This Row],[2033]]</f>
        <v>1.0446456E-2</v>
      </c>
      <c r="Y50" s="38">
        <v>7.8348419999999998E-3</v>
      </c>
      <c r="Z50" s="38">
        <f>Table_LL97SpaceLimits[[#This Row],[2035]]</f>
        <v>7.8348419999999998E-3</v>
      </c>
      <c r="AA50" s="38">
        <f>Table_LL97SpaceLimits[[#This Row],[2036]]</f>
        <v>7.8348419999999998E-3</v>
      </c>
      <c r="AB50" s="38">
        <f>Table_LL97SpaceLimits[[#This Row],[2037]]</f>
        <v>7.8348419999999998E-3</v>
      </c>
      <c r="AC50" s="38">
        <f>Table_LL97SpaceLimits[[#This Row],[2038]]</f>
        <v>7.8348419999999998E-3</v>
      </c>
      <c r="AD50" s="39">
        <v>5.2232279999999999E-3</v>
      </c>
      <c r="AE50" s="50">
        <f>Table_LL97SpaceLimits[[#This Row],[2040]]</f>
        <v>5.2232279999999999E-3</v>
      </c>
      <c r="AF50" s="50">
        <f>Table_LL97SpaceLimits[[#This Row],[2041]]</f>
        <v>5.2232279999999999E-3</v>
      </c>
      <c r="AG50" s="50">
        <f>Table_LL97SpaceLimits[[#This Row],[2042]]</f>
        <v>5.2232279999999999E-3</v>
      </c>
      <c r="AH50" s="50">
        <f>Table_LL97SpaceLimits[[#This Row],[2043]]</f>
        <v>5.2232279999999999E-3</v>
      </c>
      <c r="AI50" s="50">
        <f>Table_LL97SpaceLimits[[#This Row],[2044]]</f>
        <v>5.2232279999999999E-3</v>
      </c>
      <c r="AJ50" s="50">
        <f>Table_LL97SpaceLimits[[#This Row],[2045]]</f>
        <v>5.2232279999999999E-3</v>
      </c>
      <c r="AK50" s="50">
        <f>Table_LL97SpaceLimits[[#This Row],[2046]]</f>
        <v>5.2232279999999999E-3</v>
      </c>
      <c r="AL50" s="50">
        <f>Table_LL97SpaceLimits[[#This Row],[2047]]</f>
        <v>5.2232279999999999E-3</v>
      </c>
      <c r="AM50" s="50">
        <f>Table_LL97SpaceLimits[[#This Row],[2048]]</f>
        <v>5.2232279999999999E-3</v>
      </c>
      <c r="AN50" s="40">
        <v>0</v>
      </c>
    </row>
    <row r="51" spans="5:40">
      <c r="E51"/>
      <c r="M51" s="35" t="s">
        <v>294</v>
      </c>
      <c r="N51" s="36">
        <v>1.1809999999999999E-2</v>
      </c>
      <c r="O51" s="36">
        <f>Table_LL97SpaceLimits[[#This Row],[2024]]</f>
        <v>1.1809999999999999E-2</v>
      </c>
      <c r="P51" s="36">
        <f>Table_LL97SpaceLimits[[#This Row],[2025]]</f>
        <v>1.1809999999999999E-2</v>
      </c>
      <c r="Q51" s="36">
        <f>Table_LL97SpaceLimits[[#This Row],[2026]]</f>
        <v>1.1809999999999999E-2</v>
      </c>
      <c r="R51" s="36">
        <f>Table_LL97SpaceLimits[[#This Row],[2027]]</f>
        <v>1.1809999999999999E-2</v>
      </c>
      <c r="S51" s="36">
        <f>Table_LL97SpaceLimits[[#This Row],[2028]]</f>
        <v>1.1809999999999999E-2</v>
      </c>
      <c r="T51" s="41">
        <v>6.0183229999999999E-3</v>
      </c>
      <c r="U51" s="37">
        <f>Table_LL97SpaceLimits[[#This Row],[2030]]</f>
        <v>6.0183229999999999E-3</v>
      </c>
      <c r="V51" s="37">
        <f>Table_LL97SpaceLimits[[#This Row],[2031]]</f>
        <v>6.0183229999999999E-3</v>
      </c>
      <c r="W51" s="37">
        <f>Table_LL97SpaceLimits[[#This Row],[2032]]</f>
        <v>6.0183229999999999E-3</v>
      </c>
      <c r="X51" s="37">
        <f>Table_LL97SpaceLimits[[#This Row],[2033]]</f>
        <v>6.0183229999999999E-3</v>
      </c>
      <c r="Y51" s="38">
        <v>4.5137420000000003E-3</v>
      </c>
      <c r="Z51" s="38">
        <f>Table_LL97SpaceLimits[[#This Row],[2035]]</f>
        <v>4.5137420000000003E-3</v>
      </c>
      <c r="AA51" s="38">
        <f>Table_LL97SpaceLimits[[#This Row],[2036]]</f>
        <v>4.5137420000000003E-3</v>
      </c>
      <c r="AB51" s="38">
        <f>Table_LL97SpaceLimits[[#This Row],[2037]]</f>
        <v>4.5137420000000003E-3</v>
      </c>
      <c r="AC51" s="38">
        <f>Table_LL97SpaceLimits[[#This Row],[2038]]</f>
        <v>4.5137420000000003E-3</v>
      </c>
      <c r="AD51" s="39">
        <v>3.0091610000000002E-3</v>
      </c>
      <c r="AE51" s="50">
        <f>Table_LL97SpaceLimits[[#This Row],[2040]]</f>
        <v>3.0091610000000002E-3</v>
      </c>
      <c r="AF51" s="50">
        <f>Table_LL97SpaceLimits[[#This Row],[2041]]</f>
        <v>3.0091610000000002E-3</v>
      </c>
      <c r="AG51" s="50">
        <f>Table_LL97SpaceLimits[[#This Row],[2042]]</f>
        <v>3.0091610000000002E-3</v>
      </c>
      <c r="AH51" s="50">
        <f>Table_LL97SpaceLimits[[#This Row],[2043]]</f>
        <v>3.0091610000000002E-3</v>
      </c>
      <c r="AI51" s="50">
        <f>Table_LL97SpaceLimits[[#This Row],[2044]]</f>
        <v>3.0091610000000002E-3</v>
      </c>
      <c r="AJ51" s="50">
        <f>Table_LL97SpaceLimits[[#This Row],[2045]]</f>
        <v>3.0091610000000002E-3</v>
      </c>
      <c r="AK51" s="50">
        <f>Table_LL97SpaceLimits[[#This Row],[2046]]</f>
        <v>3.0091610000000002E-3</v>
      </c>
      <c r="AL51" s="50">
        <f>Table_LL97SpaceLimits[[#This Row],[2047]]</f>
        <v>3.0091610000000002E-3</v>
      </c>
      <c r="AM51" s="50">
        <f>Table_LL97SpaceLimits[[#This Row],[2048]]</f>
        <v>3.0091610000000002E-3</v>
      </c>
      <c r="AN51" s="40">
        <v>0</v>
      </c>
    </row>
    <row r="52" spans="5:40">
      <c r="E52"/>
      <c r="M52" s="35" t="s">
        <v>28</v>
      </c>
      <c r="N52" s="36">
        <v>4.2599999999999999E-3</v>
      </c>
      <c r="O52" s="36">
        <f>Table_LL97SpaceLimits[[#This Row],[2024]]</f>
        <v>4.2599999999999999E-3</v>
      </c>
      <c r="P52" s="36">
        <f>Table_LL97SpaceLimits[[#This Row],[2025]]</f>
        <v>4.2599999999999999E-3</v>
      </c>
      <c r="Q52" s="36">
        <f>Table_LL97SpaceLimits[[#This Row],[2026]]</f>
        <v>4.2599999999999999E-3</v>
      </c>
      <c r="R52" s="36">
        <f>Table_LL97SpaceLimits[[#This Row],[2027]]</f>
        <v>4.2599999999999999E-3</v>
      </c>
      <c r="S52" s="36">
        <f>Table_LL97SpaceLimits[[#This Row],[2028]]</f>
        <v>4.2599999999999999E-3</v>
      </c>
      <c r="T52" s="41">
        <v>2.1442100000000001E-4</v>
      </c>
      <c r="U52" s="37">
        <f>Table_LL97SpaceLimits[[#This Row],[2030]]</f>
        <v>2.1442100000000001E-4</v>
      </c>
      <c r="V52" s="37">
        <f>Table_LL97SpaceLimits[[#This Row],[2031]]</f>
        <v>2.1442100000000001E-4</v>
      </c>
      <c r="W52" s="37">
        <f>Table_LL97SpaceLimits[[#This Row],[2032]]</f>
        <v>2.1442100000000001E-4</v>
      </c>
      <c r="X52" s="37">
        <f>Table_LL97SpaceLimits[[#This Row],[2033]]</f>
        <v>2.1442100000000001E-4</v>
      </c>
      <c r="Y52" s="38">
        <v>1.04943E-4</v>
      </c>
      <c r="Z52" s="38">
        <f>Table_LL97SpaceLimits[[#This Row],[2035]]</f>
        <v>1.04943E-4</v>
      </c>
      <c r="AA52" s="38">
        <f>Table_LL97SpaceLimits[[#This Row],[2036]]</f>
        <v>1.04943E-4</v>
      </c>
      <c r="AB52" s="38">
        <f>Table_LL97SpaceLimits[[#This Row],[2037]]</f>
        <v>1.04943E-4</v>
      </c>
      <c r="AC52" s="38">
        <f>Table_LL97SpaceLimits[[#This Row],[2038]]</f>
        <v>1.04943E-4</v>
      </c>
      <c r="AD52" s="39">
        <v>0</v>
      </c>
      <c r="AE52" s="50">
        <f>Table_LL97SpaceLimits[[#This Row],[2040]]</f>
        <v>0</v>
      </c>
      <c r="AF52" s="50">
        <f>Table_LL97SpaceLimits[[#This Row],[2041]]</f>
        <v>0</v>
      </c>
      <c r="AG52" s="50">
        <f>Table_LL97SpaceLimits[[#This Row],[2042]]</f>
        <v>0</v>
      </c>
      <c r="AH52" s="50">
        <f>Table_LL97SpaceLimits[[#This Row],[2043]]</f>
        <v>0</v>
      </c>
      <c r="AI52" s="50">
        <f>Table_LL97SpaceLimits[[#This Row],[2044]]</f>
        <v>0</v>
      </c>
      <c r="AJ52" s="50">
        <f>Table_LL97SpaceLimits[[#This Row],[2045]]</f>
        <v>0</v>
      </c>
      <c r="AK52" s="50">
        <f>Table_LL97SpaceLimits[[#This Row],[2046]]</f>
        <v>0</v>
      </c>
      <c r="AL52" s="50">
        <f>Table_LL97SpaceLimits[[#This Row],[2047]]</f>
        <v>0</v>
      </c>
      <c r="AM52" s="50">
        <f>Table_LL97SpaceLimits[[#This Row],[2048]]</f>
        <v>0</v>
      </c>
      <c r="AN52" s="40">
        <v>0</v>
      </c>
    </row>
    <row r="53" spans="5:40">
      <c r="E53"/>
      <c r="M53" s="35" t="s">
        <v>295</v>
      </c>
      <c r="N53" s="36">
        <v>8.4600000000000005E-3</v>
      </c>
      <c r="O53" s="36">
        <f>Table_LL97SpaceLimits[[#This Row],[2024]]</f>
        <v>8.4600000000000005E-3</v>
      </c>
      <c r="P53" s="36">
        <f>Table_LL97SpaceLimits[[#This Row],[2025]]</f>
        <v>8.4600000000000005E-3</v>
      </c>
      <c r="Q53" s="36">
        <f>Table_LL97SpaceLimits[[#This Row],[2026]]</f>
        <v>8.4600000000000005E-3</v>
      </c>
      <c r="R53" s="36">
        <f>Table_LL97SpaceLimits[[#This Row],[2027]]</f>
        <v>8.4600000000000005E-3</v>
      </c>
      <c r="S53" s="36">
        <f>Table_LL97SpaceLimits[[#This Row],[2028]]</f>
        <v>8.4600000000000005E-3</v>
      </c>
      <c r="T53" s="41">
        <v>2.4725390000000002E-3</v>
      </c>
      <c r="U53" s="37">
        <f>Table_LL97SpaceLimits[[#This Row],[2030]]</f>
        <v>2.4725390000000002E-3</v>
      </c>
      <c r="V53" s="37">
        <f>Table_LL97SpaceLimits[[#This Row],[2031]]</f>
        <v>2.4725390000000002E-3</v>
      </c>
      <c r="W53" s="37">
        <f>Table_LL97SpaceLimits[[#This Row],[2032]]</f>
        <v>2.4725390000000002E-3</v>
      </c>
      <c r="X53" s="37">
        <f>Table_LL97SpaceLimits[[#This Row],[2033]]</f>
        <v>2.4725390000000002E-3</v>
      </c>
      <c r="Y53" s="38">
        <v>1.399345E-3</v>
      </c>
      <c r="Z53" s="38">
        <f>Table_LL97SpaceLimits[[#This Row],[2035]]</f>
        <v>1.399345E-3</v>
      </c>
      <c r="AA53" s="38">
        <f>Table_LL97SpaceLimits[[#This Row],[2036]]</f>
        <v>1.399345E-3</v>
      </c>
      <c r="AB53" s="38">
        <f>Table_LL97SpaceLimits[[#This Row],[2037]]</f>
        <v>1.399345E-3</v>
      </c>
      <c r="AC53" s="38">
        <f>Table_LL97SpaceLimits[[#This Row],[2038]]</f>
        <v>1.399345E-3</v>
      </c>
      <c r="AD53" s="39">
        <v>0</v>
      </c>
      <c r="AE53" s="50">
        <f>Table_LL97SpaceLimits[[#This Row],[2040]]</f>
        <v>0</v>
      </c>
      <c r="AF53" s="50">
        <f>Table_LL97SpaceLimits[[#This Row],[2041]]</f>
        <v>0</v>
      </c>
      <c r="AG53" s="50">
        <f>Table_LL97SpaceLimits[[#This Row],[2042]]</f>
        <v>0</v>
      </c>
      <c r="AH53" s="50">
        <f>Table_LL97SpaceLimits[[#This Row],[2043]]</f>
        <v>0</v>
      </c>
      <c r="AI53" s="50">
        <f>Table_LL97SpaceLimits[[#This Row],[2044]]</f>
        <v>0</v>
      </c>
      <c r="AJ53" s="50">
        <f>Table_LL97SpaceLimits[[#This Row],[2045]]</f>
        <v>0</v>
      </c>
      <c r="AK53" s="50">
        <f>Table_LL97SpaceLimits[[#This Row],[2046]]</f>
        <v>0</v>
      </c>
      <c r="AL53" s="50">
        <f>Table_LL97SpaceLimits[[#This Row],[2047]]</f>
        <v>0</v>
      </c>
      <c r="AM53" s="50">
        <f>Table_LL97SpaceLimits[[#This Row],[2048]]</f>
        <v>0</v>
      </c>
      <c r="AN53" s="40">
        <v>0</v>
      </c>
    </row>
    <row r="54" spans="5:40">
      <c r="E54"/>
      <c r="M54" s="35" t="s">
        <v>296</v>
      </c>
      <c r="N54" s="36">
        <v>5.7400000000000003E-3</v>
      </c>
      <c r="O54" s="36">
        <f>Table_LL97SpaceLimits[[#This Row],[2024]]</f>
        <v>5.7400000000000003E-3</v>
      </c>
      <c r="P54" s="36">
        <f>Table_LL97SpaceLimits[[#This Row],[2025]]</f>
        <v>5.7400000000000003E-3</v>
      </c>
      <c r="Q54" s="36">
        <f>Table_LL97SpaceLimits[[#This Row],[2026]]</f>
        <v>5.7400000000000003E-3</v>
      </c>
      <c r="R54" s="36">
        <f>Table_LL97SpaceLimits[[#This Row],[2027]]</f>
        <v>5.7400000000000003E-3</v>
      </c>
      <c r="S54" s="36">
        <f>Table_LL97SpaceLimits[[#This Row],[2028]]</f>
        <v>5.7400000000000003E-3</v>
      </c>
      <c r="T54" s="41">
        <v>4.8430369999999997E-3</v>
      </c>
      <c r="U54" s="37">
        <f>Table_LL97SpaceLimits[[#This Row],[2030]]</f>
        <v>4.8430369999999997E-3</v>
      </c>
      <c r="V54" s="37">
        <f>Table_LL97SpaceLimits[[#This Row],[2031]]</f>
        <v>4.8430369999999997E-3</v>
      </c>
      <c r="W54" s="37">
        <f>Table_LL97SpaceLimits[[#This Row],[2032]]</f>
        <v>4.8430369999999997E-3</v>
      </c>
      <c r="X54" s="37">
        <f>Table_LL97SpaceLimits[[#This Row],[2033]]</f>
        <v>4.8430369999999997E-3</v>
      </c>
      <c r="Y54" s="38">
        <v>3.6322780000000001E-3</v>
      </c>
      <c r="Z54" s="38">
        <f>Table_LL97SpaceLimits[[#This Row],[2035]]</f>
        <v>3.6322780000000001E-3</v>
      </c>
      <c r="AA54" s="38">
        <f>Table_LL97SpaceLimits[[#This Row],[2036]]</f>
        <v>3.6322780000000001E-3</v>
      </c>
      <c r="AB54" s="38">
        <f>Table_LL97SpaceLimits[[#This Row],[2037]]</f>
        <v>3.6322780000000001E-3</v>
      </c>
      <c r="AC54" s="38">
        <f>Table_LL97SpaceLimits[[#This Row],[2038]]</f>
        <v>3.6322780000000001E-3</v>
      </c>
      <c r="AD54" s="39">
        <v>2.421519E-3</v>
      </c>
      <c r="AE54" s="50">
        <f>Table_LL97SpaceLimits[[#This Row],[2040]]</f>
        <v>2.421519E-3</v>
      </c>
      <c r="AF54" s="50">
        <f>Table_LL97SpaceLimits[[#This Row],[2041]]</f>
        <v>2.421519E-3</v>
      </c>
      <c r="AG54" s="50">
        <f>Table_LL97SpaceLimits[[#This Row],[2042]]</f>
        <v>2.421519E-3</v>
      </c>
      <c r="AH54" s="50">
        <f>Table_LL97SpaceLimits[[#This Row],[2043]]</f>
        <v>2.421519E-3</v>
      </c>
      <c r="AI54" s="50">
        <f>Table_LL97SpaceLimits[[#This Row],[2044]]</f>
        <v>2.421519E-3</v>
      </c>
      <c r="AJ54" s="50">
        <f>Table_LL97SpaceLimits[[#This Row],[2045]]</f>
        <v>2.421519E-3</v>
      </c>
      <c r="AK54" s="50">
        <f>Table_LL97SpaceLimits[[#This Row],[2046]]</f>
        <v>2.421519E-3</v>
      </c>
      <c r="AL54" s="50">
        <f>Table_LL97SpaceLimits[[#This Row],[2047]]</f>
        <v>2.421519E-3</v>
      </c>
      <c r="AM54" s="50">
        <f>Table_LL97SpaceLimits[[#This Row],[2048]]</f>
        <v>2.421519E-3</v>
      </c>
      <c r="AN54" s="40">
        <v>0</v>
      </c>
    </row>
    <row r="55" spans="5:40">
      <c r="E55"/>
      <c r="M55" s="35" t="s">
        <v>297</v>
      </c>
      <c r="N55" s="36">
        <v>6.7499999999999999E-3</v>
      </c>
      <c r="O55" s="36">
        <f>Table_LL97SpaceLimits[[#This Row],[2024]]</f>
        <v>6.7499999999999999E-3</v>
      </c>
      <c r="P55" s="36">
        <f>Table_LL97SpaceLimits[[#This Row],[2025]]</f>
        <v>6.7499999999999999E-3</v>
      </c>
      <c r="Q55" s="36">
        <f>Table_LL97SpaceLimits[[#This Row],[2026]]</f>
        <v>6.7499999999999999E-3</v>
      </c>
      <c r="R55" s="36">
        <f>Table_LL97SpaceLimits[[#This Row],[2027]]</f>
        <v>6.7499999999999999E-3</v>
      </c>
      <c r="S55" s="36">
        <f>Table_LL97SpaceLimits[[#This Row],[2028]]</f>
        <v>6.7499999999999999E-3</v>
      </c>
      <c r="T55" s="41">
        <v>2.3628740000000001E-3</v>
      </c>
      <c r="U55" s="37">
        <f>Table_LL97SpaceLimits[[#This Row],[2030]]</f>
        <v>2.3628740000000001E-3</v>
      </c>
      <c r="V55" s="37">
        <f>Table_LL97SpaceLimits[[#This Row],[2031]]</f>
        <v>2.3628740000000001E-3</v>
      </c>
      <c r="W55" s="37">
        <f>Table_LL97SpaceLimits[[#This Row],[2032]]</f>
        <v>2.3628740000000001E-3</v>
      </c>
      <c r="X55" s="37">
        <f>Table_LL97SpaceLimits[[#This Row],[2033]]</f>
        <v>2.3628740000000001E-3</v>
      </c>
      <c r="Y55" s="38">
        <v>1.7721550000000001E-3</v>
      </c>
      <c r="Z55" s="38">
        <f>Table_LL97SpaceLimits[[#This Row],[2035]]</f>
        <v>1.7721550000000001E-3</v>
      </c>
      <c r="AA55" s="38">
        <f>Table_LL97SpaceLimits[[#This Row],[2036]]</f>
        <v>1.7721550000000001E-3</v>
      </c>
      <c r="AB55" s="38">
        <f>Table_LL97SpaceLimits[[#This Row],[2037]]</f>
        <v>1.7721550000000001E-3</v>
      </c>
      <c r="AC55" s="38">
        <f>Table_LL97SpaceLimits[[#This Row],[2038]]</f>
        <v>1.7721550000000001E-3</v>
      </c>
      <c r="AD55" s="39">
        <v>1.181437E-3</v>
      </c>
      <c r="AE55" s="50">
        <f>Table_LL97SpaceLimits[[#This Row],[2040]]</f>
        <v>1.181437E-3</v>
      </c>
      <c r="AF55" s="50">
        <f>Table_LL97SpaceLimits[[#This Row],[2041]]</f>
        <v>1.181437E-3</v>
      </c>
      <c r="AG55" s="50">
        <f>Table_LL97SpaceLimits[[#This Row],[2042]]</f>
        <v>1.181437E-3</v>
      </c>
      <c r="AH55" s="50">
        <f>Table_LL97SpaceLimits[[#This Row],[2043]]</f>
        <v>1.181437E-3</v>
      </c>
      <c r="AI55" s="50">
        <f>Table_LL97SpaceLimits[[#This Row],[2044]]</f>
        <v>1.181437E-3</v>
      </c>
      <c r="AJ55" s="50">
        <f>Table_LL97SpaceLimits[[#This Row],[2045]]</f>
        <v>1.181437E-3</v>
      </c>
      <c r="AK55" s="50">
        <f>Table_LL97SpaceLimits[[#This Row],[2046]]</f>
        <v>1.181437E-3</v>
      </c>
      <c r="AL55" s="50">
        <f>Table_LL97SpaceLimits[[#This Row],[2047]]</f>
        <v>1.181437E-3</v>
      </c>
      <c r="AM55" s="50">
        <f>Table_LL97SpaceLimits[[#This Row],[2048]]</f>
        <v>1.181437E-3</v>
      </c>
      <c r="AN55" s="40">
        <v>0</v>
      </c>
    </row>
    <row r="56" spans="5:40">
      <c r="E56"/>
      <c r="M56" s="35" t="s">
        <v>298</v>
      </c>
      <c r="N56" s="36">
        <v>9.8700000000000003E-3</v>
      </c>
      <c r="O56" s="36">
        <f>Table_LL97SpaceLimits[[#This Row],[2024]]</f>
        <v>9.8700000000000003E-3</v>
      </c>
      <c r="P56" s="36">
        <f>Table_LL97SpaceLimits[[#This Row],[2025]]</f>
        <v>9.8700000000000003E-3</v>
      </c>
      <c r="Q56" s="36">
        <f>Table_LL97SpaceLimits[[#This Row],[2026]]</f>
        <v>9.8700000000000003E-3</v>
      </c>
      <c r="R56" s="36">
        <f>Table_LL97SpaceLimits[[#This Row],[2027]]</f>
        <v>9.8700000000000003E-3</v>
      </c>
      <c r="S56" s="36">
        <f>Table_LL97SpaceLimits[[#This Row],[2028]]</f>
        <v>9.8700000000000003E-3</v>
      </c>
      <c r="T56" s="41">
        <v>2.8521309999999999E-3</v>
      </c>
      <c r="U56" s="37">
        <f>Table_LL97SpaceLimits[[#This Row],[2030]]</f>
        <v>2.8521309999999999E-3</v>
      </c>
      <c r="V56" s="37">
        <f>Table_LL97SpaceLimits[[#This Row],[2031]]</f>
        <v>2.8521309999999999E-3</v>
      </c>
      <c r="W56" s="37">
        <f>Table_LL97SpaceLimits[[#This Row],[2032]]</f>
        <v>2.8521309999999999E-3</v>
      </c>
      <c r="X56" s="37">
        <f>Table_LL97SpaceLimits[[#This Row],[2033]]</f>
        <v>2.8521309999999999E-3</v>
      </c>
      <c r="Y56" s="38">
        <v>2.1390979999999999E-3</v>
      </c>
      <c r="Z56" s="38">
        <f>Table_LL97SpaceLimits[[#This Row],[2035]]</f>
        <v>2.1390979999999999E-3</v>
      </c>
      <c r="AA56" s="38">
        <f>Table_LL97SpaceLimits[[#This Row],[2036]]</f>
        <v>2.1390979999999999E-3</v>
      </c>
      <c r="AB56" s="38">
        <f>Table_LL97SpaceLimits[[#This Row],[2037]]</f>
        <v>2.1390979999999999E-3</v>
      </c>
      <c r="AC56" s="38">
        <f>Table_LL97SpaceLimits[[#This Row],[2038]]</f>
        <v>2.1390979999999999E-3</v>
      </c>
      <c r="AD56" s="39">
        <v>1.4260659999999999E-3</v>
      </c>
      <c r="AE56" s="50">
        <f>Table_LL97SpaceLimits[[#This Row],[2040]]</f>
        <v>1.4260659999999999E-3</v>
      </c>
      <c r="AF56" s="50">
        <f>Table_LL97SpaceLimits[[#This Row],[2041]]</f>
        <v>1.4260659999999999E-3</v>
      </c>
      <c r="AG56" s="50">
        <f>Table_LL97SpaceLimits[[#This Row],[2042]]</f>
        <v>1.4260659999999999E-3</v>
      </c>
      <c r="AH56" s="50">
        <f>Table_LL97SpaceLimits[[#This Row],[2043]]</f>
        <v>1.4260659999999999E-3</v>
      </c>
      <c r="AI56" s="50">
        <f>Table_LL97SpaceLimits[[#This Row],[2044]]</f>
        <v>1.4260659999999999E-3</v>
      </c>
      <c r="AJ56" s="50">
        <f>Table_LL97SpaceLimits[[#This Row],[2045]]</f>
        <v>1.4260659999999999E-3</v>
      </c>
      <c r="AK56" s="50">
        <f>Table_LL97SpaceLimits[[#This Row],[2046]]</f>
        <v>1.4260659999999999E-3</v>
      </c>
      <c r="AL56" s="50">
        <f>Table_LL97SpaceLimits[[#This Row],[2047]]</f>
        <v>1.4260659999999999E-3</v>
      </c>
      <c r="AM56" s="50">
        <f>Table_LL97SpaceLimits[[#This Row],[2048]]</f>
        <v>1.4260659999999999E-3</v>
      </c>
      <c r="AN56" s="40">
        <v>0</v>
      </c>
    </row>
    <row r="57" spans="5:40">
      <c r="E57"/>
      <c r="M57" s="35" t="s">
        <v>299</v>
      </c>
      <c r="N57" s="36">
        <v>4.2599999999999999E-3</v>
      </c>
      <c r="O57" s="36">
        <f>Table_LL97SpaceLimits[[#This Row],[2024]]</f>
        <v>4.2599999999999999E-3</v>
      </c>
      <c r="P57" s="36">
        <f>Table_LL97SpaceLimits[[#This Row],[2025]]</f>
        <v>4.2599999999999999E-3</v>
      </c>
      <c r="Q57" s="36">
        <f>Table_LL97SpaceLimits[[#This Row],[2026]]</f>
        <v>4.2599999999999999E-3</v>
      </c>
      <c r="R57" s="36">
        <f>Table_LL97SpaceLimits[[#This Row],[2027]]</f>
        <v>4.2599999999999999E-3</v>
      </c>
      <c r="S57" s="36">
        <f>Table_LL97SpaceLimits[[#This Row],[2028]]</f>
        <v>4.2599999999999999E-3</v>
      </c>
      <c r="T57" s="41">
        <v>2.210699E-3</v>
      </c>
      <c r="U57" s="37">
        <f>Table_LL97SpaceLimits[[#This Row],[2030]]</f>
        <v>2.210699E-3</v>
      </c>
      <c r="V57" s="37">
        <f>Table_LL97SpaceLimits[[#This Row],[2031]]</f>
        <v>2.210699E-3</v>
      </c>
      <c r="W57" s="37">
        <f>Table_LL97SpaceLimits[[#This Row],[2032]]</f>
        <v>2.210699E-3</v>
      </c>
      <c r="X57" s="37">
        <f>Table_LL97SpaceLimits[[#This Row],[2033]]</f>
        <v>2.210699E-3</v>
      </c>
      <c r="Y57" s="38">
        <v>1.6580239999999999E-3</v>
      </c>
      <c r="Z57" s="38">
        <f>Table_LL97SpaceLimits[[#This Row],[2035]]</f>
        <v>1.6580239999999999E-3</v>
      </c>
      <c r="AA57" s="38">
        <f>Table_LL97SpaceLimits[[#This Row],[2036]]</f>
        <v>1.6580239999999999E-3</v>
      </c>
      <c r="AB57" s="38">
        <f>Table_LL97SpaceLimits[[#This Row],[2037]]</f>
        <v>1.6580239999999999E-3</v>
      </c>
      <c r="AC57" s="38">
        <f>Table_LL97SpaceLimits[[#This Row],[2038]]</f>
        <v>1.6580239999999999E-3</v>
      </c>
      <c r="AD57" s="39">
        <v>1.105349E-3</v>
      </c>
      <c r="AE57" s="50">
        <f>Table_LL97SpaceLimits[[#This Row],[2040]]</f>
        <v>1.105349E-3</v>
      </c>
      <c r="AF57" s="50">
        <f>Table_LL97SpaceLimits[[#This Row],[2041]]</f>
        <v>1.105349E-3</v>
      </c>
      <c r="AG57" s="50">
        <f>Table_LL97SpaceLimits[[#This Row],[2042]]</f>
        <v>1.105349E-3</v>
      </c>
      <c r="AH57" s="50">
        <f>Table_LL97SpaceLimits[[#This Row],[2043]]</f>
        <v>1.105349E-3</v>
      </c>
      <c r="AI57" s="50">
        <f>Table_LL97SpaceLimits[[#This Row],[2044]]</f>
        <v>1.105349E-3</v>
      </c>
      <c r="AJ57" s="50">
        <f>Table_LL97SpaceLimits[[#This Row],[2045]]</f>
        <v>1.105349E-3</v>
      </c>
      <c r="AK57" s="50">
        <f>Table_LL97SpaceLimits[[#This Row],[2046]]</f>
        <v>1.105349E-3</v>
      </c>
      <c r="AL57" s="50">
        <f>Table_LL97SpaceLimits[[#This Row],[2047]]</f>
        <v>1.105349E-3</v>
      </c>
      <c r="AM57" s="50">
        <f>Table_LL97SpaceLimits[[#This Row],[2048]]</f>
        <v>1.105349E-3</v>
      </c>
      <c r="AN57" s="40">
        <v>0</v>
      </c>
    </row>
    <row r="58" spans="5:40">
      <c r="E58"/>
      <c r="M58" s="35" t="s">
        <v>300</v>
      </c>
      <c r="N58" s="36">
        <v>7.5799999999999999E-3</v>
      </c>
      <c r="O58" s="36">
        <f>Table_LL97SpaceLimits[[#This Row],[2024]]</f>
        <v>7.5799999999999999E-3</v>
      </c>
      <c r="P58" s="36">
        <f>Table_LL97SpaceLimits[[#This Row],[2025]]</f>
        <v>7.5799999999999999E-3</v>
      </c>
      <c r="Q58" s="36">
        <f>Table_LL97SpaceLimits[[#This Row],[2026]]</f>
        <v>7.5799999999999999E-3</v>
      </c>
      <c r="R58" s="36">
        <f>Table_LL97SpaceLimits[[#This Row],[2027]]</f>
        <v>7.5799999999999999E-3</v>
      </c>
      <c r="S58" s="36">
        <f>Table_LL97SpaceLimits[[#This Row],[2028]]</f>
        <v>7.5799999999999999E-3</v>
      </c>
      <c r="T58" s="41">
        <v>2.464089E-3</v>
      </c>
      <c r="U58" s="37">
        <f>Table_LL97SpaceLimits[[#This Row],[2030]]</f>
        <v>2.464089E-3</v>
      </c>
      <c r="V58" s="37">
        <f>Table_LL97SpaceLimits[[#This Row],[2031]]</f>
        <v>2.464089E-3</v>
      </c>
      <c r="W58" s="37">
        <f>Table_LL97SpaceLimits[[#This Row],[2032]]</f>
        <v>2.464089E-3</v>
      </c>
      <c r="X58" s="37">
        <f>Table_LL97SpaceLimits[[#This Row],[2033]]</f>
        <v>2.464089E-3</v>
      </c>
      <c r="Y58" s="38">
        <v>1.332459E-3</v>
      </c>
      <c r="Z58" s="38">
        <f>Table_LL97SpaceLimits[[#This Row],[2035]]</f>
        <v>1.332459E-3</v>
      </c>
      <c r="AA58" s="38">
        <f>Table_LL97SpaceLimits[[#This Row],[2036]]</f>
        <v>1.332459E-3</v>
      </c>
      <c r="AB58" s="38">
        <f>Table_LL97SpaceLimits[[#This Row],[2037]]</f>
        <v>1.332459E-3</v>
      </c>
      <c r="AC58" s="38">
        <f>Table_LL97SpaceLimits[[#This Row],[2038]]</f>
        <v>1.332459E-3</v>
      </c>
      <c r="AD58" s="39">
        <v>5.2861599999999998E-4</v>
      </c>
      <c r="AE58" s="50">
        <f>Table_LL97SpaceLimits[[#This Row],[2040]]</f>
        <v>5.2861599999999998E-4</v>
      </c>
      <c r="AF58" s="50">
        <f>Table_LL97SpaceLimits[[#This Row],[2041]]</f>
        <v>5.2861599999999998E-4</v>
      </c>
      <c r="AG58" s="50">
        <f>Table_LL97SpaceLimits[[#This Row],[2042]]</f>
        <v>5.2861599999999998E-4</v>
      </c>
      <c r="AH58" s="50">
        <f>Table_LL97SpaceLimits[[#This Row],[2043]]</f>
        <v>5.2861599999999998E-4</v>
      </c>
      <c r="AI58" s="50">
        <f>Table_LL97SpaceLimits[[#This Row],[2044]]</f>
        <v>5.2861599999999998E-4</v>
      </c>
      <c r="AJ58" s="50">
        <f>Table_LL97SpaceLimits[[#This Row],[2045]]</f>
        <v>5.2861599999999998E-4</v>
      </c>
      <c r="AK58" s="50">
        <f>Table_LL97SpaceLimits[[#This Row],[2046]]</f>
        <v>5.2861599999999998E-4</v>
      </c>
      <c r="AL58" s="50">
        <f>Table_LL97SpaceLimits[[#This Row],[2047]]</f>
        <v>5.2861599999999998E-4</v>
      </c>
      <c r="AM58" s="50">
        <f>Table_LL97SpaceLimits[[#This Row],[2048]]</f>
        <v>5.2861599999999998E-4</v>
      </c>
      <c r="AN58" s="40">
        <v>0</v>
      </c>
    </row>
    <row r="59" spans="5:40">
      <c r="E59"/>
      <c r="M59" s="35" t="s">
        <v>301</v>
      </c>
      <c r="N59" s="36">
        <v>1.1379999999999999E-2</v>
      </c>
      <c r="O59" s="36">
        <f>Table_LL97SpaceLimits[[#This Row],[2024]]</f>
        <v>1.1379999999999999E-2</v>
      </c>
      <c r="P59" s="36">
        <f>Table_LL97SpaceLimits[[#This Row],[2025]]</f>
        <v>1.1379999999999999E-2</v>
      </c>
      <c r="Q59" s="36">
        <f>Table_LL97SpaceLimits[[#This Row],[2026]]</f>
        <v>1.1379999999999999E-2</v>
      </c>
      <c r="R59" s="36">
        <f>Table_LL97SpaceLimits[[#This Row],[2027]]</f>
        <v>1.1379999999999999E-2</v>
      </c>
      <c r="S59" s="36">
        <f>Table_LL97SpaceLimits[[#This Row],[2028]]</f>
        <v>1.1379999999999999E-2</v>
      </c>
      <c r="T59" s="41">
        <v>4.8931240000000004E-3</v>
      </c>
      <c r="U59" s="37">
        <f>Table_LL97SpaceLimits[[#This Row],[2030]]</f>
        <v>4.8931240000000004E-3</v>
      </c>
      <c r="V59" s="37">
        <f>Table_LL97SpaceLimits[[#This Row],[2031]]</f>
        <v>4.8931240000000004E-3</v>
      </c>
      <c r="W59" s="37">
        <f>Table_LL97SpaceLimits[[#This Row],[2032]]</f>
        <v>4.8931240000000004E-3</v>
      </c>
      <c r="X59" s="37">
        <f>Table_LL97SpaceLimits[[#This Row],[2033]]</f>
        <v>4.8931240000000004E-3</v>
      </c>
      <c r="Y59" s="38">
        <v>4.0278120000000004E-3</v>
      </c>
      <c r="Z59" s="38">
        <f>Table_LL97SpaceLimits[[#This Row],[2035]]</f>
        <v>4.0278120000000004E-3</v>
      </c>
      <c r="AA59" s="38">
        <f>Table_LL97SpaceLimits[[#This Row],[2036]]</f>
        <v>4.0278120000000004E-3</v>
      </c>
      <c r="AB59" s="38">
        <f>Table_LL97SpaceLimits[[#This Row],[2037]]</f>
        <v>4.0278120000000004E-3</v>
      </c>
      <c r="AC59" s="38">
        <f>Table_LL97SpaceLimits[[#This Row],[2038]]</f>
        <v>4.0278120000000004E-3</v>
      </c>
      <c r="AD59" s="39">
        <v>2.272629E-3</v>
      </c>
      <c r="AE59" s="50">
        <f>Table_LL97SpaceLimits[[#This Row],[2040]]</f>
        <v>2.272629E-3</v>
      </c>
      <c r="AF59" s="50">
        <f>Table_LL97SpaceLimits[[#This Row],[2041]]</f>
        <v>2.272629E-3</v>
      </c>
      <c r="AG59" s="50">
        <f>Table_LL97SpaceLimits[[#This Row],[2042]]</f>
        <v>2.272629E-3</v>
      </c>
      <c r="AH59" s="50">
        <f>Table_LL97SpaceLimits[[#This Row],[2043]]</f>
        <v>2.272629E-3</v>
      </c>
      <c r="AI59" s="50">
        <f>Table_LL97SpaceLimits[[#This Row],[2044]]</f>
        <v>2.272629E-3</v>
      </c>
      <c r="AJ59" s="50">
        <f>Table_LL97SpaceLimits[[#This Row],[2045]]</f>
        <v>2.272629E-3</v>
      </c>
      <c r="AK59" s="50">
        <f>Table_LL97SpaceLimits[[#This Row],[2046]]</f>
        <v>2.272629E-3</v>
      </c>
      <c r="AL59" s="50">
        <f>Table_LL97SpaceLimits[[#This Row],[2047]]</f>
        <v>2.272629E-3</v>
      </c>
      <c r="AM59" s="50">
        <f>Table_LL97SpaceLimits[[#This Row],[2048]]</f>
        <v>2.272629E-3</v>
      </c>
      <c r="AN59" s="40">
        <v>0</v>
      </c>
    </row>
    <row r="60" spans="5:40">
      <c r="E60"/>
      <c r="M60" s="35" t="s">
        <v>302</v>
      </c>
      <c r="N60" s="36">
        <v>1.1809999999999999E-2</v>
      </c>
      <c r="O60" s="36">
        <f>Table_LL97SpaceLimits[[#This Row],[2024]]</f>
        <v>1.1809999999999999E-2</v>
      </c>
      <c r="P60" s="36">
        <f>Table_LL97SpaceLimits[[#This Row],[2025]]</f>
        <v>1.1809999999999999E-2</v>
      </c>
      <c r="Q60" s="36">
        <f>Table_LL97SpaceLimits[[#This Row],[2026]]</f>
        <v>1.1809999999999999E-2</v>
      </c>
      <c r="R60" s="36">
        <f>Table_LL97SpaceLimits[[#This Row],[2027]]</f>
        <v>1.1809999999999999E-2</v>
      </c>
      <c r="S60" s="36">
        <f>Table_LL97SpaceLimits[[#This Row],[2028]]</f>
        <v>1.1809999999999999E-2</v>
      </c>
      <c r="T60" s="41">
        <v>4.038374E-3</v>
      </c>
      <c r="U60" s="37">
        <f>Table_LL97SpaceLimits[[#This Row],[2030]]</f>
        <v>4.038374E-3</v>
      </c>
      <c r="V60" s="37">
        <f>Table_LL97SpaceLimits[[#This Row],[2031]]</f>
        <v>4.038374E-3</v>
      </c>
      <c r="W60" s="37">
        <f>Table_LL97SpaceLimits[[#This Row],[2032]]</f>
        <v>4.038374E-3</v>
      </c>
      <c r="X60" s="37">
        <f>Table_LL97SpaceLimits[[#This Row],[2033]]</f>
        <v>4.038374E-3</v>
      </c>
      <c r="Y60" s="38">
        <v>3.02878E-3</v>
      </c>
      <c r="Z60" s="38">
        <f>Table_LL97SpaceLimits[[#This Row],[2035]]</f>
        <v>3.02878E-3</v>
      </c>
      <c r="AA60" s="38">
        <f>Table_LL97SpaceLimits[[#This Row],[2036]]</f>
        <v>3.02878E-3</v>
      </c>
      <c r="AB60" s="38">
        <f>Table_LL97SpaceLimits[[#This Row],[2037]]</f>
        <v>3.02878E-3</v>
      </c>
      <c r="AC60" s="38">
        <f>Table_LL97SpaceLimits[[#This Row],[2038]]</f>
        <v>3.02878E-3</v>
      </c>
      <c r="AD60" s="39">
        <v>2.019187E-3</v>
      </c>
      <c r="AE60" s="50">
        <f>Table_LL97SpaceLimits[[#This Row],[2040]]</f>
        <v>2.019187E-3</v>
      </c>
      <c r="AF60" s="50">
        <f>Table_LL97SpaceLimits[[#This Row],[2041]]</f>
        <v>2.019187E-3</v>
      </c>
      <c r="AG60" s="50">
        <f>Table_LL97SpaceLimits[[#This Row],[2042]]</f>
        <v>2.019187E-3</v>
      </c>
      <c r="AH60" s="50">
        <f>Table_LL97SpaceLimits[[#This Row],[2043]]</f>
        <v>2.019187E-3</v>
      </c>
      <c r="AI60" s="50">
        <f>Table_LL97SpaceLimits[[#This Row],[2044]]</f>
        <v>2.019187E-3</v>
      </c>
      <c r="AJ60" s="50">
        <f>Table_LL97SpaceLimits[[#This Row],[2045]]</f>
        <v>2.019187E-3</v>
      </c>
      <c r="AK60" s="50">
        <f>Table_LL97SpaceLimits[[#This Row],[2046]]</f>
        <v>2.019187E-3</v>
      </c>
      <c r="AL60" s="50">
        <f>Table_LL97SpaceLimits[[#This Row],[2047]]</f>
        <v>2.019187E-3</v>
      </c>
      <c r="AM60" s="50">
        <f>Table_LL97SpaceLimits[[#This Row],[2048]]</f>
        <v>2.019187E-3</v>
      </c>
      <c r="AN60" s="40">
        <v>0</v>
      </c>
    </row>
    <row r="61" spans="5:40">
      <c r="E61"/>
      <c r="M61" s="35" t="s">
        <v>31</v>
      </c>
      <c r="N61" s="36">
        <v>7.5799999999999999E-3</v>
      </c>
      <c r="O61" s="36">
        <f>Table_LL97SpaceLimits[[#This Row],[2024]]</f>
        <v>7.5799999999999999E-3</v>
      </c>
      <c r="P61" s="36">
        <f>Table_LL97SpaceLimits[[#This Row],[2025]]</f>
        <v>7.5799999999999999E-3</v>
      </c>
      <c r="Q61" s="36">
        <f>Table_LL97SpaceLimits[[#This Row],[2026]]</f>
        <v>7.5799999999999999E-3</v>
      </c>
      <c r="R61" s="36">
        <f>Table_LL97SpaceLimits[[#This Row],[2027]]</f>
        <v>7.5799999999999999E-3</v>
      </c>
      <c r="S61" s="36">
        <f>Table_LL97SpaceLimits[[#This Row],[2028]]</f>
        <v>7.5799999999999999E-3</v>
      </c>
      <c r="T61" s="41">
        <v>2.1044900000000001E-3</v>
      </c>
      <c r="U61" s="37">
        <f>Table_LL97SpaceLimits[[#This Row],[2030]]</f>
        <v>2.1044900000000001E-3</v>
      </c>
      <c r="V61" s="37">
        <f>Table_LL97SpaceLimits[[#This Row],[2031]]</f>
        <v>2.1044900000000001E-3</v>
      </c>
      <c r="W61" s="37">
        <f>Table_LL97SpaceLimits[[#This Row],[2032]]</f>
        <v>2.1044900000000001E-3</v>
      </c>
      <c r="X61" s="37">
        <f>Table_LL97SpaceLimits[[#This Row],[2033]]</f>
        <v>2.1044900000000001E-3</v>
      </c>
      <c r="Y61" s="38">
        <v>1.21605E-3</v>
      </c>
      <c r="Z61" s="38">
        <f>Table_LL97SpaceLimits[[#This Row],[2035]]</f>
        <v>1.21605E-3</v>
      </c>
      <c r="AA61" s="38">
        <f>Table_LL97SpaceLimits[[#This Row],[2036]]</f>
        <v>1.21605E-3</v>
      </c>
      <c r="AB61" s="38">
        <f>Table_LL97SpaceLimits[[#This Row],[2037]]</f>
        <v>1.21605E-3</v>
      </c>
      <c r="AC61" s="38">
        <f>Table_LL97SpaceLimits[[#This Row],[2038]]</f>
        <v>1.21605E-3</v>
      </c>
      <c r="AD61" s="39">
        <v>1.7604E-4</v>
      </c>
      <c r="AE61" s="50">
        <f>Table_LL97SpaceLimits[[#This Row],[2040]]</f>
        <v>1.7604E-4</v>
      </c>
      <c r="AF61" s="50">
        <f>Table_LL97SpaceLimits[[#This Row],[2041]]</f>
        <v>1.7604E-4</v>
      </c>
      <c r="AG61" s="50">
        <f>Table_LL97SpaceLimits[[#This Row],[2042]]</f>
        <v>1.7604E-4</v>
      </c>
      <c r="AH61" s="50">
        <f>Table_LL97SpaceLimits[[#This Row],[2043]]</f>
        <v>1.7604E-4</v>
      </c>
      <c r="AI61" s="50">
        <f>Table_LL97SpaceLimits[[#This Row],[2044]]</f>
        <v>1.7604E-4</v>
      </c>
      <c r="AJ61" s="50">
        <f>Table_LL97SpaceLimits[[#This Row],[2045]]</f>
        <v>1.7604E-4</v>
      </c>
      <c r="AK61" s="50">
        <f>Table_LL97SpaceLimits[[#This Row],[2046]]</f>
        <v>1.7604E-4</v>
      </c>
      <c r="AL61" s="50">
        <f>Table_LL97SpaceLimits[[#This Row],[2047]]</f>
        <v>1.7604E-4</v>
      </c>
      <c r="AM61" s="50">
        <f>Table_LL97SpaceLimits[[#This Row],[2048]]</f>
        <v>1.7604E-4</v>
      </c>
      <c r="AN61" s="40">
        <v>0</v>
      </c>
    </row>
    <row r="62" spans="5:40">
      <c r="E62"/>
      <c r="M62" s="35" t="s">
        <v>26</v>
      </c>
      <c r="N62" s="36">
        <v>4.2599999999999999E-3</v>
      </c>
      <c r="O62" s="36">
        <f>Table_LL97SpaceLimits[[#This Row],[2024]]</f>
        <v>4.2599999999999999E-3</v>
      </c>
      <c r="P62" s="36">
        <f>Table_LL97SpaceLimits[[#This Row],[2025]]</f>
        <v>4.2599999999999999E-3</v>
      </c>
      <c r="Q62" s="36">
        <f>Table_LL97SpaceLimits[[#This Row],[2026]]</f>
        <v>4.2599999999999999E-3</v>
      </c>
      <c r="R62" s="36">
        <f>Table_LL97SpaceLimits[[#This Row],[2027]]</f>
        <v>4.2599999999999999E-3</v>
      </c>
      <c r="S62" s="36">
        <f>Table_LL97SpaceLimits[[#This Row],[2028]]</f>
        <v>4.2599999999999999E-3</v>
      </c>
      <c r="T62" s="41">
        <v>6.1182999999999995E-4</v>
      </c>
      <c r="U62" s="37">
        <f>Table_LL97SpaceLimits[[#This Row],[2030]]</f>
        <v>6.1182999999999995E-4</v>
      </c>
      <c r="V62" s="37">
        <f>Table_LL97SpaceLimits[[#This Row],[2031]]</f>
        <v>6.1182999999999995E-4</v>
      </c>
      <c r="W62" s="37">
        <f>Table_LL97SpaceLimits[[#This Row],[2032]]</f>
        <v>6.1182999999999995E-4</v>
      </c>
      <c r="X62" s="37">
        <f>Table_LL97SpaceLimits[[#This Row],[2033]]</f>
        <v>6.1182999999999995E-4</v>
      </c>
      <c r="Y62" s="38">
        <v>4.0490099999999999E-4</v>
      </c>
      <c r="Z62" s="38">
        <f>Table_LL97SpaceLimits[[#This Row],[2035]]</f>
        <v>4.0490099999999999E-4</v>
      </c>
      <c r="AA62" s="38">
        <f>Table_LL97SpaceLimits[[#This Row],[2036]]</f>
        <v>4.0490099999999999E-4</v>
      </c>
      <c r="AB62" s="38">
        <f>Table_LL97SpaceLimits[[#This Row],[2037]]</f>
        <v>4.0490099999999999E-4</v>
      </c>
      <c r="AC62" s="38">
        <f>Table_LL97SpaceLimits[[#This Row],[2038]]</f>
        <v>4.0490099999999999E-4</v>
      </c>
      <c r="AD62" s="39">
        <v>1.3228200000000001E-4</v>
      </c>
      <c r="AE62" s="50">
        <f>Table_LL97SpaceLimits[[#This Row],[2040]]</f>
        <v>1.3228200000000001E-4</v>
      </c>
      <c r="AF62" s="50">
        <f>Table_LL97SpaceLimits[[#This Row],[2041]]</f>
        <v>1.3228200000000001E-4</v>
      </c>
      <c r="AG62" s="50">
        <f>Table_LL97SpaceLimits[[#This Row],[2042]]</f>
        <v>1.3228200000000001E-4</v>
      </c>
      <c r="AH62" s="50">
        <f>Table_LL97SpaceLimits[[#This Row],[2043]]</f>
        <v>1.3228200000000001E-4</v>
      </c>
      <c r="AI62" s="50">
        <f>Table_LL97SpaceLimits[[#This Row],[2044]]</f>
        <v>1.3228200000000001E-4</v>
      </c>
      <c r="AJ62" s="50">
        <f>Table_LL97SpaceLimits[[#This Row],[2045]]</f>
        <v>1.3228200000000001E-4</v>
      </c>
      <c r="AK62" s="50">
        <f>Table_LL97SpaceLimits[[#This Row],[2046]]</f>
        <v>1.3228200000000001E-4</v>
      </c>
      <c r="AL62" s="50">
        <f>Table_LL97SpaceLimits[[#This Row],[2047]]</f>
        <v>1.3228200000000001E-4</v>
      </c>
      <c r="AM62" s="50">
        <f>Table_LL97SpaceLimits[[#This Row],[2048]]</f>
        <v>1.3228200000000001E-4</v>
      </c>
      <c r="AN62" s="40">
        <v>0</v>
      </c>
    </row>
    <row r="63" spans="5:40">
      <c r="E63"/>
      <c r="M63" s="35" t="s">
        <v>303</v>
      </c>
      <c r="N63" s="36">
        <v>1.1379999999999999E-2</v>
      </c>
      <c r="O63" s="36">
        <f>Table_LL97SpaceLimits[[#This Row],[2024]]</f>
        <v>1.1379999999999999E-2</v>
      </c>
      <c r="P63" s="36">
        <f>Table_LL97SpaceLimits[[#This Row],[2025]]</f>
        <v>1.1379999999999999E-2</v>
      </c>
      <c r="Q63" s="36">
        <f>Table_LL97SpaceLimits[[#This Row],[2026]]</f>
        <v>1.1379999999999999E-2</v>
      </c>
      <c r="R63" s="36">
        <f>Table_LL97SpaceLimits[[#This Row],[2027]]</f>
        <v>1.1379999999999999E-2</v>
      </c>
      <c r="S63" s="36">
        <f>Table_LL97SpaceLimits[[#This Row],[2028]]</f>
        <v>1.1379999999999999E-2</v>
      </c>
      <c r="T63" s="41">
        <v>4.4101230000000002E-3</v>
      </c>
      <c r="U63" s="37">
        <f>Table_LL97SpaceLimits[[#This Row],[2030]]</f>
        <v>4.4101230000000002E-3</v>
      </c>
      <c r="V63" s="37">
        <f>Table_LL97SpaceLimits[[#This Row],[2031]]</f>
        <v>4.4101230000000002E-3</v>
      </c>
      <c r="W63" s="37">
        <f>Table_LL97SpaceLimits[[#This Row],[2032]]</f>
        <v>4.4101230000000002E-3</v>
      </c>
      <c r="X63" s="37">
        <f>Table_LL97SpaceLimits[[#This Row],[2033]]</f>
        <v>4.4101230000000002E-3</v>
      </c>
      <c r="Y63" s="38">
        <v>3.3364430000000001E-3</v>
      </c>
      <c r="Z63" s="38">
        <f>Table_LL97SpaceLimits[[#This Row],[2035]]</f>
        <v>3.3364430000000001E-3</v>
      </c>
      <c r="AA63" s="38">
        <f>Table_LL97SpaceLimits[[#This Row],[2036]]</f>
        <v>3.3364430000000001E-3</v>
      </c>
      <c r="AB63" s="38">
        <f>Table_LL97SpaceLimits[[#This Row],[2037]]</f>
        <v>3.3364430000000001E-3</v>
      </c>
      <c r="AC63" s="38">
        <f>Table_LL97SpaceLimits[[#This Row],[2038]]</f>
        <v>3.3364430000000001E-3</v>
      </c>
      <c r="AD63" s="39">
        <v>2.277912E-3</v>
      </c>
      <c r="AE63" s="50">
        <f>Table_LL97SpaceLimits[[#This Row],[2040]]</f>
        <v>2.277912E-3</v>
      </c>
      <c r="AF63" s="50">
        <f>Table_LL97SpaceLimits[[#This Row],[2041]]</f>
        <v>2.277912E-3</v>
      </c>
      <c r="AG63" s="50">
        <f>Table_LL97SpaceLimits[[#This Row],[2042]]</f>
        <v>2.277912E-3</v>
      </c>
      <c r="AH63" s="50">
        <f>Table_LL97SpaceLimits[[#This Row],[2043]]</f>
        <v>2.277912E-3</v>
      </c>
      <c r="AI63" s="50">
        <f>Table_LL97SpaceLimits[[#This Row],[2044]]</f>
        <v>2.277912E-3</v>
      </c>
      <c r="AJ63" s="50">
        <f>Table_LL97SpaceLimits[[#This Row],[2045]]</f>
        <v>2.277912E-3</v>
      </c>
      <c r="AK63" s="50">
        <f>Table_LL97SpaceLimits[[#This Row],[2046]]</f>
        <v>2.277912E-3</v>
      </c>
      <c r="AL63" s="50">
        <f>Table_LL97SpaceLimits[[#This Row],[2047]]</f>
        <v>2.277912E-3</v>
      </c>
      <c r="AM63" s="50">
        <f>Table_LL97SpaceLimits[[#This Row],[2048]]</f>
        <v>2.277912E-3</v>
      </c>
      <c r="AN63" s="40">
        <v>0</v>
      </c>
    </row>
    <row r="64" spans="5:40">
      <c r="E64"/>
      <c r="L64"/>
      <c r="M64" s="35" t="s">
        <v>304</v>
      </c>
      <c r="N64" s="36">
        <v>9.8700000000000003E-3</v>
      </c>
      <c r="O64" s="36">
        <f>Table_LL97SpaceLimits[[#This Row],[2024]]</f>
        <v>9.8700000000000003E-3</v>
      </c>
      <c r="P64" s="36">
        <f>Table_LL97SpaceLimits[[#This Row],[2025]]</f>
        <v>9.8700000000000003E-3</v>
      </c>
      <c r="Q64" s="36">
        <f>Table_LL97SpaceLimits[[#This Row],[2026]]</f>
        <v>9.8700000000000003E-3</v>
      </c>
      <c r="R64" s="36">
        <f>Table_LL97SpaceLimits[[#This Row],[2027]]</f>
        <v>9.8700000000000003E-3</v>
      </c>
      <c r="S64" s="36">
        <f>Table_LL97SpaceLimits[[#This Row],[2028]]</f>
        <v>9.8700000000000003E-3</v>
      </c>
      <c r="T64" s="41">
        <v>3.833108E-3</v>
      </c>
      <c r="U64" s="37">
        <f>Table_LL97SpaceLimits[[#This Row],[2030]]</f>
        <v>3.833108E-3</v>
      </c>
      <c r="V64" s="37">
        <f>Table_LL97SpaceLimits[[#This Row],[2031]]</f>
        <v>3.833108E-3</v>
      </c>
      <c r="W64" s="37">
        <f>Table_LL97SpaceLimits[[#This Row],[2032]]</f>
        <v>3.833108E-3</v>
      </c>
      <c r="X64" s="37">
        <f>Table_LL97SpaceLimits[[#This Row],[2033]]</f>
        <v>3.833108E-3</v>
      </c>
      <c r="Y64" s="38">
        <v>2.874831E-3</v>
      </c>
      <c r="Z64" s="38">
        <f>Table_LL97SpaceLimits[[#This Row],[2035]]</f>
        <v>2.874831E-3</v>
      </c>
      <c r="AA64" s="38">
        <f>Table_LL97SpaceLimits[[#This Row],[2036]]</f>
        <v>2.874831E-3</v>
      </c>
      <c r="AB64" s="38">
        <f>Table_LL97SpaceLimits[[#This Row],[2037]]</f>
        <v>2.874831E-3</v>
      </c>
      <c r="AC64" s="38">
        <f>Table_LL97SpaceLimits[[#This Row],[2038]]</f>
        <v>2.874831E-3</v>
      </c>
      <c r="AD64" s="39">
        <v>1.916554E-3</v>
      </c>
      <c r="AE64" s="50">
        <f>Table_LL97SpaceLimits[[#This Row],[2040]]</f>
        <v>1.916554E-3</v>
      </c>
      <c r="AF64" s="50">
        <f>Table_LL97SpaceLimits[[#This Row],[2041]]</f>
        <v>1.916554E-3</v>
      </c>
      <c r="AG64" s="50">
        <f>Table_LL97SpaceLimits[[#This Row],[2042]]</f>
        <v>1.916554E-3</v>
      </c>
      <c r="AH64" s="50">
        <f>Table_LL97SpaceLimits[[#This Row],[2043]]</f>
        <v>1.916554E-3</v>
      </c>
      <c r="AI64" s="50">
        <f>Table_LL97SpaceLimits[[#This Row],[2044]]</f>
        <v>1.916554E-3</v>
      </c>
      <c r="AJ64" s="50">
        <f>Table_LL97SpaceLimits[[#This Row],[2045]]</f>
        <v>1.916554E-3</v>
      </c>
      <c r="AK64" s="50">
        <f>Table_LL97SpaceLimits[[#This Row],[2046]]</f>
        <v>1.916554E-3</v>
      </c>
      <c r="AL64" s="50">
        <f>Table_LL97SpaceLimits[[#This Row],[2047]]</f>
        <v>1.916554E-3</v>
      </c>
      <c r="AM64" s="50">
        <f>Table_LL97SpaceLimits[[#This Row],[2048]]</f>
        <v>1.916554E-3</v>
      </c>
      <c r="AN64" s="40">
        <v>0</v>
      </c>
    </row>
    <row r="65" spans="5:40">
      <c r="E65"/>
      <c r="L65"/>
      <c r="M65" s="35" t="s">
        <v>305</v>
      </c>
      <c r="N65" s="36">
        <v>1.1809999999999999E-2</v>
      </c>
      <c r="O65" s="36">
        <f>Table_LL97SpaceLimits[[#This Row],[2024]]</f>
        <v>1.1809999999999999E-2</v>
      </c>
      <c r="P65" s="36">
        <f>Table_LL97SpaceLimits[[#This Row],[2025]]</f>
        <v>1.1809999999999999E-2</v>
      </c>
      <c r="Q65" s="36">
        <f>Table_LL97SpaceLimits[[#This Row],[2026]]</f>
        <v>1.1809999999999999E-2</v>
      </c>
      <c r="R65" s="36">
        <f>Table_LL97SpaceLimits[[#This Row],[2027]]</f>
        <v>1.1809999999999999E-2</v>
      </c>
      <c r="S65" s="36">
        <f>Table_LL97SpaceLimits[[#This Row],[2028]]</f>
        <v>1.1809999999999999E-2</v>
      </c>
      <c r="T65" s="41">
        <v>1.361842E-3</v>
      </c>
      <c r="U65" s="37">
        <f>Table_LL97SpaceLimits[[#This Row],[2030]]</f>
        <v>1.361842E-3</v>
      </c>
      <c r="V65" s="37">
        <f>Table_LL97SpaceLimits[[#This Row],[2031]]</f>
        <v>1.361842E-3</v>
      </c>
      <c r="W65" s="37">
        <f>Table_LL97SpaceLimits[[#This Row],[2032]]</f>
        <v>1.361842E-3</v>
      </c>
      <c r="X65" s="37">
        <f>Table_LL97SpaceLimits[[#This Row],[2033]]</f>
        <v>1.361842E-3</v>
      </c>
      <c r="Y65" s="38">
        <v>6.0049300000000001E-4</v>
      </c>
      <c r="Z65" s="38">
        <f>Table_LL97SpaceLimits[[#This Row],[2035]]</f>
        <v>6.0049300000000001E-4</v>
      </c>
      <c r="AA65" s="38">
        <f>Table_LL97SpaceLimits[[#This Row],[2036]]</f>
        <v>6.0049300000000001E-4</v>
      </c>
      <c r="AB65" s="38">
        <f>Table_LL97SpaceLimits[[#This Row],[2037]]</f>
        <v>6.0049300000000001E-4</v>
      </c>
      <c r="AC65" s="38">
        <f>Table_LL97SpaceLimits[[#This Row],[2038]]</f>
        <v>6.0049300000000001E-4</v>
      </c>
      <c r="AD65" s="39">
        <v>3.8512E-5</v>
      </c>
      <c r="AE65" s="50">
        <f>Table_LL97SpaceLimits[[#This Row],[2040]]</f>
        <v>3.8512E-5</v>
      </c>
      <c r="AF65" s="50">
        <f>Table_LL97SpaceLimits[[#This Row],[2041]]</f>
        <v>3.8512E-5</v>
      </c>
      <c r="AG65" s="50">
        <f>Table_LL97SpaceLimits[[#This Row],[2042]]</f>
        <v>3.8512E-5</v>
      </c>
      <c r="AH65" s="50">
        <f>Table_LL97SpaceLimits[[#This Row],[2043]]</f>
        <v>3.8512E-5</v>
      </c>
      <c r="AI65" s="50">
        <f>Table_LL97SpaceLimits[[#This Row],[2044]]</f>
        <v>3.8512E-5</v>
      </c>
      <c r="AJ65" s="50">
        <f>Table_LL97SpaceLimits[[#This Row],[2045]]</f>
        <v>3.8512E-5</v>
      </c>
      <c r="AK65" s="50">
        <f>Table_LL97SpaceLimits[[#This Row],[2046]]</f>
        <v>3.8512E-5</v>
      </c>
      <c r="AL65" s="50">
        <f>Table_LL97SpaceLimits[[#This Row],[2047]]</f>
        <v>3.8512E-5</v>
      </c>
      <c r="AM65" s="50">
        <f>Table_LL97SpaceLimits[[#This Row],[2048]]</f>
        <v>3.8512E-5</v>
      </c>
      <c r="AN65" s="40">
        <v>0</v>
      </c>
    </row>
    <row r="66" spans="5:40">
      <c r="E66"/>
      <c r="L66"/>
      <c r="M66" s="35" t="s">
        <v>306</v>
      </c>
      <c r="N66" s="36">
        <v>2.3810000000000001E-2</v>
      </c>
      <c r="O66" s="36">
        <f>Table_LL97SpaceLimits[[#This Row],[2024]]</f>
        <v>2.3810000000000001E-2</v>
      </c>
      <c r="P66" s="36">
        <f>Table_LL97SpaceLimits[[#This Row],[2025]]</f>
        <v>2.3810000000000001E-2</v>
      </c>
      <c r="Q66" s="36">
        <f>Table_LL97SpaceLimits[[#This Row],[2026]]</f>
        <v>2.3810000000000001E-2</v>
      </c>
      <c r="R66" s="36">
        <f>Table_LL97SpaceLimits[[#This Row],[2027]]</f>
        <v>2.3810000000000001E-2</v>
      </c>
      <c r="S66" s="36">
        <f>Table_LL97SpaceLimits[[#This Row],[2028]]</f>
        <v>2.3810000000000001E-2</v>
      </c>
      <c r="T66" s="41">
        <v>6.7551900000000003E-3</v>
      </c>
      <c r="U66" s="37">
        <f>Table_LL97SpaceLimits[[#This Row],[2030]]</f>
        <v>6.7551900000000003E-3</v>
      </c>
      <c r="V66" s="37">
        <f>Table_LL97SpaceLimits[[#This Row],[2031]]</f>
        <v>6.7551900000000003E-3</v>
      </c>
      <c r="W66" s="37">
        <f>Table_LL97SpaceLimits[[#This Row],[2032]]</f>
        <v>6.7551900000000003E-3</v>
      </c>
      <c r="X66" s="37">
        <f>Table_LL97SpaceLimits[[#This Row],[2033]]</f>
        <v>6.7551900000000003E-3</v>
      </c>
      <c r="Y66" s="38">
        <v>4.2561029999999998E-3</v>
      </c>
      <c r="Z66" s="38">
        <f>Table_LL97SpaceLimits[[#This Row],[2035]]</f>
        <v>4.2561029999999998E-3</v>
      </c>
      <c r="AA66" s="38">
        <f>Table_LL97SpaceLimits[[#This Row],[2036]]</f>
        <v>4.2561029999999998E-3</v>
      </c>
      <c r="AB66" s="38">
        <f>Table_LL97SpaceLimits[[#This Row],[2037]]</f>
        <v>4.2561029999999998E-3</v>
      </c>
      <c r="AC66" s="38">
        <f>Table_LL97SpaceLimits[[#This Row],[2038]]</f>
        <v>4.2561029999999998E-3</v>
      </c>
      <c r="AD66" s="39">
        <v>2.0300269999999998E-3</v>
      </c>
      <c r="AE66" s="50">
        <f>Table_LL97SpaceLimits[[#This Row],[2040]]</f>
        <v>2.0300269999999998E-3</v>
      </c>
      <c r="AF66" s="50">
        <f>Table_LL97SpaceLimits[[#This Row],[2041]]</f>
        <v>2.0300269999999998E-3</v>
      </c>
      <c r="AG66" s="50">
        <f>Table_LL97SpaceLimits[[#This Row],[2042]]</f>
        <v>2.0300269999999998E-3</v>
      </c>
      <c r="AH66" s="50">
        <f>Table_LL97SpaceLimits[[#This Row],[2043]]</f>
        <v>2.0300269999999998E-3</v>
      </c>
      <c r="AI66" s="50">
        <f>Table_LL97SpaceLimits[[#This Row],[2044]]</f>
        <v>2.0300269999999998E-3</v>
      </c>
      <c r="AJ66" s="50">
        <f>Table_LL97SpaceLimits[[#This Row],[2045]]</f>
        <v>2.0300269999999998E-3</v>
      </c>
      <c r="AK66" s="50">
        <f>Table_LL97SpaceLimits[[#This Row],[2046]]</f>
        <v>2.0300269999999998E-3</v>
      </c>
      <c r="AL66" s="50">
        <f>Table_LL97SpaceLimits[[#This Row],[2047]]</f>
        <v>2.0300269999999998E-3</v>
      </c>
      <c r="AM66" s="50">
        <f>Table_LL97SpaceLimits[[#This Row],[2048]]</f>
        <v>2.0300269999999998E-3</v>
      </c>
      <c r="AN66" s="40">
        <v>0</v>
      </c>
    </row>
    <row r="67" spans="5:40">
      <c r="E67"/>
      <c r="L67"/>
      <c r="M67" s="35" t="s">
        <v>307</v>
      </c>
      <c r="N67" s="36">
        <v>4.2599999999999999E-3</v>
      </c>
      <c r="O67" s="36">
        <f>Table_LL97SpaceLimits[[#This Row],[2024]]</f>
        <v>4.2599999999999999E-3</v>
      </c>
      <c r="P67" s="36">
        <f>Table_LL97SpaceLimits[[#This Row],[2025]]</f>
        <v>4.2599999999999999E-3</v>
      </c>
      <c r="Q67" s="36">
        <f>Table_LL97SpaceLimits[[#This Row],[2026]]</f>
        <v>4.2599999999999999E-3</v>
      </c>
      <c r="R67" s="36">
        <f>Table_LL97SpaceLimits[[#This Row],[2027]]</f>
        <v>4.2599999999999999E-3</v>
      </c>
      <c r="S67" s="36">
        <f>Table_LL97SpaceLimits[[#This Row],[2028]]</f>
        <v>4.2599999999999999E-3</v>
      </c>
      <c r="T67" s="41">
        <v>5.7166900000000002E-4</v>
      </c>
      <c r="U67" s="37">
        <f>Table_LL97SpaceLimits[[#This Row],[2030]]</f>
        <v>5.7166900000000002E-4</v>
      </c>
      <c r="V67" s="37">
        <f>Table_LL97SpaceLimits[[#This Row],[2031]]</f>
        <v>5.7166900000000002E-4</v>
      </c>
      <c r="W67" s="37">
        <f>Table_LL97SpaceLimits[[#This Row],[2032]]</f>
        <v>5.7166900000000002E-4</v>
      </c>
      <c r="X67" s="37">
        <f>Table_LL97SpaceLimits[[#This Row],[2033]]</f>
        <v>5.7166900000000002E-4</v>
      </c>
      <c r="Y67" s="38">
        <v>4.2875200000000002E-4</v>
      </c>
      <c r="Z67" s="38">
        <f>Table_LL97SpaceLimits[[#This Row],[2035]]</f>
        <v>4.2875200000000002E-4</v>
      </c>
      <c r="AA67" s="38">
        <f>Table_LL97SpaceLimits[[#This Row],[2036]]</f>
        <v>4.2875200000000002E-4</v>
      </c>
      <c r="AB67" s="38">
        <f>Table_LL97SpaceLimits[[#This Row],[2037]]</f>
        <v>4.2875200000000002E-4</v>
      </c>
      <c r="AC67" s="38">
        <f>Table_LL97SpaceLimits[[#This Row],[2038]]</f>
        <v>4.2875200000000002E-4</v>
      </c>
      <c r="AD67" s="39">
        <v>2.85834E-4</v>
      </c>
      <c r="AE67" s="50">
        <f>Table_LL97SpaceLimits[[#This Row],[2040]]</f>
        <v>2.85834E-4</v>
      </c>
      <c r="AF67" s="50">
        <f>Table_LL97SpaceLimits[[#This Row],[2041]]</f>
        <v>2.85834E-4</v>
      </c>
      <c r="AG67" s="50">
        <f>Table_LL97SpaceLimits[[#This Row],[2042]]</f>
        <v>2.85834E-4</v>
      </c>
      <c r="AH67" s="50">
        <f>Table_LL97SpaceLimits[[#This Row],[2043]]</f>
        <v>2.85834E-4</v>
      </c>
      <c r="AI67" s="50">
        <f>Table_LL97SpaceLimits[[#This Row],[2044]]</f>
        <v>2.85834E-4</v>
      </c>
      <c r="AJ67" s="50">
        <f>Table_LL97SpaceLimits[[#This Row],[2045]]</f>
        <v>2.85834E-4</v>
      </c>
      <c r="AK67" s="50">
        <f>Table_LL97SpaceLimits[[#This Row],[2046]]</f>
        <v>2.85834E-4</v>
      </c>
      <c r="AL67" s="50">
        <f>Table_LL97SpaceLimits[[#This Row],[2047]]</f>
        <v>2.85834E-4</v>
      </c>
      <c r="AM67" s="50">
        <f>Table_LL97SpaceLimits[[#This Row],[2048]]</f>
        <v>2.85834E-4</v>
      </c>
      <c r="AN67" s="40">
        <v>0</v>
      </c>
    </row>
    <row r="68" spans="5:40">
      <c r="E68"/>
      <c r="L68"/>
      <c r="M68" s="35" t="s">
        <v>308</v>
      </c>
      <c r="N68" s="36">
        <v>1.1809999999999999E-2</v>
      </c>
      <c r="O68" s="36">
        <f>Table_LL97SpaceLimits[[#This Row],[2024]]</f>
        <v>1.1809999999999999E-2</v>
      </c>
      <c r="P68" s="36">
        <f>Table_LL97SpaceLimits[[#This Row],[2025]]</f>
        <v>1.1809999999999999E-2</v>
      </c>
      <c r="Q68" s="36">
        <f>Table_LL97SpaceLimits[[#This Row],[2026]]</f>
        <v>1.1809999999999999E-2</v>
      </c>
      <c r="R68" s="36">
        <f>Table_LL97SpaceLimits[[#This Row],[2027]]</f>
        <v>1.1809999999999999E-2</v>
      </c>
      <c r="S68" s="36">
        <f>Table_LL97SpaceLimits[[#This Row],[2028]]</f>
        <v>1.1809999999999999E-2</v>
      </c>
      <c r="T68" s="41">
        <v>5.7723749999999997E-3</v>
      </c>
      <c r="U68" s="37">
        <f>Table_LL97SpaceLimits[[#This Row],[2030]]</f>
        <v>5.7723749999999997E-3</v>
      </c>
      <c r="V68" s="37">
        <f>Table_LL97SpaceLimits[[#This Row],[2031]]</f>
        <v>5.7723749999999997E-3</v>
      </c>
      <c r="W68" s="37">
        <f>Table_LL97SpaceLimits[[#This Row],[2032]]</f>
        <v>5.7723749999999997E-3</v>
      </c>
      <c r="X68" s="37">
        <f>Table_LL97SpaceLimits[[#This Row],[2033]]</f>
        <v>5.7723749999999997E-3</v>
      </c>
      <c r="Y68" s="38">
        <v>4.3292809999999999E-3</v>
      </c>
      <c r="Z68" s="38">
        <f>Table_LL97SpaceLimits[[#This Row],[2035]]</f>
        <v>4.3292809999999999E-3</v>
      </c>
      <c r="AA68" s="38">
        <f>Table_LL97SpaceLimits[[#This Row],[2036]]</f>
        <v>4.3292809999999999E-3</v>
      </c>
      <c r="AB68" s="38">
        <f>Table_LL97SpaceLimits[[#This Row],[2037]]</f>
        <v>4.3292809999999999E-3</v>
      </c>
      <c r="AC68" s="38">
        <f>Table_LL97SpaceLimits[[#This Row],[2038]]</f>
        <v>4.3292809999999999E-3</v>
      </c>
      <c r="AD68" s="39">
        <v>2.8861870000000001E-3</v>
      </c>
      <c r="AE68" s="50">
        <f>Table_LL97SpaceLimits[[#This Row],[2040]]</f>
        <v>2.8861870000000001E-3</v>
      </c>
      <c r="AF68" s="50">
        <f>Table_LL97SpaceLimits[[#This Row],[2041]]</f>
        <v>2.8861870000000001E-3</v>
      </c>
      <c r="AG68" s="50">
        <f>Table_LL97SpaceLimits[[#This Row],[2042]]</f>
        <v>2.8861870000000001E-3</v>
      </c>
      <c r="AH68" s="50">
        <f>Table_LL97SpaceLimits[[#This Row],[2043]]</f>
        <v>2.8861870000000001E-3</v>
      </c>
      <c r="AI68" s="50">
        <f>Table_LL97SpaceLimits[[#This Row],[2044]]</f>
        <v>2.8861870000000001E-3</v>
      </c>
      <c r="AJ68" s="50">
        <f>Table_LL97SpaceLimits[[#This Row],[2045]]</f>
        <v>2.8861870000000001E-3</v>
      </c>
      <c r="AK68" s="50">
        <f>Table_LL97SpaceLimits[[#This Row],[2046]]</f>
        <v>2.8861870000000001E-3</v>
      </c>
      <c r="AL68" s="50">
        <f>Table_LL97SpaceLimits[[#This Row],[2047]]</f>
        <v>2.8861870000000001E-3</v>
      </c>
      <c r="AM68" s="50">
        <f>Table_LL97SpaceLimits[[#This Row],[2048]]</f>
        <v>2.8861870000000001E-3</v>
      </c>
      <c r="AN68" s="40">
        <v>0</v>
      </c>
    </row>
    <row r="69" spans="5:40">
      <c r="E69"/>
      <c r="L69"/>
      <c r="M69" s="35" t="s">
        <v>309</v>
      </c>
      <c r="N69" s="36">
        <v>5.7400000000000003E-3</v>
      </c>
      <c r="O69" s="36">
        <f>Table_LL97SpaceLimits[[#This Row],[2024]]</f>
        <v>5.7400000000000003E-3</v>
      </c>
      <c r="P69" s="36">
        <f>Table_LL97SpaceLimits[[#This Row],[2025]]</f>
        <v>5.7400000000000003E-3</v>
      </c>
      <c r="Q69" s="36">
        <f>Table_LL97SpaceLimits[[#This Row],[2026]]</f>
        <v>5.7400000000000003E-3</v>
      </c>
      <c r="R69" s="36">
        <f>Table_LL97SpaceLimits[[#This Row],[2027]]</f>
        <v>5.7400000000000003E-3</v>
      </c>
      <c r="S69" s="36">
        <f>Table_LL97SpaceLimits[[#This Row],[2028]]</f>
        <v>5.7400000000000003E-3</v>
      </c>
      <c r="T69" s="41">
        <v>4.6131219999999999E-3</v>
      </c>
      <c r="U69" s="37">
        <f>Table_LL97SpaceLimits[[#This Row],[2030]]</f>
        <v>4.6131219999999999E-3</v>
      </c>
      <c r="V69" s="37">
        <f>Table_LL97SpaceLimits[[#This Row],[2031]]</f>
        <v>4.6131219999999999E-3</v>
      </c>
      <c r="W69" s="37">
        <f>Table_LL97SpaceLimits[[#This Row],[2032]]</f>
        <v>4.6131219999999999E-3</v>
      </c>
      <c r="X69" s="37">
        <f>Table_LL97SpaceLimits[[#This Row],[2033]]</f>
        <v>4.6131219999999999E-3</v>
      </c>
      <c r="Y69" s="38">
        <v>3.4598419999999999E-3</v>
      </c>
      <c r="Z69" s="38">
        <f>Table_LL97SpaceLimits[[#This Row],[2035]]</f>
        <v>3.4598419999999999E-3</v>
      </c>
      <c r="AA69" s="38">
        <f>Table_LL97SpaceLimits[[#This Row],[2036]]</f>
        <v>3.4598419999999999E-3</v>
      </c>
      <c r="AB69" s="38">
        <f>Table_LL97SpaceLimits[[#This Row],[2037]]</f>
        <v>3.4598419999999999E-3</v>
      </c>
      <c r="AC69" s="38">
        <f>Table_LL97SpaceLimits[[#This Row],[2038]]</f>
        <v>3.4598419999999999E-3</v>
      </c>
      <c r="AD69" s="39">
        <v>2.3065609999999999E-3</v>
      </c>
      <c r="AE69" s="50">
        <f>Table_LL97SpaceLimits[[#This Row],[2040]]</f>
        <v>2.3065609999999999E-3</v>
      </c>
      <c r="AF69" s="50">
        <f>Table_LL97SpaceLimits[[#This Row],[2041]]</f>
        <v>2.3065609999999999E-3</v>
      </c>
      <c r="AG69" s="50">
        <f>Table_LL97SpaceLimits[[#This Row],[2042]]</f>
        <v>2.3065609999999999E-3</v>
      </c>
      <c r="AH69" s="50">
        <f>Table_LL97SpaceLimits[[#This Row],[2043]]</f>
        <v>2.3065609999999999E-3</v>
      </c>
      <c r="AI69" s="50">
        <f>Table_LL97SpaceLimits[[#This Row],[2044]]</f>
        <v>2.3065609999999999E-3</v>
      </c>
      <c r="AJ69" s="50">
        <f>Table_LL97SpaceLimits[[#This Row],[2045]]</f>
        <v>2.3065609999999999E-3</v>
      </c>
      <c r="AK69" s="50">
        <f>Table_LL97SpaceLimits[[#This Row],[2046]]</f>
        <v>2.3065609999999999E-3</v>
      </c>
      <c r="AL69" s="50">
        <f>Table_LL97SpaceLimits[[#This Row],[2047]]</f>
        <v>2.3065609999999999E-3</v>
      </c>
      <c r="AM69" s="50">
        <f>Table_LL97SpaceLimits[[#This Row],[2048]]</f>
        <v>2.3065609999999999E-3</v>
      </c>
      <c r="AN69" s="40">
        <v>0</v>
      </c>
    </row>
    <row r="70" spans="5:40">
      <c r="E70"/>
      <c r="L70"/>
      <c r="M70" s="35" t="s">
        <v>310</v>
      </c>
      <c r="N70" s="36">
        <v>1.1379999999999999E-2</v>
      </c>
      <c r="O70" s="36">
        <f>Table_LL97SpaceLimits[[#This Row],[2024]]</f>
        <v>1.1379999999999999E-2</v>
      </c>
      <c r="P70" s="36">
        <f>Table_LL97SpaceLimits[[#This Row],[2025]]</f>
        <v>1.1379999999999999E-2</v>
      </c>
      <c r="Q70" s="36">
        <f>Table_LL97SpaceLimits[[#This Row],[2026]]</f>
        <v>1.1379999999999999E-2</v>
      </c>
      <c r="R70" s="36">
        <f>Table_LL97SpaceLimits[[#This Row],[2027]]</f>
        <v>1.1379999999999999E-2</v>
      </c>
      <c r="S70" s="36">
        <f>Table_LL97SpaceLimits[[#This Row],[2028]]</f>
        <v>1.1379999999999999E-2</v>
      </c>
      <c r="T70" s="41">
        <v>4.2649619999999997E-3</v>
      </c>
      <c r="U70" s="37">
        <f>Table_LL97SpaceLimits[[#This Row],[2030]]</f>
        <v>4.2649619999999997E-3</v>
      </c>
      <c r="V70" s="37">
        <f>Table_LL97SpaceLimits[[#This Row],[2031]]</f>
        <v>4.2649619999999997E-3</v>
      </c>
      <c r="W70" s="37">
        <f>Table_LL97SpaceLimits[[#This Row],[2032]]</f>
        <v>4.2649619999999997E-3</v>
      </c>
      <c r="X70" s="37">
        <f>Table_LL97SpaceLimits[[#This Row],[2033]]</f>
        <v>4.2649619999999997E-3</v>
      </c>
      <c r="Y70" s="38">
        <v>3.1987209999999999E-3</v>
      </c>
      <c r="Z70" s="38">
        <f>Table_LL97SpaceLimits[[#This Row],[2035]]</f>
        <v>3.1987209999999999E-3</v>
      </c>
      <c r="AA70" s="38">
        <f>Table_LL97SpaceLimits[[#This Row],[2036]]</f>
        <v>3.1987209999999999E-3</v>
      </c>
      <c r="AB70" s="38">
        <f>Table_LL97SpaceLimits[[#This Row],[2037]]</f>
        <v>3.1987209999999999E-3</v>
      </c>
      <c r="AC70" s="38">
        <f>Table_LL97SpaceLimits[[#This Row],[2038]]</f>
        <v>3.1987209999999999E-3</v>
      </c>
      <c r="AD70" s="39">
        <v>2.1324809999999999E-3</v>
      </c>
      <c r="AE70" s="50">
        <f>Table_LL97SpaceLimits[[#This Row],[2040]]</f>
        <v>2.1324809999999999E-3</v>
      </c>
      <c r="AF70" s="50">
        <f>Table_LL97SpaceLimits[[#This Row],[2041]]</f>
        <v>2.1324809999999999E-3</v>
      </c>
      <c r="AG70" s="50">
        <f>Table_LL97SpaceLimits[[#This Row],[2042]]</f>
        <v>2.1324809999999999E-3</v>
      </c>
      <c r="AH70" s="50">
        <f>Table_LL97SpaceLimits[[#This Row],[2043]]</f>
        <v>2.1324809999999999E-3</v>
      </c>
      <c r="AI70" s="50">
        <f>Table_LL97SpaceLimits[[#This Row],[2044]]</f>
        <v>2.1324809999999999E-3</v>
      </c>
      <c r="AJ70" s="50">
        <f>Table_LL97SpaceLimits[[#This Row],[2045]]</f>
        <v>2.1324809999999999E-3</v>
      </c>
      <c r="AK70" s="50">
        <f>Table_LL97SpaceLimits[[#This Row],[2046]]</f>
        <v>2.1324809999999999E-3</v>
      </c>
      <c r="AL70" s="50">
        <f>Table_LL97SpaceLimits[[#This Row],[2047]]</f>
        <v>2.1324809999999999E-3</v>
      </c>
      <c r="AM70" s="50">
        <f>Table_LL97SpaceLimits[[#This Row],[2048]]</f>
        <v>2.1324809999999999E-3</v>
      </c>
      <c r="AN70" s="40">
        <v>0</v>
      </c>
    </row>
    <row r="71" spans="5:40">
      <c r="E71"/>
      <c r="L71"/>
      <c r="M71" s="42" t="s">
        <v>311</v>
      </c>
      <c r="N71" s="43">
        <v>5.7400000000000003E-3</v>
      </c>
      <c r="O71" s="36">
        <f>Table_LL97SpaceLimits[[#This Row],[2024]]</f>
        <v>5.7400000000000003E-3</v>
      </c>
      <c r="P71" s="36">
        <f>Table_LL97SpaceLimits[[#This Row],[2025]]</f>
        <v>5.7400000000000003E-3</v>
      </c>
      <c r="Q71" s="36">
        <f>Table_LL97SpaceLimits[[#This Row],[2026]]</f>
        <v>5.7400000000000003E-3</v>
      </c>
      <c r="R71" s="36">
        <f>Table_LL97SpaceLimits[[#This Row],[2027]]</f>
        <v>5.7400000000000003E-3</v>
      </c>
      <c r="S71" s="36">
        <f>Table_LL97SpaceLimits[[#This Row],[2028]]</f>
        <v>5.7400000000000003E-3</v>
      </c>
      <c r="T71" s="44">
        <v>1.2306019999999999E-3</v>
      </c>
      <c r="U71" s="37">
        <f>Table_LL97SpaceLimits[[#This Row],[2030]]</f>
        <v>1.2306019999999999E-3</v>
      </c>
      <c r="V71" s="37">
        <f>Table_LL97SpaceLimits[[#This Row],[2031]]</f>
        <v>1.2306019999999999E-3</v>
      </c>
      <c r="W71" s="37">
        <f>Table_LL97SpaceLimits[[#This Row],[2032]]</f>
        <v>1.2306019999999999E-3</v>
      </c>
      <c r="X71" s="37">
        <f>Table_LL97SpaceLimits[[#This Row],[2033]]</f>
        <v>1.2306019999999999E-3</v>
      </c>
      <c r="Y71" s="45">
        <v>8.6692099999999999E-4</v>
      </c>
      <c r="Z71" s="38">
        <f>Table_LL97SpaceLimits[[#This Row],[2035]]</f>
        <v>8.6692099999999999E-4</v>
      </c>
      <c r="AA71" s="38">
        <f>Table_LL97SpaceLimits[[#This Row],[2036]]</f>
        <v>8.6692099999999999E-4</v>
      </c>
      <c r="AB71" s="38">
        <f>Table_LL97SpaceLimits[[#This Row],[2037]]</f>
        <v>8.6692099999999999E-4</v>
      </c>
      <c r="AC71" s="38">
        <f>Table_LL97SpaceLimits[[#This Row],[2038]]</f>
        <v>8.6692099999999999E-4</v>
      </c>
      <c r="AD71" s="46">
        <v>5.4930599999999995E-4</v>
      </c>
      <c r="AE71" s="50">
        <f>Table_LL97SpaceLimits[[#This Row],[2040]]</f>
        <v>5.4930599999999995E-4</v>
      </c>
      <c r="AF71" s="50">
        <f>Table_LL97SpaceLimits[[#This Row],[2041]]</f>
        <v>5.4930599999999995E-4</v>
      </c>
      <c r="AG71" s="50">
        <f>Table_LL97SpaceLimits[[#This Row],[2042]]</f>
        <v>5.4930599999999995E-4</v>
      </c>
      <c r="AH71" s="50">
        <f>Table_LL97SpaceLimits[[#This Row],[2043]]</f>
        <v>5.4930599999999995E-4</v>
      </c>
      <c r="AI71" s="50">
        <f>Table_LL97SpaceLimits[[#This Row],[2044]]</f>
        <v>5.4930599999999995E-4</v>
      </c>
      <c r="AJ71" s="50">
        <f>Table_LL97SpaceLimits[[#This Row],[2045]]</f>
        <v>5.4930599999999995E-4</v>
      </c>
      <c r="AK71" s="50">
        <f>Table_LL97SpaceLimits[[#This Row],[2046]]</f>
        <v>5.4930599999999995E-4</v>
      </c>
      <c r="AL71" s="50">
        <f>Table_LL97SpaceLimits[[#This Row],[2047]]</f>
        <v>5.4930599999999995E-4</v>
      </c>
      <c r="AM71" s="50">
        <f>Table_LL97SpaceLimits[[#This Row],[2048]]</f>
        <v>5.4930599999999995E-4</v>
      </c>
      <c r="AN71" s="47">
        <v>0</v>
      </c>
    </row>
    <row r="72" spans="5:40">
      <c r="E72"/>
      <c r="L72"/>
      <c r="M72"/>
    </row>
    <row r="73" spans="5:40">
      <c r="E73"/>
      <c r="L73"/>
      <c r="M73"/>
      <c r="N73"/>
      <c r="O73"/>
      <c r="P73"/>
    </row>
    <row r="74" spans="5:40">
      <c r="E74"/>
      <c r="L74"/>
      <c r="M74"/>
      <c r="N74"/>
      <c r="O74"/>
      <c r="P74"/>
    </row>
    <row r="75" spans="5:40">
      <c r="E75"/>
      <c r="L75"/>
      <c r="M75"/>
      <c r="N75"/>
      <c r="O75"/>
      <c r="P75"/>
    </row>
    <row r="76" spans="5:40">
      <c r="E76"/>
      <c r="L76"/>
      <c r="M76"/>
      <c r="N76"/>
      <c r="O76"/>
      <c r="P76"/>
    </row>
    <row r="77" spans="5:40">
      <c r="E77"/>
      <c r="L77"/>
      <c r="M77"/>
      <c r="N77"/>
      <c r="O77"/>
      <c r="P77"/>
    </row>
    <row r="78" spans="5:40">
      <c r="E78"/>
      <c r="L78"/>
      <c r="M78"/>
      <c r="N78"/>
      <c r="O78"/>
      <c r="P78"/>
    </row>
    <row r="79" spans="5:40">
      <c r="E79"/>
      <c r="L79"/>
      <c r="M79"/>
      <c r="N79"/>
      <c r="O79"/>
      <c r="P79"/>
    </row>
    <row r="80" spans="5:40">
      <c r="E80"/>
      <c r="L80"/>
      <c r="M80"/>
      <c r="N80"/>
      <c r="O80"/>
      <c r="P80"/>
    </row>
    <row r="81" spans="5:16">
      <c r="E81"/>
      <c r="L81"/>
      <c r="M81"/>
      <c r="N81"/>
      <c r="O81"/>
      <c r="P81"/>
    </row>
    <row r="82" spans="5:16">
      <c r="E82"/>
      <c r="L82"/>
      <c r="M82"/>
      <c r="N82"/>
      <c r="O82"/>
      <c r="P82"/>
    </row>
    <row r="83" spans="5:16">
      <c r="E83"/>
      <c r="L83"/>
      <c r="M83"/>
      <c r="N83"/>
      <c r="O83"/>
      <c r="P83"/>
    </row>
    <row r="84" spans="5:16">
      <c r="E84"/>
      <c r="L84"/>
      <c r="M84"/>
      <c r="N84"/>
      <c r="O84"/>
      <c r="P84"/>
    </row>
    <row r="85" spans="5:16">
      <c r="E85"/>
      <c r="L85"/>
      <c r="M85"/>
      <c r="N85"/>
      <c r="O85"/>
      <c r="P85"/>
    </row>
    <row r="86" spans="5:16">
      <c r="E86"/>
      <c r="L86"/>
      <c r="M86"/>
      <c r="N86"/>
      <c r="O86"/>
      <c r="P86"/>
    </row>
    <row r="87" spans="5:16">
      <c r="E87"/>
      <c r="L87"/>
      <c r="M87"/>
      <c r="N87"/>
      <c r="O87"/>
      <c r="P87"/>
    </row>
    <row r="88" spans="5:16">
      <c r="E88"/>
      <c r="L88"/>
      <c r="M88"/>
      <c r="N88"/>
      <c r="O88"/>
      <c r="P88"/>
    </row>
    <row r="89" spans="5:16">
      <c r="E89"/>
      <c r="L89"/>
      <c r="M89"/>
      <c r="N89"/>
      <c r="O89"/>
      <c r="P89"/>
    </row>
    <row r="90" spans="5:16">
      <c r="E90"/>
      <c r="L90"/>
      <c r="M90"/>
      <c r="N90"/>
      <c r="O90"/>
      <c r="P90"/>
    </row>
    <row r="91" spans="5:16">
      <c r="E91"/>
      <c r="L91"/>
      <c r="M91"/>
      <c r="N91"/>
      <c r="O91"/>
      <c r="P91"/>
    </row>
    <row r="92" spans="5:16">
      <c r="E92"/>
      <c r="L92"/>
      <c r="M92"/>
      <c r="N92"/>
      <c r="O92"/>
      <c r="P92"/>
    </row>
    <row r="93" spans="5:16">
      <c r="E93"/>
      <c r="L93"/>
      <c r="M93"/>
      <c r="N93"/>
      <c r="O93"/>
      <c r="P93"/>
    </row>
    <row r="94" spans="5:16">
      <c r="E94"/>
      <c r="J94"/>
      <c r="K94"/>
      <c r="L94"/>
      <c r="M94"/>
      <c r="N94"/>
      <c r="O94"/>
      <c r="P94"/>
    </row>
    <row r="95" spans="5:16">
      <c r="E95"/>
      <c r="J95"/>
      <c r="K95"/>
      <c r="L95"/>
      <c r="M95"/>
      <c r="N95"/>
      <c r="O95"/>
      <c r="P95"/>
    </row>
    <row r="96" spans="5:16">
      <c r="E96"/>
      <c r="J96"/>
      <c r="K96"/>
      <c r="L96"/>
      <c r="M96"/>
    </row>
    <row r="97" spans="5:13">
      <c r="E97"/>
      <c r="J97"/>
      <c r="K97"/>
      <c r="L97"/>
      <c r="M97"/>
    </row>
    <row r="98" spans="5:13">
      <c r="E98"/>
      <c r="J98"/>
      <c r="K98"/>
      <c r="L98"/>
      <c r="M98"/>
    </row>
    <row r="99" spans="5:13">
      <c r="E99"/>
      <c r="J99"/>
      <c r="K99"/>
      <c r="L99"/>
      <c r="M99"/>
    </row>
    <row r="100" spans="5:13">
      <c r="E100"/>
      <c r="F100"/>
      <c r="G100"/>
      <c r="H100"/>
      <c r="I100"/>
      <c r="J100"/>
      <c r="K100"/>
      <c r="L100"/>
      <c r="M100"/>
    </row>
    <row r="101" spans="5:13">
      <c r="E101"/>
      <c r="F101"/>
      <c r="G101"/>
      <c r="H101"/>
      <c r="I101"/>
      <c r="J101"/>
      <c r="K101"/>
      <c r="L101"/>
      <c r="M101"/>
    </row>
    <row r="102" spans="5:13">
      <c r="E102"/>
      <c r="F102"/>
      <c r="G102"/>
      <c r="H102"/>
      <c r="I102"/>
      <c r="J102"/>
      <c r="K102"/>
      <c r="L102"/>
      <c r="M102"/>
    </row>
    <row r="103" spans="5:13">
      <c r="E103"/>
      <c r="F103"/>
      <c r="G103"/>
      <c r="H103"/>
      <c r="I103"/>
      <c r="J103"/>
      <c r="K103"/>
      <c r="L103"/>
      <c r="M103"/>
    </row>
    <row r="104" spans="5:13">
      <c r="E104"/>
      <c r="F104"/>
      <c r="G104"/>
      <c r="H104"/>
      <c r="I104"/>
      <c r="J104"/>
      <c r="K104"/>
      <c r="L104"/>
      <c r="M104"/>
    </row>
    <row r="105" spans="5:13">
      <c r="E105"/>
      <c r="F105"/>
      <c r="G105"/>
      <c r="H105"/>
      <c r="I105"/>
      <c r="J105"/>
      <c r="K105"/>
      <c r="L105"/>
      <c r="M105"/>
    </row>
    <row r="106" spans="5:13">
      <c r="E106"/>
      <c r="F106"/>
      <c r="G106"/>
      <c r="H106"/>
      <c r="I106"/>
      <c r="J106"/>
      <c r="K106"/>
      <c r="L106"/>
      <c r="M106"/>
    </row>
    <row r="107" spans="5:13">
      <c r="E107"/>
      <c r="F107"/>
      <c r="G107"/>
      <c r="H107"/>
      <c r="I107"/>
      <c r="J107"/>
      <c r="K107"/>
      <c r="L107"/>
      <c r="M107"/>
    </row>
    <row r="108" spans="5:13">
      <c r="E108"/>
      <c r="F108"/>
      <c r="G108"/>
      <c r="H108"/>
      <c r="I108"/>
      <c r="J108"/>
      <c r="K108"/>
      <c r="L108"/>
      <c r="M108"/>
    </row>
    <row r="109" spans="5:13">
      <c r="E109"/>
      <c r="F109"/>
      <c r="G109"/>
      <c r="H109"/>
      <c r="I109"/>
      <c r="J109"/>
      <c r="K109"/>
      <c r="L109"/>
      <c r="M109"/>
    </row>
    <row r="110" spans="5:13">
      <c r="E110"/>
      <c r="F110"/>
      <c r="G110"/>
      <c r="H110"/>
      <c r="I110"/>
      <c r="J110"/>
      <c r="K110"/>
      <c r="L110"/>
      <c r="M110"/>
    </row>
    <row r="111" spans="5:13">
      <c r="E111"/>
      <c r="F111"/>
      <c r="G111"/>
      <c r="H111"/>
      <c r="I111"/>
      <c r="J111"/>
      <c r="K111"/>
      <c r="L111"/>
      <c r="M111"/>
    </row>
    <row r="112" spans="5:13">
      <c r="E112"/>
      <c r="F112"/>
      <c r="G112"/>
      <c r="H112"/>
      <c r="I112"/>
      <c r="J112"/>
      <c r="K112"/>
      <c r="L112"/>
      <c r="M112"/>
    </row>
    <row r="113" spans="5:13">
      <c r="E113"/>
      <c r="F113"/>
      <c r="G113"/>
      <c r="H113"/>
      <c r="I113"/>
      <c r="J113"/>
      <c r="K113"/>
      <c r="L113"/>
      <c r="M113"/>
    </row>
    <row r="114" spans="5:13">
      <c r="E114"/>
      <c r="F114"/>
      <c r="G114"/>
      <c r="H114"/>
      <c r="I114"/>
      <c r="J114"/>
      <c r="K114"/>
      <c r="L114"/>
      <c r="M114"/>
    </row>
    <row r="115" spans="5:13">
      <c r="E115"/>
      <c r="F115"/>
      <c r="G115"/>
      <c r="H115"/>
      <c r="I115"/>
      <c r="J115"/>
      <c r="K115"/>
      <c r="L115"/>
      <c r="M115"/>
    </row>
    <row r="116" spans="5:13">
      <c r="E116"/>
      <c r="F116"/>
      <c r="G116"/>
      <c r="H116"/>
      <c r="I116"/>
      <c r="J116"/>
      <c r="K116"/>
      <c r="L116"/>
      <c r="M116"/>
    </row>
    <row r="117" spans="5:13">
      <c r="E117"/>
      <c r="F117"/>
      <c r="G117"/>
      <c r="H117"/>
      <c r="I117"/>
      <c r="J117"/>
      <c r="K117"/>
      <c r="L117"/>
      <c r="M117"/>
    </row>
    <row r="118" spans="5:13">
      <c r="E118"/>
      <c r="F118"/>
      <c r="G118"/>
      <c r="H118"/>
      <c r="I118"/>
      <c r="J118"/>
      <c r="K118"/>
      <c r="L118"/>
      <c r="M118"/>
    </row>
    <row r="119" spans="5:13">
      <c r="E119"/>
      <c r="F119"/>
      <c r="G119"/>
      <c r="H119"/>
      <c r="I119"/>
      <c r="J119"/>
      <c r="K119"/>
      <c r="L119"/>
      <c r="M119"/>
    </row>
    <row r="120" spans="5:13">
      <c r="E120"/>
      <c r="F120"/>
      <c r="G120"/>
      <c r="H120"/>
      <c r="I120"/>
      <c r="J120"/>
      <c r="K120"/>
      <c r="L120"/>
      <c r="M120"/>
    </row>
    <row r="121" spans="5:13">
      <c r="E121"/>
      <c r="F121"/>
      <c r="G121"/>
      <c r="H121"/>
      <c r="I121"/>
      <c r="J121"/>
      <c r="K121"/>
      <c r="L121"/>
      <c r="M121"/>
    </row>
    <row r="122" spans="5:13">
      <c r="E122"/>
      <c r="F122"/>
      <c r="G122"/>
      <c r="H122"/>
      <c r="I122"/>
      <c r="J122"/>
      <c r="K122"/>
      <c r="L122"/>
      <c r="M122"/>
    </row>
    <row r="123" spans="5:13">
      <c r="E123"/>
      <c r="F123"/>
      <c r="G123"/>
      <c r="H123"/>
      <c r="I123"/>
      <c r="J123"/>
      <c r="K123"/>
      <c r="L123"/>
      <c r="M123"/>
    </row>
    <row r="124" spans="5:13">
      <c r="E124"/>
      <c r="F124"/>
      <c r="G124"/>
      <c r="H124"/>
      <c r="I124"/>
      <c r="J124"/>
      <c r="K124"/>
      <c r="L124"/>
      <c r="M124"/>
    </row>
    <row r="125" spans="5:13">
      <c r="E125"/>
      <c r="F125"/>
      <c r="G125"/>
      <c r="H125"/>
      <c r="I125"/>
      <c r="J125"/>
      <c r="K125"/>
      <c r="L125"/>
      <c r="M125"/>
    </row>
    <row r="126" spans="5:13">
      <c r="E126"/>
      <c r="F126"/>
      <c r="G126"/>
      <c r="H126"/>
      <c r="I126"/>
      <c r="J126"/>
      <c r="K126"/>
      <c r="L126"/>
    </row>
    <row r="127" spans="5:13">
      <c r="E127"/>
      <c r="F127"/>
      <c r="G127"/>
      <c r="H127"/>
      <c r="I127"/>
      <c r="J127"/>
      <c r="K127"/>
      <c r="L127"/>
    </row>
    <row r="128" spans="5:13">
      <c r="E128"/>
      <c r="F128"/>
      <c r="G128"/>
      <c r="H128"/>
      <c r="I128"/>
      <c r="J128"/>
      <c r="K128"/>
      <c r="L128"/>
    </row>
    <row r="129" spans="5:12">
      <c r="E129"/>
      <c r="F129"/>
      <c r="G129"/>
      <c r="H129"/>
      <c r="I129"/>
      <c r="J129"/>
      <c r="K129"/>
      <c r="L129"/>
    </row>
    <row r="130" spans="5:12">
      <c r="E130"/>
      <c r="F130"/>
      <c r="G130"/>
      <c r="H130"/>
      <c r="I130"/>
      <c r="J130"/>
      <c r="K130"/>
      <c r="L130"/>
    </row>
    <row r="131" spans="5:12">
      <c r="E131"/>
      <c r="F131"/>
      <c r="G131"/>
      <c r="H131"/>
      <c r="I131"/>
      <c r="J131"/>
      <c r="K131"/>
      <c r="L131"/>
    </row>
    <row r="132" spans="5:12">
      <c r="E132"/>
      <c r="F132"/>
      <c r="G132"/>
      <c r="H132"/>
      <c r="I132"/>
      <c r="J132"/>
      <c r="K132"/>
      <c r="L132"/>
    </row>
    <row r="133" spans="5:12">
      <c r="E133"/>
      <c r="F133"/>
      <c r="G133"/>
      <c r="H133"/>
      <c r="I133"/>
      <c r="J133"/>
      <c r="K133"/>
      <c r="L133"/>
    </row>
    <row r="134" spans="5:12">
      <c r="E134"/>
      <c r="F134"/>
      <c r="G134"/>
      <c r="H134"/>
      <c r="I134"/>
      <c r="J134"/>
      <c r="K134"/>
      <c r="L134"/>
    </row>
    <row r="135" spans="5:12">
      <c r="E135"/>
      <c r="F135"/>
      <c r="G135"/>
      <c r="H135"/>
      <c r="I135"/>
      <c r="J135"/>
      <c r="K135"/>
      <c r="L135"/>
    </row>
    <row r="136" spans="5:12">
      <c r="E136"/>
      <c r="F136"/>
      <c r="G136"/>
      <c r="H136"/>
      <c r="I136"/>
      <c r="J136"/>
      <c r="K136"/>
      <c r="L136"/>
    </row>
    <row r="137" spans="5:12">
      <c r="E137"/>
      <c r="F137"/>
      <c r="G137"/>
      <c r="H137"/>
      <c r="I137"/>
      <c r="J137"/>
      <c r="K137"/>
      <c r="L137"/>
    </row>
    <row r="138" spans="5:12">
      <c r="E138"/>
      <c r="F138"/>
      <c r="G138"/>
      <c r="H138"/>
      <c r="I138"/>
      <c r="J138"/>
      <c r="K138"/>
      <c r="L138"/>
    </row>
    <row r="139" spans="5:12">
      <c r="E139"/>
      <c r="F139"/>
      <c r="G139"/>
      <c r="H139"/>
      <c r="I139"/>
      <c r="J139"/>
      <c r="K139"/>
      <c r="L139"/>
    </row>
    <row r="140" spans="5:12">
      <c r="E140"/>
      <c r="F140"/>
      <c r="G140"/>
      <c r="H140"/>
      <c r="I140"/>
      <c r="J140"/>
      <c r="K140"/>
      <c r="L140"/>
    </row>
    <row r="141" spans="5:12">
      <c r="E141"/>
      <c r="F141"/>
      <c r="G141"/>
      <c r="H141"/>
      <c r="I141"/>
      <c r="J141"/>
      <c r="K141"/>
      <c r="L141"/>
    </row>
    <row r="142" spans="5:12">
      <c r="E142"/>
      <c r="F142"/>
      <c r="G142"/>
      <c r="H142"/>
      <c r="I142"/>
      <c r="J142"/>
      <c r="K142"/>
      <c r="L142"/>
    </row>
    <row r="143" spans="5:12">
      <c r="E143"/>
      <c r="F143"/>
      <c r="G143"/>
      <c r="H143"/>
      <c r="I143"/>
      <c r="J143"/>
      <c r="K143"/>
      <c r="L143"/>
    </row>
    <row r="144" spans="5:12">
      <c r="E144"/>
      <c r="F144"/>
      <c r="G144"/>
      <c r="H144"/>
      <c r="I144"/>
      <c r="J144"/>
      <c r="K144"/>
      <c r="L144"/>
    </row>
    <row r="145" spans="5:12">
      <c r="E145"/>
      <c r="F145"/>
      <c r="G145"/>
      <c r="H145"/>
      <c r="I145"/>
      <c r="J145"/>
      <c r="K145"/>
      <c r="L145"/>
    </row>
    <row r="146" spans="5:12">
      <c r="E146"/>
      <c r="F146"/>
      <c r="G146"/>
      <c r="H146"/>
      <c r="I146"/>
      <c r="J146"/>
      <c r="K146"/>
      <c r="L146"/>
    </row>
    <row r="147" spans="5:12">
      <c r="E147"/>
      <c r="F147"/>
      <c r="G147"/>
      <c r="H147"/>
      <c r="I147"/>
      <c r="J147"/>
      <c r="K147"/>
      <c r="L147"/>
    </row>
    <row r="148" spans="5:12">
      <c r="E148"/>
      <c r="F148"/>
      <c r="G148"/>
      <c r="H148"/>
      <c r="I148"/>
      <c r="J148"/>
      <c r="K148"/>
      <c r="L148"/>
    </row>
    <row r="149" spans="5:12">
      <c r="E149"/>
      <c r="F149"/>
      <c r="G149"/>
      <c r="H149"/>
      <c r="I149"/>
      <c r="J149"/>
      <c r="K149"/>
      <c r="L149"/>
    </row>
    <row r="150" spans="5:12">
      <c r="E150"/>
      <c r="F150"/>
      <c r="G150"/>
      <c r="H150"/>
      <c r="I150"/>
      <c r="J150"/>
      <c r="K150"/>
      <c r="L150"/>
    </row>
    <row r="151" spans="5:12">
      <c r="E151"/>
      <c r="F151"/>
      <c r="G151"/>
      <c r="H151"/>
      <c r="I151"/>
      <c r="J151"/>
      <c r="K151"/>
      <c r="L151"/>
    </row>
    <row r="152" spans="5:12">
      <c r="E152"/>
      <c r="F152"/>
      <c r="G152"/>
      <c r="H152"/>
      <c r="I152"/>
      <c r="J152"/>
      <c r="K152"/>
      <c r="L152"/>
    </row>
    <row r="153" spans="5:12">
      <c r="E153"/>
      <c r="F153"/>
      <c r="G153"/>
      <c r="H153"/>
      <c r="I153"/>
      <c r="J153"/>
      <c r="K153"/>
      <c r="L153"/>
    </row>
    <row r="154" spans="5:12">
      <c r="E154"/>
      <c r="F154"/>
      <c r="G154"/>
      <c r="H154"/>
      <c r="I154"/>
      <c r="J154"/>
      <c r="K154"/>
      <c r="L154"/>
    </row>
    <row r="155" spans="5:12">
      <c r="E155"/>
      <c r="F155"/>
      <c r="G155"/>
      <c r="H155"/>
      <c r="I155"/>
      <c r="J155"/>
      <c r="K155"/>
      <c r="L155"/>
    </row>
    <row r="156" spans="5:12">
      <c r="E156"/>
      <c r="F156"/>
      <c r="G156"/>
      <c r="H156"/>
      <c r="I156"/>
      <c r="J156"/>
      <c r="K156"/>
      <c r="L156"/>
    </row>
    <row r="157" spans="5:12">
      <c r="E157"/>
      <c r="F157"/>
      <c r="G157"/>
      <c r="H157"/>
      <c r="I157"/>
      <c r="J157"/>
      <c r="K157"/>
      <c r="L157"/>
    </row>
    <row r="158" spans="5:12">
      <c r="E158"/>
      <c r="F158"/>
      <c r="G158"/>
      <c r="H158"/>
      <c r="I158"/>
      <c r="J158"/>
      <c r="K158"/>
      <c r="L158"/>
    </row>
    <row r="159" spans="5:12">
      <c r="E159"/>
      <c r="F159"/>
      <c r="G159"/>
      <c r="H159"/>
      <c r="I159"/>
      <c r="J159"/>
      <c r="K159"/>
      <c r="L159"/>
    </row>
    <row r="160" spans="5:12">
      <c r="E160"/>
      <c r="F160"/>
      <c r="G160"/>
      <c r="H160"/>
      <c r="I160"/>
      <c r="J160"/>
      <c r="K160"/>
      <c r="L160"/>
    </row>
    <row r="161" spans="5:12">
      <c r="E161"/>
      <c r="F161"/>
      <c r="G161"/>
      <c r="H161"/>
      <c r="I161"/>
      <c r="J161"/>
      <c r="K161"/>
      <c r="L161"/>
    </row>
    <row r="162" spans="5:12">
      <c r="E162"/>
      <c r="F162"/>
      <c r="G162"/>
      <c r="H162"/>
      <c r="I162"/>
      <c r="J162"/>
      <c r="K162"/>
      <c r="L162"/>
    </row>
    <row r="163" spans="5:12">
      <c r="F163"/>
      <c r="G163"/>
      <c r="H163"/>
      <c r="I163"/>
      <c r="J163"/>
      <c r="K163"/>
    </row>
    <row r="164" spans="5:12">
      <c r="F164"/>
      <c r="G164"/>
      <c r="H164"/>
      <c r="I164"/>
      <c r="J164"/>
      <c r="K164"/>
    </row>
  </sheetData>
  <phoneticPr fontId="3" type="noConversion"/>
  <dataValidations disablePrompts="1" count="1">
    <dataValidation allowBlank="1" showInputMessage="1" sqref="T12:X71" xr:uid="{79BF84BE-5EAD-4BE3-8D13-7C05DB85CD8F}"/>
  </dataValidations>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E140-8ABE-4134-9C45-FA6A37A0A495}">
  <sheetPr codeName="Sheet1">
    <tabColor theme="0" tint="-0.499984740745262"/>
  </sheetPr>
  <dimension ref="B1:R88"/>
  <sheetViews>
    <sheetView showGridLines="0" zoomScale="85" zoomScaleNormal="85" workbookViewId="0">
      <selection activeCell="K39" sqref="K39"/>
    </sheetView>
  </sheetViews>
  <sheetFormatPr defaultRowHeight="13.5"/>
  <cols>
    <col min="2" max="2" width="11.25" customWidth="1"/>
    <col min="3" max="3" width="20" customWidth="1"/>
    <col min="4" max="4" width="23.625" customWidth="1"/>
    <col min="5" max="5" width="9.125" customWidth="1"/>
    <col min="6" max="6" width="17.125" customWidth="1"/>
    <col min="7" max="7" width="37.5" customWidth="1"/>
    <col min="10" max="10" width="20.125" customWidth="1"/>
    <col min="11" max="11" width="25.5" bestFit="1" customWidth="1"/>
    <col min="12" max="12" width="11.25" customWidth="1"/>
    <col min="13" max="13" width="12.375" customWidth="1"/>
    <col min="14" max="14" width="14.375" customWidth="1"/>
    <col min="15" max="15" width="30.25" customWidth="1"/>
  </cols>
  <sheetData>
    <row r="1" spans="3:18" ht="14.25">
      <c r="J1" s="1"/>
      <c r="K1" s="1"/>
      <c r="L1" s="1"/>
      <c r="M1" s="1"/>
      <c r="N1" s="1"/>
      <c r="O1" s="1"/>
      <c r="P1" s="1"/>
      <c r="Q1" s="1"/>
      <c r="R1" s="1"/>
    </row>
    <row r="2" spans="3:18" ht="14.25">
      <c r="J2" s="1"/>
      <c r="K2" s="1"/>
      <c r="L2" s="1"/>
      <c r="M2" s="1"/>
      <c r="N2" s="1"/>
      <c r="O2" s="1"/>
      <c r="P2" s="1"/>
      <c r="Q2" s="1"/>
      <c r="R2" s="1"/>
    </row>
    <row r="3" spans="3:18" ht="14.25">
      <c r="J3" s="1"/>
      <c r="K3" s="1"/>
      <c r="L3" s="1"/>
      <c r="M3" s="1"/>
      <c r="N3" s="1"/>
      <c r="O3" s="1"/>
      <c r="P3" s="1"/>
      <c r="Q3" s="1"/>
      <c r="R3" s="1"/>
    </row>
    <row r="4" spans="3:18" ht="14.25">
      <c r="J4" s="1"/>
      <c r="K4" s="1"/>
      <c r="L4" s="1"/>
      <c r="M4" s="1"/>
      <c r="N4" s="1"/>
      <c r="O4" s="1"/>
      <c r="P4" s="1"/>
      <c r="Q4" s="1"/>
      <c r="R4" s="1"/>
    </row>
    <row r="5" spans="3:18" ht="38.25" customHeight="1">
      <c r="C5" s="2" t="s">
        <v>312</v>
      </c>
      <c r="D5" s="1"/>
      <c r="E5" s="1"/>
      <c r="F5" s="1"/>
      <c r="G5" s="1"/>
      <c r="J5" s="2" t="s">
        <v>313</v>
      </c>
      <c r="K5" s="1"/>
      <c r="L5" s="1"/>
      <c r="M5" s="225" t="s">
        <v>341</v>
      </c>
      <c r="N5" s="225" t="s">
        <v>342</v>
      </c>
      <c r="O5" s="1"/>
      <c r="P5" s="1"/>
      <c r="Q5" s="1"/>
      <c r="R5" s="1"/>
    </row>
    <row r="6" spans="3:18" ht="50.25" customHeight="1">
      <c r="C6" s="19" t="s">
        <v>314</v>
      </c>
      <c r="D6" s="19" t="s">
        <v>315</v>
      </c>
      <c r="E6" s="19" t="s">
        <v>134</v>
      </c>
      <c r="F6" s="20" t="s">
        <v>316</v>
      </c>
      <c r="G6" s="19" t="s">
        <v>54</v>
      </c>
      <c r="J6" s="173" t="s">
        <v>314</v>
      </c>
      <c r="K6" s="181" t="s">
        <v>317</v>
      </c>
      <c r="L6" s="223" t="s">
        <v>321</v>
      </c>
      <c r="M6" s="205" t="s">
        <v>318</v>
      </c>
      <c r="N6" s="207" t="s">
        <v>319</v>
      </c>
      <c r="O6" s="201" t="s">
        <v>320</v>
      </c>
      <c r="P6" s="1"/>
      <c r="Q6" s="1"/>
      <c r="R6" s="1"/>
    </row>
    <row r="7" spans="3:18" ht="14.25">
      <c r="C7" s="171" t="s">
        <v>129</v>
      </c>
      <c r="D7" s="171" t="s">
        <v>322</v>
      </c>
      <c r="E7" s="171">
        <v>2021</v>
      </c>
      <c r="F7" s="179">
        <v>8.4689917936693997E-5</v>
      </c>
      <c r="G7" s="172" t="s">
        <v>323</v>
      </c>
      <c r="J7" s="171" t="s">
        <v>129</v>
      </c>
      <c r="K7" s="180" t="s">
        <v>324</v>
      </c>
      <c r="L7" s="180"/>
      <c r="M7" s="182">
        <f>'LL97 Pathway'!$W$7</f>
        <v>0.3</v>
      </c>
      <c r="N7" s="224">
        <v>0.3</v>
      </c>
      <c r="O7" s="1" t="s">
        <v>325</v>
      </c>
      <c r="P7" s="1"/>
      <c r="Q7" s="1"/>
      <c r="R7" s="1"/>
    </row>
    <row r="8" spans="3:18" ht="14.25">
      <c r="C8" s="171" t="s">
        <v>129</v>
      </c>
      <c r="D8" s="171" t="s">
        <v>322</v>
      </c>
      <c r="E8" s="171">
        <v>2022</v>
      </c>
      <c r="F8" s="179">
        <v>8.4689917936693997E-5</v>
      </c>
      <c r="G8" s="172" t="s">
        <v>323</v>
      </c>
      <c r="J8" s="171" t="s">
        <v>130</v>
      </c>
      <c r="K8" s="180" t="s">
        <v>327</v>
      </c>
      <c r="L8" s="180" t="s">
        <v>25</v>
      </c>
      <c r="M8" s="182" t="e">
        <f>'LL97 Pathway'!$W$8</f>
        <v>#N/A</v>
      </c>
      <c r="N8" s="224">
        <v>1.3</v>
      </c>
      <c r="O8" s="1" t="s">
        <v>352</v>
      </c>
      <c r="P8" s="1"/>
      <c r="Q8" s="1"/>
      <c r="R8" s="1"/>
    </row>
    <row r="9" spans="3:18" ht="14.25">
      <c r="C9" s="171" t="s">
        <v>129</v>
      </c>
      <c r="D9" s="171" t="s">
        <v>322</v>
      </c>
      <c r="E9" s="171">
        <v>2023</v>
      </c>
      <c r="F9" s="179">
        <v>8.4689917936693997E-5</v>
      </c>
      <c r="G9" s="172" t="s">
        <v>323</v>
      </c>
      <c r="J9" s="171" t="s">
        <v>130</v>
      </c>
      <c r="K9" s="180" t="s">
        <v>327</v>
      </c>
      <c r="L9" s="180" t="s">
        <v>326</v>
      </c>
      <c r="M9" s="182" t="e">
        <f>'LL97 Pathway'!$W$8</f>
        <v>#N/A</v>
      </c>
      <c r="N9" s="224">
        <v>2.6</v>
      </c>
      <c r="O9" s="1" t="s">
        <v>352</v>
      </c>
      <c r="P9" s="1"/>
      <c r="Q9" s="1"/>
      <c r="R9" s="1"/>
    </row>
    <row r="10" spans="3:18" ht="14.25">
      <c r="C10" s="171" t="s">
        <v>129</v>
      </c>
      <c r="D10" s="171" t="s">
        <v>322</v>
      </c>
      <c r="E10" s="171">
        <v>2024</v>
      </c>
      <c r="F10" s="179">
        <v>8.4689917936693997E-5</v>
      </c>
      <c r="G10" s="172"/>
      <c r="J10" s="171" t="s">
        <v>130</v>
      </c>
      <c r="K10" s="180" t="s">
        <v>327</v>
      </c>
      <c r="L10" s="180" t="s">
        <v>330</v>
      </c>
      <c r="M10" s="182" t="e">
        <f>'LL97 Pathway'!$W$8</f>
        <v>#N/A</v>
      </c>
      <c r="N10" s="224"/>
      <c r="O10" s="54"/>
      <c r="P10" s="1"/>
      <c r="Q10" s="1"/>
      <c r="R10" s="1"/>
    </row>
    <row r="11" spans="3:18" ht="14.25">
      <c r="C11" s="171" t="s">
        <v>129</v>
      </c>
      <c r="D11" s="171" t="s">
        <v>322</v>
      </c>
      <c r="E11" s="171">
        <v>2025</v>
      </c>
      <c r="F11" s="179">
        <v>8.4689917936693997E-5</v>
      </c>
      <c r="G11" s="172"/>
      <c r="J11" s="171" t="s">
        <v>132</v>
      </c>
      <c r="K11" s="180" t="s">
        <v>328</v>
      </c>
      <c r="L11" s="180"/>
      <c r="M11" s="182">
        <f>'LL97 Pathway'!$W$9</f>
        <v>40</v>
      </c>
      <c r="N11" s="224">
        <v>40</v>
      </c>
      <c r="O11" s="1" t="s">
        <v>329</v>
      </c>
      <c r="P11" s="1"/>
      <c r="Q11" s="1"/>
      <c r="R11" s="1"/>
    </row>
    <row r="12" spans="3:18" ht="14.25">
      <c r="C12" s="171" t="s">
        <v>129</v>
      </c>
      <c r="D12" s="171" t="s">
        <v>322</v>
      </c>
      <c r="E12" s="171">
        <v>2026</v>
      </c>
      <c r="F12" s="179">
        <v>8.4689917936693997E-5</v>
      </c>
      <c r="G12" s="172"/>
      <c r="J12" s="171" t="s">
        <v>131</v>
      </c>
      <c r="K12" s="180" t="s">
        <v>331</v>
      </c>
      <c r="L12" s="180"/>
      <c r="M12" s="182">
        <f>'LL97 Pathway'!$W$10</f>
        <v>4</v>
      </c>
      <c r="N12" s="224">
        <v>4</v>
      </c>
      <c r="O12" s="1" t="s">
        <v>325</v>
      </c>
      <c r="P12" s="1"/>
      <c r="Q12" s="1"/>
      <c r="R12" s="1"/>
    </row>
    <row r="13" spans="3:18" ht="14.25">
      <c r="C13" s="171" t="s">
        <v>129</v>
      </c>
      <c r="D13" s="171" t="s">
        <v>322</v>
      </c>
      <c r="E13" s="171">
        <v>2027</v>
      </c>
      <c r="F13" s="179">
        <v>8.4689917936693997E-5</v>
      </c>
      <c r="G13" s="172"/>
      <c r="J13" s="171" t="s">
        <v>255</v>
      </c>
      <c r="K13" s="180" t="s">
        <v>332</v>
      </c>
      <c r="L13" s="180"/>
      <c r="M13" s="182">
        <v>0.03</v>
      </c>
      <c r="N13" s="224">
        <v>4</v>
      </c>
      <c r="O13" s="1"/>
      <c r="P13" s="1"/>
      <c r="Q13" s="1"/>
      <c r="R13" s="1"/>
    </row>
    <row r="14" spans="3:18" ht="14.25">
      <c r="C14" s="171" t="s">
        <v>129</v>
      </c>
      <c r="D14" s="171" t="s">
        <v>322</v>
      </c>
      <c r="E14" s="171">
        <v>2028</v>
      </c>
      <c r="F14" s="179">
        <v>8.4689917936693997E-5</v>
      </c>
      <c r="G14" s="172"/>
      <c r="J14" s="171" t="s">
        <v>239</v>
      </c>
      <c r="K14" s="180" t="s">
        <v>332</v>
      </c>
      <c r="L14" s="180"/>
      <c r="M14" s="182">
        <v>0.03</v>
      </c>
      <c r="N14" s="224">
        <v>0.03</v>
      </c>
      <c r="O14" s="1"/>
      <c r="P14" s="1"/>
      <c r="Q14" s="1"/>
      <c r="R14" s="1"/>
    </row>
    <row r="15" spans="3:18" ht="14.25">
      <c r="C15" s="171" t="s">
        <v>129</v>
      </c>
      <c r="D15" s="171" t="s">
        <v>322</v>
      </c>
      <c r="E15" s="171">
        <v>2029</v>
      </c>
      <c r="F15" s="179">
        <v>8.4689917936693997E-5</v>
      </c>
      <c r="G15" s="172"/>
      <c r="J15" s="171" t="s">
        <v>241</v>
      </c>
      <c r="K15" s="180" t="s">
        <v>332</v>
      </c>
      <c r="L15" s="180"/>
      <c r="M15" s="182">
        <v>0.03</v>
      </c>
      <c r="N15" s="224">
        <v>0.03</v>
      </c>
      <c r="O15" s="1"/>
      <c r="P15" s="1"/>
      <c r="Q15" s="1"/>
      <c r="R15" s="1"/>
    </row>
    <row r="16" spans="3:18" ht="14.25">
      <c r="C16" s="171" t="s">
        <v>129</v>
      </c>
      <c r="D16" s="171" t="s">
        <v>322</v>
      </c>
      <c r="E16" s="171">
        <v>2030</v>
      </c>
      <c r="F16" s="179">
        <v>4.2497069167643614E-5</v>
      </c>
      <c r="G16" s="172"/>
      <c r="J16" s="171" t="s">
        <v>245</v>
      </c>
      <c r="K16" s="180" t="s">
        <v>332</v>
      </c>
      <c r="L16" s="180"/>
      <c r="M16" s="182">
        <v>0.03</v>
      </c>
      <c r="N16" s="224">
        <v>0.03</v>
      </c>
      <c r="O16" s="1"/>
      <c r="P16" s="1"/>
      <c r="Q16" s="1"/>
      <c r="R16" s="1"/>
    </row>
    <row r="17" spans="2:18" ht="14.25">
      <c r="C17" s="171" t="s">
        <v>129</v>
      </c>
      <c r="D17" s="171" t="s">
        <v>322</v>
      </c>
      <c r="E17" s="171">
        <v>2031</v>
      </c>
      <c r="F17" s="179">
        <v>4.2497069167643614E-5</v>
      </c>
      <c r="G17" s="172"/>
      <c r="J17" s="171" t="s">
        <v>247</v>
      </c>
      <c r="K17" s="180" t="s">
        <v>332</v>
      </c>
      <c r="L17" s="180"/>
      <c r="M17" s="182">
        <v>0.03</v>
      </c>
      <c r="N17" s="224">
        <v>0.03</v>
      </c>
      <c r="O17" s="1"/>
      <c r="P17" s="1"/>
      <c r="Q17" s="1"/>
      <c r="R17" s="1"/>
    </row>
    <row r="18" spans="2:18" ht="14.25">
      <c r="C18" s="171" t="s">
        <v>129</v>
      </c>
      <c r="D18" s="171" t="s">
        <v>322</v>
      </c>
      <c r="E18" s="171">
        <v>2032</v>
      </c>
      <c r="F18" s="179">
        <v>4.2497069167643614E-5</v>
      </c>
      <c r="G18" s="172"/>
      <c r="J18" s="171" t="s">
        <v>249</v>
      </c>
      <c r="K18" s="180" t="s">
        <v>332</v>
      </c>
      <c r="L18" s="180"/>
      <c r="M18" s="182">
        <v>0.03</v>
      </c>
      <c r="N18" s="224">
        <v>0.03</v>
      </c>
      <c r="O18" s="1"/>
      <c r="P18" s="1"/>
      <c r="Q18" s="1"/>
      <c r="R18" s="1"/>
    </row>
    <row r="19" spans="2:18" ht="14.25">
      <c r="C19" s="171" t="s">
        <v>129</v>
      </c>
      <c r="D19" s="171" t="s">
        <v>322</v>
      </c>
      <c r="E19" s="171">
        <v>2033</v>
      </c>
      <c r="F19" s="179">
        <v>4.2497069167643614E-5</v>
      </c>
      <c r="G19" s="172"/>
      <c r="J19" s="171" t="s">
        <v>251</v>
      </c>
      <c r="K19" s="180" t="s">
        <v>332</v>
      </c>
      <c r="L19" s="180"/>
      <c r="M19" s="182">
        <v>0.03</v>
      </c>
      <c r="N19" s="224">
        <v>0.03</v>
      </c>
      <c r="O19" s="1"/>
      <c r="P19" s="1"/>
      <c r="Q19" s="1"/>
      <c r="R19" s="1"/>
    </row>
    <row r="20" spans="2:18" ht="14.25">
      <c r="C20" s="171" t="s">
        <v>129</v>
      </c>
      <c r="D20" s="171" t="s">
        <v>322</v>
      </c>
      <c r="E20" s="171">
        <v>2034</v>
      </c>
      <c r="F20" s="179">
        <v>4.2497069167643614E-5</v>
      </c>
      <c r="G20" s="172"/>
      <c r="J20" s="171" t="s">
        <v>257</v>
      </c>
      <c r="K20" s="180" t="s">
        <v>332</v>
      </c>
      <c r="L20" s="180"/>
      <c r="M20" s="182">
        <v>0.03</v>
      </c>
      <c r="N20" s="224">
        <v>0.03</v>
      </c>
      <c r="O20" s="1"/>
      <c r="P20" s="1"/>
      <c r="Q20" s="1"/>
      <c r="R20" s="1"/>
    </row>
    <row r="21" spans="2:18" ht="14.25">
      <c r="B21" s="204"/>
      <c r="C21" s="171" t="s">
        <v>129</v>
      </c>
      <c r="D21" s="171" t="s">
        <v>333</v>
      </c>
      <c r="E21" s="171">
        <v>2035</v>
      </c>
      <c r="F21" s="179">
        <f>$F$20-(0.25*$F$20)</f>
        <v>3.1872801875732707E-5</v>
      </c>
      <c r="G21" s="172" t="s">
        <v>334</v>
      </c>
      <c r="J21" s="171" t="s">
        <v>259</v>
      </c>
      <c r="K21" s="180" t="s">
        <v>332</v>
      </c>
      <c r="L21" s="180"/>
      <c r="M21" s="182">
        <v>0.03</v>
      </c>
      <c r="N21" s="224">
        <v>0.03</v>
      </c>
      <c r="O21" s="1"/>
      <c r="P21" s="1"/>
      <c r="Q21" s="1"/>
      <c r="R21" s="1"/>
    </row>
    <row r="22" spans="2:18" ht="14.25">
      <c r="B22" s="204"/>
      <c r="C22" s="171" t="s">
        <v>129</v>
      </c>
      <c r="D22" s="171" t="s">
        <v>333</v>
      </c>
      <c r="E22" s="171">
        <v>2036</v>
      </c>
      <c r="F22" s="179">
        <f>$F$21</f>
        <v>3.1872801875732707E-5</v>
      </c>
      <c r="G22" s="172"/>
      <c r="J22" s="171" t="s">
        <v>261</v>
      </c>
      <c r="K22" s="180" t="s">
        <v>332</v>
      </c>
      <c r="L22" s="180"/>
      <c r="M22" s="182">
        <v>0.03</v>
      </c>
      <c r="N22" s="224">
        <v>0.03</v>
      </c>
      <c r="O22" s="1"/>
      <c r="P22" s="1"/>
      <c r="Q22" s="1"/>
      <c r="R22" s="1"/>
    </row>
    <row r="23" spans="2:18" ht="14.25">
      <c r="B23" s="204"/>
      <c r="C23" s="171" t="s">
        <v>129</v>
      </c>
      <c r="D23" s="171" t="s">
        <v>333</v>
      </c>
      <c r="E23" s="171">
        <v>2037</v>
      </c>
      <c r="F23" s="179">
        <f t="shared" ref="F23:F25" si="0">$F$21</f>
        <v>3.1872801875732707E-5</v>
      </c>
      <c r="G23" s="172"/>
      <c r="J23" s="171" t="s">
        <v>263</v>
      </c>
      <c r="K23" s="180" t="s">
        <v>332</v>
      </c>
      <c r="L23" s="180"/>
      <c r="M23" s="182">
        <v>0.03</v>
      </c>
      <c r="N23" s="224">
        <v>0.03</v>
      </c>
      <c r="O23" s="1"/>
      <c r="P23" s="1"/>
      <c r="Q23" s="1"/>
      <c r="R23" s="1"/>
    </row>
    <row r="24" spans="2:18" ht="14.25">
      <c r="B24" s="204"/>
      <c r="C24" s="171" t="s">
        <v>129</v>
      </c>
      <c r="D24" s="171" t="s">
        <v>333</v>
      </c>
      <c r="E24" s="171">
        <v>2038</v>
      </c>
      <c r="F24" s="179">
        <f t="shared" si="0"/>
        <v>3.1872801875732707E-5</v>
      </c>
      <c r="G24" s="172"/>
      <c r="J24" s="171" t="s">
        <v>265</v>
      </c>
      <c r="K24" s="180" t="s">
        <v>332</v>
      </c>
      <c r="L24" s="180"/>
      <c r="M24" s="182">
        <v>0.03</v>
      </c>
      <c r="N24" s="224">
        <v>0.03</v>
      </c>
      <c r="O24" s="1"/>
      <c r="P24" s="1"/>
      <c r="Q24" s="1"/>
      <c r="R24" s="1"/>
    </row>
    <row r="25" spans="2:18" ht="14.25">
      <c r="B25" s="204"/>
      <c r="C25" s="171" t="s">
        <v>129</v>
      </c>
      <c r="D25" s="171" t="s">
        <v>333</v>
      </c>
      <c r="E25" s="171">
        <v>2039</v>
      </c>
      <c r="F25" s="179">
        <f t="shared" si="0"/>
        <v>3.1872801875732707E-5</v>
      </c>
      <c r="G25" s="172"/>
      <c r="J25" s="171" t="s">
        <v>266</v>
      </c>
      <c r="K25" s="180" t="s">
        <v>332</v>
      </c>
      <c r="L25" s="180"/>
      <c r="M25" s="182">
        <v>0.03</v>
      </c>
      <c r="N25" s="224">
        <v>0.03</v>
      </c>
      <c r="O25" s="1"/>
      <c r="P25" s="1"/>
      <c r="Q25" s="1"/>
      <c r="R25" s="1"/>
    </row>
    <row r="26" spans="2:18" ht="14.25">
      <c r="B26" s="204"/>
      <c r="C26" s="171" t="s">
        <v>129</v>
      </c>
      <c r="D26" s="171" t="s">
        <v>333</v>
      </c>
      <c r="E26" s="171">
        <v>2040</v>
      </c>
      <c r="F26" s="179">
        <f>$F$20-(0.5*$F$20)</f>
        <v>2.1248534583821807E-5</v>
      </c>
      <c r="G26" s="172" t="s">
        <v>335</v>
      </c>
      <c r="J26" s="171" t="s">
        <v>268</v>
      </c>
      <c r="K26" s="180" t="s">
        <v>332</v>
      </c>
      <c r="L26" s="180"/>
      <c r="M26" s="182">
        <v>0.03</v>
      </c>
      <c r="N26" s="224">
        <v>0.03</v>
      </c>
      <c r="O26" s="1"/>
      <c r="P26" s="1"/>
      <c r="Q26" s="1"/>
      <c r="R26" s="1"/>
    </row>
    <row r="27" spans="2:18" ht="14.25">
      <c r="B27" s="204"/>
      <c r="C27" s="171" t="s">
        <v>129</v>
      </c>
      <c r="D27" s="171" t="s">
        <v>333</v>
      </c>
      <c r="E27" s="171">
        <v>2041</v>
      </c>
      <c r="F27" s="179">
        <f>$F$26</f>
        <v>2.1248534583821807E-5</v>
      </c>
      <c r="G27" s="172"/>
      <c r="J27" s="171" t="s">
        <v>270</v>
      </c>
      <c r="K27" s="180" t="s">
        <v>332</v>
      </c>
      <c r="L27" s="180"/>
      <c r="M27" s="182">
        <v>0.03</v>
      </c>
      <c r="N27" s="224">
        <v>0.03</v>
      </c>
      <c r="O27" s="1"/>
      <c r="P27" s="1"/>
      <c r="Q27" s="1"/>
      <c r="R27" s="1"/>
    </row>
    <row r="28" spans="2:18" ht="14.25">
      <c r="B28" s="204"/>
      <c r="C28" s="171" t="s">
        <v>129</v>
      </c>
      <c r="D28" s="171" t="s">
        <v>333</v>
      </c>
      <c r="E28" s="171">
        <v>2042</v>
      </c>
      <c r="F28" s="179">
        <f t="shared" ref="F28:F35" si="1">$F$26</f>
        <v>2.1248534583821807E-5</v>
      </c>
      <c r="G28" s="172"/>
      <c r="J28" s="171" t="s">
        <v>272</v>
      </c>
      <c r="K28" s="180" t="s">
        <v>332</v>
      </c>
      <c r="L28" s="180"/>
      <c r="M28" s="182">
        <v>0.03</v>
      </c>
      <c r="N28" s="224">
        <v>0.03</v>
      </c>
      <c r="O28" s="1"/>
      <c r="P28" s="1"/>
      <c r="Q28" s="1"/>
      <c r="R28" s="1"/>
    </row>
    <row r="29" spans="2:18" ht="14.25">
      <c r="B29" s="204"/>
      <c r="C29" s="171" t="s">
        <v>129</v>
      </c>
      <c r="D29" s="171" t="s">
        <v>333</v>
      </c>
      <c r="E29" s="171">
        <v>2043</v>
      </c>
      <c r="F29" s="179">
        <f t="shared" si="1"/>
        <v>2.1248534583821807E-5</v>
      </c>
      <c r="G29" s="172"/>
      <c r="J29" s="171" t="s">
        <v>274</v>
      </c>
      <c r="K29" s="180" t="s">
        <v>332</v>
      </c>
      <c r="L29" s="180"/>
      <c r="M29" s="182">
        <v>0.03</v>
      </c>
      <c r="N29" s="224">
        <v>0.03</v>
      </c>
      <c r="O29" s="1"/>
      <c r="P29" s="1"/>
      <c r="Q29" s="1"/>
      <c r="R29" s="1"/>
    </row>
    <row r="30" spans="2:18" ht="14.25">
      <c r="B30" s="204"/>
      <c r="C30" s="171" t="s">
        <v>129</v>
      </c>
      <c r="D30" s="171" t="s">
        <v>333</v>
      </c>
      <c r="E30" s="171">
        <v>2044</v>
      </c>
      <c r="F30" s="179">
        <f t="shared" si="1"/>
        <v>2.1248534583821807E-5</v>
      </c>
      <c r="G30" s="172"/>
      <c r="J30" s="171" t="s">
        <v>243</v>
      </c>
      <c r="K30" s="180" t="s">
        <v>332</v>
      </c>
      <c r="L30" s="180"/>
      <c r="M30" s="182">
        <v>0.03</v>
      </c>
      <c r="N30" s="224">
        <v>0.03</v>
      </c>
      <c r="O30" s="1"/>
      <c r="P30" s="1"/>
      <c r="Q30" s="1"/>
      <c r="R30" s="1"/>
    </row>
    <row r="31" spans="2:18" ht="14.25">
      <c r="B31" s="204"/>
      <c r="C31" s="171" t="s">
        <v>129</v>
      </c>
      <c r="D31" s="171" t="s">
        <v>333</v>
      </c>
      <c r="E31" s="171">
        <v>2045</v>
      </c>
      <c r="F31" s="179">
        <f t="shared" si="1"/>
        <v>2.1248534583821807E-5</v>
      </c>
      <c r="G31" s="172" t="s">
        <v>355</v>
      </c>
      <c r="J31" s="171" t="s">
        <v>253</v>
      </c>
      <c r="K31" s="180" t="s">
        <v>332</v>
      </c>
      <c r="L31" s="180"/>
      <c r="M31" s="182">
        <v>0.03</v>
      </c>
      <c r="N31" s="224">
        <v>0.03</v>
      </c>
      <c r="O31" s="1"/>
      <c r="P31" s="1"/>
      <c r="Q31" s="1"/>
      <c r="R31" s="1"/>
    </row>
    <row r="32" spans="2:18" ht="14.25">
      <c r="B32" s="204"/>
      <c r="C32" s="171" t="s">
        <v>129</v>
      </c>
      <c r="D32" s="171" t="s">
        <v>333</v>
      </c>
      <c r="E32" s="171">
        <v>2046</v>
      </c>
      <c r="F32" s="179">
        <f t="shared" si="1"/>
        <v>2.1248534583821807E-5</v>
      </c>
      <c r="G32" s="172"/>
      <c r="J32" s="171" t="s">
        <v>237</v>
      </c>
      <c r="K32" s="180" t="s">
        <v>332</v>
      </c>
      <c r="L32" s="180"/>
      <c r="M32" s="182">
        <v>0.03</v>
      </c>
      <c r="N32" s="224">
        <v>0.03</v>
      </c>
      <c r="O32" s="1"/>
      <c r="P32" s="1"/>
      <c r="Q32" s="1"/>
      <c r="R32" s="1"/>
    </row>
    <row r="33" spans="2:18" ht="14.25">
      <c r="B33" s="204"/>
      <c r="C33" s="171" t="s">
        <v>129</v>
      </c>
      <c r="D33" s="171" t="s">
        <v>333</v>
      </c>
      <c r="E33" s="171">
        <v>2047</v>
      </c>
      <c r="F33" s="179">
        <f t="shared" si="1"/>
        <v>2.1248534583821807E-5</v>
      </c>
      <c r="G33" s="172"/>
      <c r="J33" s="1"/>
      <c r="K33" s="1"/>
      <c r="L33" s="1"/>
      <c r="M33" s="1"/>
      <c r="N33" s="1"/>
      <c r="O33" s="1"/>
      <c r="P33" s="1"/>
      <c r="Q33" s="1"/>
      <c r="R33" s="1"/>
    </row>
    <row r="34" spans="2:18" ht="14.25">
      <c r="B34" s="204"/>
      <c r="C34" s="171" t="s">
        <v>129</v>
      </c>
      <c r="D34" s="171" t="s">
        <v>333</v>
      </c>
      <c r="E34" s="171">
        <v>2048</v>
      </c>
      <c r="F34" s="179">
        <f t="shared" si="1"/>
        <v>2.1248534583821807E-5</v>
      </c>
      <c r="G34" s="172"/>
      <c r="J34" s="1"/>
      <c r="K34" s="1"/>
      <c r="L34" s="1"/>
      <c r="M34" s="1"/>
      <c r="N34" s="1"/>
      <c r="O34" s="1"/>
      <c r="P34" s="1"/>
      <c r="Q34" s="1"/>
      <c r="R34" s="1"/>
    </row>
    <row r="35" spans="2:18" ht="14.25">
      <c r="B35" s="204"/>
      <c r="C35" s="171" t="s">
        <v>129</v>
      </c>
      <c r="D35" s="171" t="s">
        <v>333</v>
      </c>
      <c r="E35" s="171">
        <v>2049</v>
      </c>
      <c r="F35" s="179">
        <f t="shared" si="1"/>
        <v>2.1248534583821807E-5</v>
      </c>
      <c r="G35" s="172"/>
      <c r="J35" s="1"/>
      <c r="K35" s="1"/>
      <c r="L35" s="1"/>
      <c r="M35" s="1"/>
      <c r="N35" s="1"/>
      <c r="O35" s="1"/>
      <c r="P35" s="1"/>
      <c r="Q35" s="1"/>
      <c r="R35" s="1"/>
    </row>
    <row r="36" spans="2:18" ht="14.25">
      <c r="B36" s="204"/>
      <c r="C36" s="171" t="s">
        <v>129</v>
      </c>
      <c r="D36" s="171" t="s">
        <v>333</v>
      </c>
      <c r="E36" s="171">
        <v>2050</v>
      </c>
      <c r="F36" s="179">
        <v>0</v>
      </c>
      <c r="G36" s="172"/>
      <c r="J36" s="1"/>
      <c r="K36" s="1"/>
      <c r="L36" s="1"/>
      <c r="M36" s="1"/>
      <c r="N36" s="1"/>
      <c r="O36" s="1"/>
    </row>
    <row r="37" spans="2:18" ht="14.25">
      <c r="C37" s="203" t="s">
        <v>132</v>
      </c>
      <c r="D37" s="171" t="s">
        <v>336</v>
      </c>
      <c r="E37" s="171">
        <v>2021</v>
      </c>
      <c r="F37" s="179">
        <v>4.4929999999999998E-5</v>
      </c>
      <c r="G37" s="172" t="s">
        <v>337</v>
      </c>
      <c r="J37" s="1"/>
      <c r="K37" s="1"/>
      <c r="L37" s="1"/>
      <c r="M37" s="1"/>
      <c r="N37" s="1"/>
      <c r="O37" s="1"/>
    </row>
    <row r="38" spans="2:18" ht="14.25">
      <c r="C38" s="203" t="s">
        <v>132</v>
      </c>
      <c r="D38" s="171" t="s">
        <v>336</v>
      </c>
      <c r="E38" s="171">
        <v>2022</v>
      </c>
      <c r="F38" s="179">
        <v>4.4929999999999998E-5</v>
      </c>
      <c r="G38" s="172" t="s">
        <v>337</v>
      </c>
    </row>
    <row r="39" spans="2:18" ht="14.25">
      <c r="C39" s="171" t="s">
        <v>132</v>
      </c>
      <c r="D39" s="171" t="s">
        <v>336</v>
      </c>
      <c r="E39" s="171">
        <v>2023</v>
      </c>
      <c r="F39" s="179">
        <v>4.4929999999999998E-5</v>
      </c>
      <c r="G39" s="172" t="s">
        <v>337</v>
      </c>
    </row>
    <row r="40" spans="2:18" ht="14.25">
      <c r="C40" s="171" t="s">
        <v>132</v>
      </c>
      <c r="D40" s="171" t="s">
        <v>336</v>
      </c>
      <c r="E40" s="171">
        <v>2024</v>
      </c>
      <c r="F40" s="179">
        <v>4.4929999999999998E-5</v>
      </c>
      <c r="G40" s="172"/>
    </row>
    <row r="41" spans="2:18" ht="14.25">
      <c r="C41" s="171" t="s">
        <v>132</v>
      </c>
      <c r="D41" s="171" t="s">
        <v>336</v>
      </c>
      <c r="E41" s="171">
        <v>2025</v>
      </c>
      <c r="F41" s="179">
        <v>4.4929999999999998E-5</v>
      </c>
      <c r="G41" s="172"/>
    </row>
    <row r="42" spans="2:18" ht="14.25">
      <c r="C42" s="171" t="s">
        <v>132</v>
      </c>
      <c r="D42" s="171" t="s">
        <v>336</v>
      </c>
      <c r="E42" s="171">
        <v>2026</v>
      </c>
      <c r="F42" s="179">
        <v>4.4929999999999998E-5</v>
      </c>
      <c r="G42" s="172"/>
    </row>
    <row r="43" spans="2:18" ht="14.25">
      <c r="C43" s="171" t="s">
        <v>132</v>
      </c>
      <c r="D43" s="171" t="s">
        <v>336</v>
      </c>
      <c r="E43" s="171">
        <v>2027</v>
      </c>
      <c r="F43" s="179">
        <v>4.4929999999999998E-5</v>
      </c>
      <c r="G43" s="172"/>
    </row>
    <row r="44" spans="2:18" ht="14.25">
      <c r="C44" s="171" t="s">
        <v>132</v>
      </c>
      <c r="D44" s="171" t="s">
        <v>336</v>
      </c>
      <c r="E44" s="171">
        <v>2028</v>
      </c>
      <c r="F44" s="179">
        <v>4.4929999999999998E-5</v>
      </c>
      <c r="G44" s="172"/>
    </row>
    <row r="45" spans="2:18" ht="14.25">
      <c r="C45" s="171" t="s">
        <v>132</v>
      </c>
      <c r="D45" s="171" t="s">
        <v>336</v>
      </c>
      <c r="E45" s="171">
        <v>2029</v>
      </c>
      <c r="F45" s="179">
        <v>4.4929999999999998E-5</v>
      </c>
      <c r="G45" s="172"/>
    </row>
    <row r="46" spans="2:18" ht="14.25">
      <c r="C46" s="171" t="s">
        <v>132</v>
      </c>
      <c r="D46" s="171" t="s">
        <v>336</v>
      </c>
      <c r="E46" s="171">
        <v>2030</v>
      </c>
      <c r="F46" s="179">
        <v>4.32E-5</v>
      </c>
      <c r="G46" s="172"/>
    </row>
    <row r="47" spans="2:18" ht="14.25">
      <c r="C47" s="171" t="s">
        <v>132</v>
      </c>
      <c r="D47" s="171" t="s">
        <v>336</v>
      </c>
      <c r="E47" s="171">
        <v>2031</v>
      </c>
      <c r="F47" s="179">
        <v>4.32E-5</v>
      </c>
      <c r="G47" s="172"/>
    </row>
    <row r="48" spans="2:18" ht="14.25">
      <c r="C48" s="171" t="s">
        <v>132</v>
      </c>
      <c r="D48" s="171" t="s">
        <v>336</v>
      </c>
      <c r="E48" s="171">
        <v>2032</v>
      </c>
      <c r="F48" s="179">
        <v>4.32E-5</v>
      </c>
      <c r="G48" s="172"/>
    </row>
    <row r="49" spans="3:7" ht="14.25">
      <c r="C49" s="171" t="s">
        <v>132</v>
      </c>
      <c r="D49" s="171" t="s">
        <v>336</v>
      </c>
      <c r="E49" s="171">
        <v>2033</v>
      </c>
      <c r="F49" s="179">
        <v>4.32E-5</v>
      </c>
      <c r="G49" s="172"/>
    </row>
    <row r="50" spans="3:7" ht="14.25">
      <c r="C50" s="171" t="s">
        <v>132</v>
      </c>
      <c r="D50" s="171" t="s">
        <v>336</v>
      </c>
      <c r="E50" s="171">
        <v>2034</v>
      </c>
      <c r="F50" s="179">
        <v>4.32E-5</v>
      </c>
      <c r="G50" s="172"/>
    </row>
    <row r="51" spans="3:7" ht="14.25">
      <c r="C51" s="171" t="s">
        <v>132</v>
      </c>
      <c r="D51" s="171" t="s">
        <v>333</v>
      </c>
      <c r="E51" s="171">
        <v>2035</v>
      </c>
      <c r="F51" s="179">
        <v>3.1200000000000013E-5</v>
      </c>
      <c r="G51" s="172"/>
    </row>
    <row r="52" spans="3:7" ht="14.25">
      <c r="C52" s="171" t="s">
        <v>132</v>
      </c>
      <c r="D52" s="171" t="s">
        <v>333</v>
      </c>
      <c r="E52" s="171">
        <v>2036</v>
      </c>
      <c r="F52" s="179">
        <v>3.1200000000000013E-5</v>
      </c>
      <c r="G52" s="172"/>
    </row>
    <row r="53" spans="3:7" ht="14.25">
      <c r="C53" s="171" t="s">
        <v>132</v>
      </c>
      <c r="D53" s="171" t="s">
        <v>333</v>
      </c>
      <c r="E53" s="171">
        <v>2037</v>
      </c>
      <c r="F53" s="179">
        <v>3.1200000000000013E-5</v>
      </c>
      <c r="G53" s="172"/>
    </row>
    <row r="54" spans="3:7" ht="14.25">
      <c r="C54" s="171" t="s">
        <v>132</v>
      </c>
      <c r="D54" s="171" t="s">
        <v>333</v>
      </c>
      <c r="E54" s="171">
        <v>2038</v>
      </c>
      <c r="F54" s="179">
        <v>3.1200000000000013E-5</v>
      </c>
      <c r="G54" s="172"/>
    </row>
    <row r="55" spans="3:7" ht="14.25">
      <c r="C55" s="171" t="s">
        <v>132</v>
      </c>
      <c r="D55" s="171" t="s">
        <v>333</v>
      </c>
      <c r="E55" s="171">
        <v>2039</v>
      </c>
      <c r="F55" s="179">
        <v>3.1200000000000013E-5</v>
      </c>
      <c r="G55" s="172"/>
    </row>
    <row r="56" spans="3:7" ht="14.25">
      <c r="C56" s="171" t="s">
        <v>132</v>
      </c>
      <c r="D56" s="171" t="s">
        <v>333</v>
      </c>
      <c r="E56" s="171">
        <v>2040</v>
      </c>
      <c r="F56" s="179">
        <v>1.4400000000000008E-5</v>
      </c>
      <c r="G56" s="172"/>
    </row>
    <row r="57" spans="3:7" ht="14.25">
      <c r="C57" s="171" t="s">
        <v>132</v>
      </c>
      <c r="D57" s="171" t="s">
        <v>333</v>
      </c>
      <c r="E57" s="171">
        <v>2041</v>
      </c>
      <c r="F57" s="179">
        <v>1.4400000000000008E-5</v>
      </c>
      <c r="G57" s="172"/>
    </row>
    <row r="58" spans="3:7" ht="14.25">
      <c r="C58" s="171" t="s">
        <v>132</v>
      </c>
      <c r="D58" s="171" t="s">
        <v>333</v>
      </c>
      <c r="E58" s="171">
        <v>2042</v>
      </c>
      <c r="F58" s="179">
        <v>1.4400000000000008E-5</v>
      </c>
      <c r="G58" s="172"/>
    </row>
    <row r="59" spans="3:7" ht="14.25">
      <c r="C59" s="171" t="s">
        <v>132</v>
      </c>
      <c r="D59" s="171" t="s">
        <v>333</v>
      </c>
      <c r="E59" s="171">
        <v>2043</v>
      </c>
      <c r="F59" s="179">
        <v>1.4400000000000008E-5</v>
      </c>
      <c r="G59" s="172"/>
    </row>
    <row r="60" spans="3:7" ht="14.25">
      <c r="C60" s="171" t="s">
        <v>132</v>
      </c>
      <c r="D60" s="171" t="s">
        <v>333</v>
      </c>
      <c r="E60" s="171">
        <v>2044</v>
      </c>
      <c r="F60" s="179">
        <v>1.4400000000000008E-5</v>
      </c>
      <c r="G60" s="172"/>
    </row>
    <row r="61" spans="3:7" ht="14.25">
      <c r="C61" s="171" t="s">
        <v>132</v>
      </c>
      <c r="D61" s="171" t="s">
        <v>333</v>
      </c>
      <c r="E61" s="171">
        <v>2045</v>
      </c>
      <c r="F61" s="179">
        <v>1.4400000000000008E-5</v>
      </c>
      <c r="G61" s="172"/>
    </row>
    <row r="62" spans="3:7" ht="14.25">
      <c r="C62" s="171" t="s">
        <v>132</v>
      </c>
      <c r="D62" s="171" t="s">
        <v>333</v>
      </c>
      <c r="E62" s="171">
        <v>2046</v>
      </c>
      <c r="F62" s="179">
        <v>1.4400000000000008E-5</v>
      </c>
      <c r="G62" s="172"/>
    </row>
    <row r="63" spans="3:7" ht="14.25">
      <c r="C63" s="171" t="s">
        <v>132</v>
      </c>
      <c r="D63" s="171" t="s">
        <v>333</v>
      </c>
      <c r="E63" s="171">
        <v>2047</v>
      </c>
      <c r="F63" s="179">
        <v>1.4400000000000008E-5</v>
      </c>
      <c r="G63" s="172"/>
    </row>
    <row r="64" spans="3:7" ht="14.25">
      <c r="C64" s="171" t="s">
        <v>132</v>
      </c>
      <c r="D64" s="171" t="s">
        <v>333</v>
      </c>
      <c r="E64" s="171">
        <v>2048</v>
      </c>
      <c r="F64" s="179">
        <v>1.4400000000000008E-5</v>
      </c>
      <c r="G64" s="172"/>
    </row>
    <row r="65" spans="3:7" ht="14.25">
      <c r="C65" s="171" t="s">
        <v>132</v>
      </c>
      <c r="D65" s="171" t="s">
        <v>333</v>
      </c>
      <c r="E65" s="171">
        <v>2049</v>
      </c>
      <c r="F65" s="179">
        <v>1.4400000000000008E-5</v>
      </c>
      <c r="G65" s="172"/>
    </row>
    <row r="66" spans="3:7" ht="14.25">
      <c r="C66" s="171" t="s">
        <v>132</v>
      </c>
      <c r="D66" s="171" t="s">
        <v>333</v>
      </c>
      <c r="E66" s="171">
        <v>2050</v>
      </c>
      <c r="F66" s="179">
        <v>0</v>
      </c>
      <c r="G66" s="172"/>
    </row>
    <row r="67" spans="3:7" ht="14.25">
      <c r="C67" s="171" t="s">
        <v>130</v>
      </c>
      <c r="D67" s="171"/>
      <c r="E67" s="171"/>
      <c r="F67" s="179">
        <v>5.3109999999999998E-5</v>
      </c>
      <c r="G67" s="172"/>
    </row>
    <row r="68" spans="3:7" ht="14.25">
      <c r="C68" s="171" t="s">
        <v>131</v>
      </c>
      <c r="D68" s="171"/>
      <c r="E68" s="171"/>
      <c r="F68" s="179">
        <v>7.4209999999999996E-5</v>
      </c>
      <c r="G68" s="172"/>
    </row>
    <row r="69" spans="3:7" ht="14.25">
      <c r="C69" s="171" t="s">
        <v>255</v>
      </c>
      <c r="D69" s="171"/>
      <c r="E69" s="171"/>
      <c r="F69" s="179">
        <v>7.5290000000000006E-5</v>
      </c>
      <c r="G69" s="172"/>
    </row>
    <row r="70" spans="3:7" ht="14.25">
      <c r="C70" s="171" t="s">
        <v>239</v>
      </c>
      <c r="D70" s="171"/>
      <c r="E70" s="171"/>
      <c r="F70" s="179">
        <v>6.5019999999999998E-5</v>
      </c>
      <c r="G70" s="172"/>
    </row>
    <row r="71" spans="3:7" ht="14.25">
      <c r="C71" s="171" t="s">
        <v>241</v>
      </c>
      <c r="D71" s="171"/>
      <c r="E71" s="171"/>
      <c r="F71" s="179">
        <v>6.8969999999999999E-5</v>
      </c>
      <c r="G71" s="172"/>
    </row>
    <row r="72" spans="3:7" ht="14.25">
      <c r="C72" s="171" t="s">
        <v>245</v>
      </c>
      <c r="D72" s="171"/>
      <c r="E72" s="171"/>
      <c r="F72" s="179">
        <v>7.4209999999999996E-5</v>
      </c>
      <c r="G72" s="172"/>
    </row>
    <row r="73" spans="3:7" ht="14.25">
      <c r="C73" s="171" t="s">
        <v>247</v>
      </c>
      <c r="D73" s="171"/>
      <c r="E73" s="171"/>
      <c r="F73" s="179">
        <v>7.3499999999999998E-5</v>
      </c>
      <c r="G73" s="172"/>
    </row>
    <row r="74" spans="3:7" ht="14.25">
      <c r="C74" s="171" t="s">
        <v>249</v>
      </c>
      <c r="D74" s="171"/>
      <c r="E74" s="171"/>
      <c r="F74" s="179">
        <v>5.9849999999999998E-5</v>
      </c>
      <c r="G74" s="172"/>
    </row>
    <row r="75" spans="3:7" ht="14.25">
      <c r="C75" s="171" t="s">
        <v>251</v>
      </c>
      <c r="D75" s="171"/>
      <c r="E75" s="171"/>
      <c r="F75" s="179">
        <v>6.6210000000000005E-5</v>
      </c>
      <c r="G75" s="172"/>
    </row>
    <row r="76" spans="3:7" ht="14.25">
      <c r="C76" s="171" t="s">
        <v>257</v>
      </c>
      <c r="D76" s="171"/>
      <c r="E76" s="171"/>
      <c r="F76" s="179">
        <v>7.0469999999999994E-5</v>
      </c>
      <c r="G76" s="172"/>
    </row>
    <row r="77" spans="3:7" ht="14.25">
      <c r="C77" s="171" t="s">
        <v>259</v>
      </c>
      <c r="D77" s="171"/>
      <c r="E77" s="171"/>
      <c r="F77" s="179">
        <v>6.5190000000000004E-5</v>
      </c>
      <c r="G77" s="172"/>
    </row>
    <row r="78" spans="3:7" ht="14.25">
      <c r="C78" s="171" t="s">
        <v>261</v>
      </c>
      <c r="D78" s="171"/>
      <c r="E78" s="171"/>
      <c r="F78" s="179">
        <v>6.9109999999999994E-5</v>
      </c>
      <c r="G78" s="172"/>
    </row>
    <row r="79" spans="3:7" ht="14.25">
      <c r="C79" s="171" t="s">
        <v>263</v>
      </c>
      <c r="D79" s="171"/>
      <c r="E79" s="171"/>
      <c r="F79" s="179">
        <v>7.7689999999999996E-5</v>
      </c>
      <c r="G79" s="172"/>
    </row>
    <row r="80" spans="3:7" ht="14.25">
      <c r="C80" s="171" t="s">
        <v>265</v>
      </c>
      <c r="D80" s="171"/>
      <c r="E80" s="171"/>
      <c r="F80" s="179">
        <v>6.8269999999999995E-5</v>
      </c>
      <c r="G80" s="172"/>
    </row>
    <row r="81" spans="3:7" ht="14.25">
      <c r="C81" s="171" t="s">
        <v>266</v>
      </c>
      <c r="D81" s="171"/>
      <c r="E81" s="171"/>
      <c r="F81" s="179">
        <v>7.6470000000000005E-5</v>
      </c>
      <c r="G81" s="172"/>
    </row>
    <row r="82" spans="3:7" ht="14.25">
      <c r="C82" s="171" t="s">
        <v>268</v>
      </c>
      <c r="D82" s="171"/>
      <c r="E82" s="171"/>
      <c r="F82" s="179">
        <v>7.0270000000000003E-5</v>
      </c>
      <c r="G82" s="172"/>
    </row>
    <row r="83" spans="3:7" ht="14.25">
      <c r="C83" s="171" t="s">
        <v>270</v>
      </c>
      <c r="D83" s="171"/>
      <c r="E83" s="171"/>
      <c r="F83" s="179">
        <v>6.4250000000000003E-5</v>
      </c>
      <c r="G83" s="172"/>
    </row>
    <row r="84" spans="3:7" ht="14.25">
      <c r="C84" s="171" t="s">
        <v>272</v>
      </c>
      <c r="D84" s="171"/>
      <c r="E84" s="171"/>
      <c r="F84" s="179">
        <v>6.8020000000000003E-5</v>
      </c>
      <c r="G84" s="172"/>
    </row>
    <row r="85" spans="3:7" ht="14.25">
      <c r="C85" s="171" t="s">
        <v>274</v>
      </c>
      <c r="D85" s="171"/>
      <c r="E85" s="171"/>
      <c r="F85" s="179">
        <v>7.2589999999999994E-5</v>
      </c>
      <c r="G85" s="172"/>
    </row>
    <row r="86" spans="3:7" ht="14.25">
      <c r="C86" s="171" t="s">
        <v>243</v>
      </c>
      <c r="D86" s="171"/>
      <c r="E86" s="171"/>
      <c r="F86" s="179">
        <v>4.689E-5</v>
      </c>
      <c r="G86" s="172"/>
    </row>
    <row r="87" spans="3:7" ht="14.25">
      <c r="C87" s="171" t="s">
        <v>253</v>
      </c>
      <c r="D87" s="171"/>
      <c r="E87" s="171"/>
      <c r="F87" s="179">
        <v>5.9249999999999997E-5</v>
      </c>
      <c r="G87" s="172"/>
    </row>
    <row r="88" spans="3:7" ht="14.25">
      <c r="C88" s="171" t="s">
        <v>237</v>
      </c>
      <c r="D88" s="171"/>
      <c r="E88" s="171"/>
      <c r="F88" s="179">
        <v>7.3889999999999999E-5</v>
      </c>
      <c r="G88" s="172"/>
    </row>
  </sheetData>
  <sheetProtection algorithmName="SHA-512" hashValue="YkB728XNB/z7md9yCVWJXI+ydfPY3fZUvGVcZZ9UQEiv3DKIaLWnFD/z+EqGnkj3FUnM23ykE22NLgsfm096yg==" saltValue="3McRW+W+WXsFDnl9bEKxLw==" spinCount="100000" sheet="1" objects="1" scenarios="1"/>
  <pageMargins left="0.7" right="0.7" top="0.75" bottom="0.75" header="0.3" footer="0.3"/>
  <drawing r:id="rId1"/>
  <legacy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ebc571-999e-4e71-a978-107aef08847b">
      <Terms xmlns="http://schemas.microsoft.com/office/infopath/2007/PartnerControls"/>
    </lcf76f155ced4ddcb4097134ff3c332f>
    <TaxCatchAll xmlns="43bfd20f-d862-49f9-bdf7-0539a0231ce1" xsi:nil="true"/>
    <link xmlns="3febc571-999e-4e71-a978-107aef08847b">
      <Url xsi:nil="true"/>
      <Description xsi:nil="true"/>
    </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3446CC6322EE649981FA3B019705181" ma:contentTypeVersion="16" ma:contentTypeDescription="Create a new document." ma:contentTypeScope="" ma:versionID="bd6ede14fa770dffa5e678da4408ef9a">
  <xsd:schema xmlns:xsd="http://www.w3.org/2001/XMLSchema" xmlns:xs="http://www.w3.org/2001/XMLSchema" xmlns:p="http://schemas.microsoft.com/office/2006/metadata/properties" xmlns:ns2="3febc571-999e-4e71-a978-107aef08847b" xmlns:ns3="43bfd20f-d862-49f9-bdf7-0539a0231ce1" targetNamespace="http://schemas.microsoft.com/office/2006/metadata/properties" ma:root="true" ma:fieldsID="16f6bb0727b8ed48d733e6b12a8062c6" ns2:_="" ns3:_="">
    <xsd:import namespace="3febc571-999e-4e71-a978-107aef08847b"/>
    <xsd:import namespace="43bfd20f-d862-49f9-bdf7-0539a0231c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c571-999e-4e71-a978-107aef088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bfd20f-d862-49f9-bdf7-0539a0231c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c60ffd7-866a-4bb5-b0db-9980088c1e43}" ma:internalName="TaxCatchAll" ma:showField="CatchAllData" ma:web="43bfd20f-d862-49f9-bdf7-0539a0231c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B2D06C-8875-4F3C-B797-4F3BEF9B558F}">
  <ds:schemaRefs>
    <ds:schemaRef ds:uri="http://schemas.microsoft.com/DataMashup"/>
  </ds:schemaRefs>
</ds:datastoreItem>
</file>

<file path=customXml/itemProps2.xml><?xml version="1.0" encoding="utf-8"?>
<ds:datastoreItem xmlns:ds="http://schemas.openxmlformats.org/officeDocument/2006/customXml" ds:itemID="{FF552710-041D-4347-BBDB-7280CFE143B6}">
  <ds:schemaRefs>
    <ds:schemaRef ds:uri="3febc571-999e-4e71-a978-107aef08847b"/>
    <ds:schemaRef ds:uri="http://www.w3.org/XML/1998/namespace"/>
    <ds:schemaRef ds:uri="http://schemas.microsoft.com/office/2006/documentManagement/types"/>
    <ds:schemaRef ds:uri="43bfd20f-d862-49f9-bdf7-0539a0231ce1"/>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419AE5C4-69CE-48B5-8A36-D9302D9D505A}">
  <ds:schemaRefs>
    <ds:schemaRef ds:uri="http://schemas.microsoft.com/sharepoint/v3/contenttype/forms"/>
  </ds:schemaRefs>
</ds:datastoreItem>
</file>

<file path=customXml/itemProps4.xml><?xml version="1.0" encoding="utf-8"?>
<ds:datastoreItem xmlns:ds="http://schemas.openxmlformats.org/officeDocument/2006/customXml" ds:itemID="{750EBC4E-17EF-4098-ADDC-D82218782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c571-999e-4e71-a978-107aef08847b"/>
    <ds:schemaRef ds:uri="43bfd20f-d862-49f9-bdf7-0539a0231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Readme</vt:lpstr>
      <vt:lpstr>LL97 Pathway</vt:lpstr>
      <vt:lpstr>Pre-filled Sample</vt:lpstr>
      <vt:lpstr>Pre-filled Sample-Old</vt:lpstr>
      <vt:lpstr>Adjustable Lists</vt:lpstr>
      <vt:lpstr>'LL97 Pathway'!BaseYr</vt:lpstr>
      <vt:lpstr>'Pre-filled Sample'!BaseYr</vt:lpstr>
      <vt:lpstr>BaseYr</vt:lpstr>
      <vt:lpstr>CarbonIntensity_NG</vt:lpstr>
      <vt:lpstr>CarbonIntensity_Oil2</vt:lpstr>
      <vt:lpstr>EndYr</vt:lpstr>
      <vt:lpstr>PeriodDuration</vt:lpstr>
      <vt:lpstr>'LL97 Pathway'!Print_Area</vt:lpstr>
      <vt:lpstr>'Pre-filled Sample'!Print_Area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Zhen Ren</dc:creator>
  <cp:keywords/>
  <dc:description/>
  <cp:lastModifiedBy>Leone, Jennifer (HPD)</cp:lastModifiedBy>
  <cp:revision/>
  <cp:lastPrinted>2025-06-23T14:42:10Z</cp:lastPrinted>
  <dcterms:created xsi:type="dcterms:W3CDTF">2024-08-05T17:32:47Z</dcterms:created>
  <dcterms:modified xsi:type="dcterms:W3CDTF">2025-06-23T14:59:00Z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2025-05-21T10:15:27Z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8cf0857d-05c1-4528-87ac-f1ec3562872e</vt:lpwstr>
  </property>
  <property fmtid="{D5CDD505-2E9C-101B-9397-08002B2CF9AE}" pid="8" name="MSIP_Label_ebba276f-0474-4e48-a2bc-69b0eb22318c_ContentBits">
    <vt:lpwstr>0</vt:lpwstr>
  </property>
  <property fmtid="{D5CDD505-2E9C-101B-9397-08002B2CF9AE}" pid="9" name="MSIP_Label_ebba276f-0474-4e48-a2bc-69b0eb22318c_Tag">
    <vt:lpwstr>10, 3, 0, 2</vt:lpwstr>
  </property>
  <property fmtid="{D5CDD505-2E9C-101B-9397-08002B2CF9AE}" pid="10" name="ContentTypeId">
    <vt:lpwstr>0x01010093446CC6322EE649981FA3B019705181</vt:lpwstr>
  </property>
  <property fmtid="{D5CDD505-2E9C-101B-9397-08002B2CF9AE}" pid="11" name="MediaServiceImageTags">
    <vt:lpwstr/>
  </property>
</Properties>
</file>