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ime Duguay\Documents\Downloads\"/>
    </mc:Choice>
  </mc:AlternateContent>
  <xr:revisionPtr revIDLastSave="0" documentId="13_ncr:1_{317BCBBE-CDAF-434C-9E99-C2A017900165}" xr6:coauthVersionLast="45" xr6:coauthVersionMax="45" xr10:uidLastSave="{00000000-0000-0000-0000-000000000000}"/>
  <bookViews>
    <workbookView xWindow="-110" yWindow="-110" windowWidth="19420" windowHeight="10420" tabRatio="605" firstSheet="2" activeTab="6" xr2:uid="{00000000-000D-0000-FFFF-FFFF00000000}"/>
  </bookViews>
  <sheets>
    <sheet name="Project Overview" sheetId="25" r:id="rId1"/>
    <sheet name="S+U" sheetId="1" r:id="rId2"/>
    <sheet name="Dev Budget" sheetId="2" r:id="rId3"/>
    <sheet name="Const. Loan Interest" sheetId="24" r:id="rId4"/>
    <sheet name="Sale Proceeds OLD" sheetId="22" state="hidden" r:id="rId5"/>
    <sheet name="Permanent Loan" sheetId="10" state="hidden" r:id="rId6"/>
    <sheet name="Sale Proceeds" sheetId="30" r:id="rId7"/>
    <sheet name="HH Factor" sheetId="26" state="hidden" r:id="rId8"/>
    <sheet name="CAM Charges &amp; Cashflow" sheetId="31" r:id="rId9"/>
    <sheet name="Project Sellout" sheetId="3" r:id="rId10"/>
    <sheet name="Draw Schedule" sheetId="32" r:id="rId11"/>
  </sheets>
  <definedNames>
    <definedName name="_xlnm._FilterDatabase" localSheetId="6" hidden="1">'Sale Proceeds'!#REF!</definedName>
    <definedName name="_xlnm._FilterDatabase" localSheetId="4" hidden="1">'Sale Proceeds OLD'!#REF!</definedName>
    <definedName name="Average_NSF" localSheetId="4">INDEX(#REF!,MATCH('Sale Proceeds OLD'!#REF!,#REF!,0),1): INDEX(#REF!,MATCH('Sale Proceeds OLD'!#REF!,#REF!,1),1)</definedName>
    <definedName name="CAM" localSheetId="8">'CAM Charges &amp; Cashflow'!$C$27</definedName>
    <definedName name="CAM">'Project Sellout'!#REF!</definedName>
    <definedName name="FIRST" localSheetId="8">#REF!</definedName>
    <definedName name="FIRST">#REF!</definedName>
    <definedName name="GSF">'Project Overview'!$B$13</definedName>
    <definedName name="NOI" localSheetId="8">#REF!</definedName>
    <definedName name="NOI">#REF!</definedName>
    <definedName name="NSF" localSheetId="8">#REF!</definedName>
    <definedName name="NSF">#REF!</definedName>
    <definedName name="_xlnm.Print_Area" localSheetId="8">'CAM Charges &amp; Cashflow'!$A$1:$R$51</definedName>
    <definedName name="_xlnm.Print_Area" localSheetId="3">'Const. Loan Interest'!$A$1:$F$23</definedName>
    <definedName name="_xlnm.Print_Area" localSheetId="2">'Dev Budget'!$A$1:$F$75</definedName>
    <definedName name="_xlnm.Print_Area" localSheetId="5">'Permanent Loan'!$A$4:$L$39</definedName>
    <definedName name="_xlnm.Print_Area" localSheetId="9">'Project Sellout'!$A$1:$R$25</definedName>
    <definedName name="_xlnm.Print_Area" localSheetId="1">'S+U'!$A$1:$D$30</definedName>
    <definedName name="_xlnm.Print_Area" localSheetId="6">'Sale Proceeds'!$A$1:$E$65</definedName>
    <definedName name="_xlnm.Print_Area" localSheetId="4">'Sale Proceeds OLD'!$A$1:$E$64</definedName>
    <definedName name="SalesRange" localSheetId="8">INDEX(#REF!,MATCH(#REF!,#REF!,0),0):INDEX(#REF!,MATCH(#REF!,#REF!,0),1)+#REF!</definedName>
    <definedName name="SalesRange" localSheetId="6">INDEX(#REF!,MATCH('Sale Proceeds'!#REF!,#REF!,0),0):INDEX(#REF!,MATCH('Sale Proceeds'!#REF!,#REF!,0),1)+'Sale Proceeds'!#REF!</definedName>
    <definedName name="SalesRange" localSheetId="4">INDEX(#REF!,MATCH('Sale Proceeds OLD'!#REF!,#REF!,0),0):INDEX(#REF!,MATCH('Sale Proceeds OLD'!#REF!,#REF!,0),1)+'Sale Proceeds OLD'!#REF!</definedName>
    <definedName name="SalesRange">INDEX(#REF!,MATCH(#REF!,#REF!,0),0):INDEX(#REF!,MATCH(#REF!,#REF!,0),1)+#REF!</definedName>
    <definedName name="SECOND" localSheetId="8">#REF!</definedName>
    <definedName name="SECOND">#REF!</definedName>
    <definedName name="solver_eng" localSheetId="1" hidden="1">1</definedName>
    <definedName name="solver_neg" localSheetId="1" hidden="1">1</definedName>
    <definedName name="solver_num" localSheetId="1" hidden="1">0</definedName>
    <definedName name="solver_opt" localSheetId="1" hidden="1">'S+U'!$C$57</definedName>
    <definedName name="solver_typ" localSheetId="1" hidden="1">3</definedName>
    <definedName name="solver_val" localSheetId="1" hidden="1">0</definedName>
    <definedName name="solver_ver" localSheetId="1" hidden="1">3</definedName>
    <definedName name="TDC">'Dev Budget'!$B$75</definedName>
    <definedName name="TOTALAHC">'Project Overview'!$D$40</definedName>
    <definedName name="TOTALDU">'Project Overview'!$E$3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2" l="1"/>
  <c r="E79" i="30"/>
  <c r="B9" i="25" s="1"/>
  <c r="B13" i="25" s="1"/>
  <c r="F5" i="25"/>
  <c r="E33" i="2" l="1"/>
  <c r="B20" i="24"/>
  <c r="D22" i="30"/>
  <c r="C45" i="31"/>
  <c r="D45" i="31"/>
  <c r="E45" i="31"/>
  <c r="F45" i="31"/>
  <c r="G45" i="31"/>
  <c r="H45" i="31"/>
  <c r="I45" i="31"/>
  <c r="J45" i="31"/>
  <c r="K45" i="31"/>
  <c r="L45" i="31"/>
  <c r="M45" i="31"/>
  <c r="N45" i="31"/>
  <c r="O45" i="31"/>
  <c r="P45" i="31"/>
  <c r="Q45" i="31"/>
  <c r="C10" i="31"/>
  <c r="M24" i="30"/>
  <c r="M25" i="30"/>
  <c r="M26" i="30"/>
  <c r="M27" i="30"/>
  <c r="M28" i="30"/>
  <c r="M29" i="30"/>
  <c r="M30" i="30"/>
  <c r="M31" i="30"/>
  <c r="M32" i="30"/>
  <c r="M33" i="30"/>
  <c r="M34" i="30"/>
  <c r="M35" i="30"/>
  <c r="M36" i="30"/>
  <c r="M37" i="30"/>
  <c r="M38" i="30"/>
  <c r="M39" i="30"/>
  <c r="M40" i="30"/>
  <c r="M41" i="30"/>
  <c r="M42" i="30"/>
  <c r="M43" i="30"/>
  <c r="M44" i="30"/>
  <c r="M45" i="30"/>
  <c r="M46" i="30"/>
  <c r="M47" i="30"/>
  <c r="M48" i="30"/>
  <c r="M49" i="30"/>
  <c r="M50" i="30"/>
  <c r="M51" i="30"/>
  <c r="M52" i="30"/>
  <c r="M53" i="30"/>
  <c r="M54" i="30"/>
  <c r="M55" i="30"/>
  <c r="M56" i="30"/>
  <c r="M57" i="30"/>
  <c r="M58" i="30"/>
  <c r="M59" i="30"/>
  <c r="M60" i="30"/>
  <c r="M61" i="30"/>
  <c r="M62" i="30"/>
  <c r="M63" i="30"/>
  <c r="M64" i="30"/>
  <c r="M65" i="30"/>
  <c r="M66" i="30"/>
  <c r="M67" i="30"/>
  <c r="M68" i="30"/>
  <c r="M69" i="30"/>
  <c r="M70" i="30"/>
  <c r="M71" i="30"/>
  <c r="M72" i="30"/>
  <c r="M73" i="30"/>
  <c r="M74" i="30"/>
  <c r="M75" i="30"/>
  <c r="M76" i="30"/>
  <c r="M77" i="30"/>
  <c r="M78" i="30"/>
  <c r="M23" i="30"/>
  <c r="D65" i="2"/>
  <c r="D1" i="31"/>
  <c r="C19" i="31" s="1"/>
  <c r="B10" i="32"/>
  <c r="B11" i="32"/>
  <c r="B12" i="32"/>
  <c r="B13" i="32"/>
  <c r="B14" i="32"/>
  <c r="C75" i="32"/>
  <c r="D56" i="32"/>
  <c r="C56" i="32"/>
  <c r="D42" i="32"/>
  <c r="C42" i="32"/>
  <c r="C6" i="32"/>
  <c r="C16" i="32"/>
  <c r="C34" i="32"/>
  <c r="C28" i="3"/>
  <c r="B32" i="3"/>
  <c r="C31" i="3"/>
  <c r="F76" i="32" s="1"/>
  <c r="F77" i="32" s="1"/>
  <c r="G74" i="32" s="1"/>
  <c r="G77" i="32" s="1"/>
  <c r="H74" i="32" s="1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D34" i="32"/>
  <c r="D16" i="32"/>
  <c r="D6" i="32"/>
  <c r="G61" i="32"/>
  <c r="G56" i="32"/>
  <c r="G42" i="32"/>
  <c r="G34" i="32"/>
  <c r="G65" i="32"/>
  <c r="G16" i="32"/>
  <c r="G6" i="32"/>
  <c r="H61" i="32"/>
  <c r="H56" i="32"/>
  <c r="H42" i="32"/>
  <c r="H34" i="32"/>
  <c r="H16" i="32"/>
  <c r="H6" i="32"/>
  <c r="I61" i="32"/>
  <c r="I56" i="32"/>
  <c r="I42" i="32"/>
  <c r="I34" i="32"/>
  <c r="I65" i="32"/>
  <c r="I16" i="32"/>
  <c r="I6" i="32"/>
  <c r="J61" i="32"/>
  <c r="J56" i="32"/>
  <c r="J42" i="32"/>
  <c r="J34" i="32"/>
  <c r="J65" i="32"/>
  <c r="J16" i="32"/>
  <c r="J6" i="32"/>
  <c r="K61" i="32"/>
  <c r="K56" i="32"/>
  <c r="K42" i="32"/>
  <c r="K34" i="32"/>
  <c r="K16" i="32"/>
  <c r="K6" i="32"/>
  <c r="L61" i="32"/>
  <c r="L56" i="32"/>
  <c r="L42" i="32"/>
  <c r="L34" i="32"/>
  <c r="L65" i="32"/>
  <c r="L16" i="32"/>
  <c r="L6" i="32"/>
  <c r="M61" i="32"/>
  <c r="M56" i="32"/>
  <c r="M42" i="32"/>
  <c r="M34" i="32"/>
  <c r="M65" i="32" s="1"/>
  <c r="M16" i="32"/>
  <c r="M6" i="32"/>
  <c r="N61" i="32"/>
  <c r="N56" i="32"/>
  <c r="N42" i="32"/>
  <c r="N34" i="32"/>
  <c r="N16" i="32"/>
  <c r="N6" i="32"/>
  <c r="O61" i="32"/>
  <c r="O56" i="32"/>
  <c r="O42" i="32"/>
  <c r="O34" i="32"/>
  <c r="O16" i="32"/>
  <c r="O6" i="32"/>
  <c r="P61" i="32"/>
  <c r="P56" i="32"/>
  <c r="P42" i="32"/>
  <c r="P34" i="32"/>
  <c r="P65" i="32"/>
  <c r="P16" i="32"/>
  <c r="P6" i="32"/>
  <c r="Q61" i="32"/>
  <c r="Q56" i="32"/>
  <c r="Q42" i="32"/>
  <c r="Q34" i="32"/>
  <c r="Q16" i="32"/>
  <c r="Q6" i="32"/>
  <c r="R61" i="32"/>
  <c r="R56" i="32"/>
  <c r="R42" i="32"/>
  <c r="R34" i="32"/>
  <c r="R65" i="32"/>
  <c r="R16" i="32"/>
  <c r="R6" i="32"/>
  <c r="S61" i="32"/>
  <c r="S56" i="32"/>
  <c r="S42" i="32"/>
  <c r="S34" i="32"/>
  <c r="S65" i="32"/>
  <c r="S16" i="32"/>
  <c r="S6" i="32"/>
  <c r="T61" i="32"/>
  <c r="T56" i="32"/>
  <c r="T42" i="32"/>
  <c r="T34" i="32"/>
  <c r="T16" i="32"/>
  <c r="T6" i="32"/>
  <c r="U61" i="32"/>
  <c r="U56" i="32"/>
  <c r="U42" i="32"/>
  <c r="U34" i="32"/>
  <c r="U65" i="32"/>
  <c r="U16" i="32"/>
  <c r="U6" i="32"/>
  <c r="V61" i="32"/>
  <c r="V56" i="32"/>
  <c r="V42" i="32"/>
  <c r="V34" i="32"/>
  <c r="V65" i="32" s="1"/>
  <c r="V16" i="32"/>
  <c r="V6" i="32"/>
  <c r="W61" i="32"/>
  <c r="W56" i="32"/>
  <c r="W42" i="32"/>
  <c r="W34" i="32"/>
  <c r="W16" i="32"/>
  <c r="W6" i="32"/>
  <c r="X61" i="32"/>
  <c r="X56" i="32"/>
  <c r="X42" i="32"/>
  <c r="X34" i="32"/>
  <c r="X16" i="32"/>
  <c r="X6" i="32"/>
  <c r="Y61" i="32"/>
  <c r="Y56" i="32"/>
  <c r="Y42" i="32"/>
  <c r="Y34" i="32"/>
  <c r="Y65" i="32"/>
  <c r="Y16" i="32"/>
  <c r="Y6" i="32"/>
  <c r="Z61" i="32"/>
  <c r="Z56" i="32"/>
  <c r="Z42" i="32"/>
  <c r="Z34" i="32"/>
  <c r="Z16" i="32"/>
  <c r="Z6" i="32"/>
  <c r="AA61" i="32"/>
  <c r="AA56" i="32"/>
  <c r="AA42" i="32"/>
  <c r="AA34" i="32"/>
  <c r="AA65" i="32"/>
  <c r="AA16" i="32"/>
  <c r="AA6" i="32"/>
  <c r="AB61" i="32"/>
  <c r="AB56" i="32"/>
  <c r="AB42" i="32"/>
  <c r="AB34" i="32"/>
  <c r="AB65" i="32"/>
  <c r="AB16" i="32"/>
  <c r="AB6" i="32"/>
  <c r="AC61" i="32"/>
  <c r="AC56" i="32"/>
  <c r="AC42" i="32"/>
  <c r="AC34" i="32"/>
  <c r="AC16" i="32"/>
  <c r="AC6" i="32"/>
  <c r="AD61" i="32"/>
  <c r="AD56" i="32"/>
  <c r="AD42" i="32"/>
  <c r="AD34" i="32"/>
  <c r="AD65" i="32"/>
  <c r="AD16" i="32"/>
  <c r="AD6" i="32"/>
  <c r="AE61" i="32"/>
  <c r="AE56" i="32"/>
  <c r="AE42" i="32"/>
  <c r="AE34" i="32"/>
  <c r="AE65" i="32" s="1"/>
  <c r="AE16" i="32"/>
  <c r="AE6" i="32"/>
  <c r="AF61" i="32"/>
  <c r="AF56" i="32"/>
  <c r="AF42" i="32"/>
  <c r="AF34" i="32"/>
  <c r="AF16" i="32"/>
  <c r="AF6" i="32"/>
  <c r="AG61" i="32"/>
  <c r="AG56" i="32"/>
  <c r="AG42" i="32"/>
  <c r="AG34" i="32"/>
  <c r="AG16" i="32"/>
  <c r="AG6" i="32"/>
  <c r="F61" i="32"/>
  <c r="F56" i="32"/>
  <c r="F42" i="32"/>
  <c r="F34" i="32"/>
  <c r="F65" i="32"/>
  <c r="F16" i="32"/>
  <c r="F6" i="32"/>
  <c r="B12" i="2"/>
  <c r="B9" i="32"/>
  <c r="B21" i="2"/>
  <c r="B15" i="32" s="1"/>
  <c r="B22" i="2"/>
  <c r="B16" i="32"/>
  <c r="B20" i="32"/>
  <c r="B21" i="32"/>
  <c r="B22" i="32"/>
  <c r="B23" i="32"/>
  <c r="B24" i="32"/>
  <c r="B25" i="32"/>
  <c r="B26" i="32"/>
  <c r="B27" i="32"/>
  <c r="B28" i="32"/>
  <c r="B29" i="32"/>
  <c r="B30" i="32"/>
  <c r="B31" i="32"/>
  <c r="B32" i="32"/>
  <c r="B33" i="32"/>
  <c r="B40" i="2"/>
  <c r="B38" i="32"/>
  <c r="B40" i="32"/>
  <c r="B48" i="32"/>
  <c r="B50" i="32"/>
  <c r="B53" i="32"/>
  <c r="B54" i="32"/>
  <c r="B55" i="32"/>
  <c r="B5" i="32"/>
  <c r="C20" i="3"/>
  <c r="D20" i="3"/>
  <c r="C13" i="3"/>
  <c r="D13" i="3"/>
  <c r="E13" i="3"/>
  <c r="F13" i="3"/>
  <c r="G13" i="3"/>
  <c r="E20" i="3"/>
  <c r="F20" i="3"/>
  <c r="C22" i="31"/>
  <c r="C13" i="31"/>
  <c r="B4" i="31"/>
  <c r="A4" i="31"/>
  <c r="B3" i="31"/>
  <c r="A3" i="31"/>
  <c r="B2" i="31"/>
  <c r="A2" i="31"/>
  <c r="B1" i="31"/>
  <c r="A1" i="31"/>
  <c r="N15" i="30"/>
  <c r="N16" i="30"/>
  <c r="N17" i="30"/>
  <c r="N18" i="30"/>
  <c r="N14" i="30"/>
  <c r="M15" i="30"/>
  <c r="M16" i="30"/>
  <c r="M17" i="30"/>
  <c r="M18" i="30"/>
  <c r="M14" i="30"/>
  <c r="G20" i="3"/>
  <c r="H20" i="3"/>
  <c r="C79" i="30"/>
  <c r="B91" i="2"/>
  <c r="B51" i="2" s="1"/>
  <c r="P23" i="30"/>
  <c r="P24" i="30"/>
  <c r="P25" i="30"/>
  <c r="P26" i="30"/>
  <c r="P27" i="30"/>
  <c r="P28" i="30"/>
  <c r="P29" i="30"/>
  <c r="P30" i="30"/>
  <c r="P31" i="30"/>
  <c r="P32" i="30"/>
  <c r="P33" i="30"/>
  <c r="P34" i="30"/>
  <c r="P35" i="30"/>
  <c r="P36" i="30"/>
  <c r="P37" i="30"/>
  <c r="P38" i="30"/>
  <c r="P39" i="30"/>
  <c r="P40" i="30"/>
  <c r="P41" i="30"/>
  <c r="P42" i="30"/>
  <c r="P43" i="30"/>
  <c r="P44" i="30"/>
  <c r="P45" i="30"/>
  <c r="P46" i="30"/>
  <c r="P47" i="30"/>
  <c r="P48" i="30"/>
  <c r="P49" i="30"/>
  <c r="P50" i="30"/>
  <c r="P51" i="30"/>
  <c r="P52" i="30"/>
  <c r="P53" i="30"/>
  <c r="P54" i="30"/>
  <c r="P55" i="30"/>
  <c r="P56" i="30"/>
  <c r="P57" i="30"/>
  <c r="P58" i="30"/>
  <c r="P59" i="30"/>
  <c r="P60" i="30"/>
  <c r="P61" i="30"/>
  <c r="P62" i="30"/>
  <c r="P63" i="30"/>
  <c r="P64" i="30"/>
  <c r="P65" i="30"/>
  <c r="P66" i="30"/>
  <c r="P67" i="30"/>
  <c r="P68" i="30"/>
  <c r="P69" i="30"/>
  <c r="P70" i="30"/>
  <c r="P71" i="30"/>
  <c r="P72" i="30"/>
  <c r="P73" i="30"/>
  <c r="P74" i="30"/>
  <c r="P75" i="30"/>
  <c r="P76" i="30"/>
  <c r="P77" i="30"/>
  <c r="P78" i="30"/>
  <c r="P22" i="30"/>
  <c r="L23" i="30"/>
  <c r="L24" i="30"/>
  <c r="L25" i="30"/>
  <c r="N25" i="30"/>
  <c r="L26" i="30"/>
  <c r="L27" i="30"/>
  <c r="L28" i="30"/>
  <c r="L29" i="30"/>
  <c r="L30" i="30"/>
  <c r="L31" i="30"/>
  <c r="L32" i="30"/>
  <c r="L33" i="30"/>
  <c r="L34" i="30"/>
  <c r="L35" i="30"/>
  <c r="L36" i="30"/>
  <c r="L37" i="30"/>
  <c r="L38" i="30"/>
  <c r="L39" i="30"/>
  <c r="L40" i="30"/>
  <c r="L41" i="30"/>
  <c r="L42" i="30"/>
  <c r="L43" i="30"/>
  <c r="L44" i="30"/>
  <c r="L45" i="30"/>
  <c r="L46" i="30"/>
  <c r="L47" i="30"/>
  <c r="L48" i="30"/>
  <c r="L49" i="30"/>
  <c r="L50" i="30"/>
  <c r="L51" i="30"/>
  <c r="L52" i="30"/>
  <c r="L53" i="30"/>
  <c r="L54" i="30"/>
  <c r="L55" i="30"/>
  <c r="L56" i="30"/>
  <c r="L57" i="30"/>
  <c r="L58" i="30"/>
  <c r="L59" i="30"/>
  <c r="L60" i="30"/>
  <c r="L61" i="30"/>
  <c r="L62" i="30"/>
  <c r="L63" i="30"/>
  <c r="L64" i="30"/>
  <c r="L65" i="30"/>
  <c r="L66" i="30"/>
  <c r="L67" i="30"/>
  <c r="L68" i="30"/>
  <c r="L69" i="30"/>
  <c r="L70" i="30"/>
  <c r="L71" i="30"/>
  <c r="L72" i="30"/>
  <c r="L73" i="30"/>
  <c r="L74" i="30"/>
  <c r="L75" i="30"/>
  <c r="L76" i="30"/>
  <c r="L77" i="30"/>
  <c r="L78" i="30"/>
  <c r="L22" i="30"/>
  <c r="D23" i="30"/>
  <c r="H23" i="30"/>
  <c r="D24" i="30"/>
  <c r="H24" i="30"/>
  <c r="D25" i="30"/>
  <c r="H25" i="30"/>
  <c r="D26" i="30"/>
  <c r="H26" i="30"/>
  <c r="D27" i="30"/>
  <c r="H27" i="30"/>
  <c r="D28" i="30"/>
  <c r="H28" i="30"/>
  <c r="D29" i="30"/>
  <c r="H29" i="30"/>
  <c r="D30" i="30"/>
  <c r="H30" i="30"/>
  <c r="D31" i="30"/>
  <c r="H31" i="30"/>
  <c r="D32" i="30"/>
  <c r="H32" i="30"/>
  <c r="D33" i="30"/>
  <c r="H33" i="30"/>
  <c r="D34" i="30"/>
  <c r="H34" i="30"/>
  <c r="D35" i="30"/>
  <c r="H35" i="30"/>
  <c r="D36" i="30"/>
  <c r="H36" i="30"/>
  <c r="D37" i="30"/>
  <c r="H37" i="30"/>
  <c r="D38" i="30"/>
  <c r="H38" i="30"/>
  <c r="D39" i="30"/>
  <c r="H39" i="30"/>
  <c r="D40" i="30"/>
  <c r="H40" i="30"/>
  <c r="D41" i="30"/>
  <c r="H41" i="30"/>
  <c r="D42" i="30"/>
  <c r="H42" i="30"/>
  <c r="D43" i="30"/>
  <c r="H43" i="30"/>
  <c r="D44" i="30"/>
  <c r="H44" i="30"/>
  <c r="D45" i="30"/>
  <c r="H45" i="30"/>
  <c r="D46" i="30"/>
  <c r="H46" i="30"/>
  <c r="D47" i="30"/>
  <c r="H47" i="30"/>
  <c r="D48" i="30"/>
  <c r="H48" i="30"/>
  <c r="D49" i="30"/>
  <c r="H49" i="30"/>
  <c r="D50" i="30"/>
  <c r="H50" i="30"/>
  <c r="D51" i="30"/>
  <c r="H51" i="30"/>
  <c r="D52" i="30"/>
  <c r="H52" i="30"/>
  <c r="D53" i="30"/>
  <c r="H53" i="30"/>
  <c r="D54" i="30"/>
  <c r="H54" i="30"/>
  <c r="D55" i="30"/>
  <c r="H55" i="30"/>
  <c r="D56" i="30"/>
  <c r="H56" i="30"/>
  <c r="D57" i="30"/>
  <c r="H57" i="30"/>
  <c r="D58" i="30"/>
  <c r="H58" i="30"/>
  <c r="D59" i="30"/>
  <c r="H59" i="30"/>
  <c r="D60" i="30"/>
  <c r="H60" i="30"/>
  <c r="D61" i="30"/>
  <c r="H61" i="30"/>
  <c r="D62" i="30"/>
  <c r="H62" i="30"/>
  <c r="D63" i="30"/>
  <c r="H63" i="30"/>
  <c r="D64" i="30"/>
  <c r="H64" i="30"/>
  <c r="D65" i="30"/>
  <c r="H65" i="30"/>
  <c r="D66" i="30"/>
  <c r="H66" i="30"/>
  <c r="D67" i="30"/>
  <c r="H67" i="30"/>
  <c r="D68" i="30"/>
  <c r="H68" i="30"/>
  <c r="D69" i="30"/>
  <c r="H69" i="30"/>
  <c r="D70" i="30"/>
  <c r="H70" i="30"/>
  <c r="D71" i="30"/>
  <c r="H71" i="30"/>
  <c r="D72" i="30"/>
  <c r="H72" i="30"/>
  <c r="D73" i="30"/>
  <c r="H73" i="30"/>
  <c r="D74" i="30"/>
  <c r="H74" i="30"/>
  <c r="D75" i="30"/>
  <c r="H75" i="30"/>
  <c r="D76" i="30"/>
  <c r="H76" i="30"/>
  <c r="D77" i="30"/>
  <c r="H77" i="30"/>
  <c r="D78" i="30"/>
  <c r="H78" i="30"/>
  <c r="H22" i="30"/>
  <c r="I20" i="3"/>
  <c r="J20" i="3"/>
  <c r="K20" i="3"/>
  <c r="L20" i="3"/>
  <c r="B1" i="30"/>
  <c r="B2" i="30"/>
  <c r="B3" i="30"/>
  <c r="B4" i="30"/>
  <c r="B7" i="30"/>
  <c r="B10" i="30"/>
  <c r="B20" i="25" s="1"/>
  <c r="B11" i="30"/>
  <c r="D11" i="30" s="1"/>
  <c r="E21" i="25"/>
  <c r="I17" i="30"/>
  <c r="I16" i="30"/>
  <c r="I15" i="30"/>
  <c r="I14" i="30"/>
  <c r="G24" i="30"/>
  <c r="B3" i="1"/>
  <c r="D3" i="30"/>
  <c r="E3" i="24"/>
  <c r="D3" i="2"/>
  <c r="D3" i="1"/>
  <c r="B4" i="3"/>
  <c r="B3" i="3"/>
  <c r="B2" i="3"/>
  <c r="B1" i="3"/>
  <c r="A1" i="3"/>
  <c r="A2" i="3"/>
  <c r="A3" i="3"/>
  <c r="A4" i="3"/>
  <c r="C4" i="24"/>
  <c r="C3" i="24"/>
  <c r="C2" i="24"/>
  <c r="C1" i="24"/>
  <c r="B4" i="2"/>
  <c r="B3" i="2"/>
  <c r="B2" i="2"/>
  <c r="B1" i="2"/>
  <c r="B4" i="1"/>
  <c r="B2" i="1"/>
  <c r="B1" i="1"/>
  <c r="L11" i="30"/>
  <c r="L10" i="30"/>
  <c r="L9" i="30"/>
  <c r="L8" i="30"/>
  <c r="L7" i="30"/>
  <c r="D15" i="2"/>
  <c r="D20" i="2"/>
  <c r="D19" i="2"/>
  <c r="D18" i="2"/>
  <c r="D17" i="2"/>
  <c r="D33" i="2"/>
  <c r="A14" i="1"/>
  <c r="A11" i="25"/>
  <c r="A10" i="25"/>
  <c r="D56" i="2"/>
  <c r="D54" i="2"/>
  <c r="D44" i="2"/>
  <c r="D61" i="2"/>
  <c r="D39" i="2"/>
  <c r="D31" i="2"/>
  <c r="D38" i="2"/>
  <c r="D30" i="2"/>
  <c r="D32" i="2"/>
  <c r="D28" i="2"/>
  <c r="D29" i="2"/>
  <c r="D27" i="2"/>
  <c r="D26" i="2"/>
  <c r="A4" i="30"/>
  <c r="A3" i="30"/>
  <c r="A2" i="30"/>
  <c r="A1" i="30"/>
  <c r="M16" i="22"/>
  <c r="M15" i="22"/>
  <c r="N15" i="22"/>
  <c r="M14" i="22"/>
  <c r="I28" i="22"/>
  <c r="M13" i="22"/>
  <c r="N13" i="22"/>
  <c r="M12" i="22"/>
  <c r="N12" i="22"/>
  <c r="I26" i="22"/>
  <c r="M26" i="22"/>
  <c r="N26" i="22"/>
  <c r="M11" i="22"/>
  <c r="M10" i="22"/>
  <c r="M9" i="22"/>
  <c r="N9" i="22"/>
  <c r="A4" i="26"/>
  <c r="A3" i="26"/>
  <c r="A2" i="26"/>
  <c r="A1" i="26"/>
  <c r="A4" i="22"/>
  <c r="A3" i="22"/>
  <c r="A2" i="22"/>
  <c r="A1" i="22"/>
  <c r="A4" i="24"/>
  <c r="A3" i="24"/>
  <c r="A2" i="24"/>
  <c r="A1" i="24"/>
  <c r="A4" i="2"/>
  <c r="A3" i="2"/>
  <c r="A2" i="2"/>
  <c r="A1" i="2"/>
  <c r="A4" i="1"/>
  <c r="A3" i="1"/>
  <c r="A2" i="1"/>
  <c r="A1" i="1"/>
  <c r="J26" i="22"/>
  <c r="M28" i="22"/>
  <c r="N28" i="22"/>
  <c r="J28" i="22"/>
  <c r="I23" i="22"/>
  <c r="I27" i="22"/>
  <c r="I29" i="22"/>
  <c r="J29" i="22"/>
  <c r="M29" i="22"/>
  <c r="N29" i="22"/>
  <c r="J16" i="22"/>
  <c r="J15" i="22"/>
  <c r="J14" i="22"/>
  <c r="J13" i="22"/>
  <c r="J12" i="22"/>
  <c r="J11" i="22"/>
  <c r="J10" i="22"/>
  <c r="J9" i="22"/>
  <c r="I10" i="26"/>
  <c r="D29" i="26"/>
  <c r="L28" i="26"/>
  <c r="L27" i="26"/>
  <c r="L26" i="26"/>
  <c r="L25" i="26"/>
  <c r="L24" i="26"/>
  <c r="L23" i="26"/>
  <c r="L22" i="26"/>
  <c r="F28" i="26"/>
  <c r="G28" i="26"/>
  <c r="I28" i="26"/>
  <c r="F26" i="26"/>
  <c r="D24" i="26"/>
  <c r="F24" i="26"/>
  <c r="G24" i="26"/>
  <c r="I24" i="26"/>
  <c r="M23" i="26"/>
  <c r="M24" i="26"/>
  <c r="M25" i="26"/>
  <c r="N24" i="26"/>
  <c r="N22" i="26"/>
  <c r="I15" i="26"/>
  <c r="I14" i="26"/>
  <c r="I13" i="26"/>
  <c r="I12" i="26"/>
  <c r="I11" i="26"/>
  <c r="B12" i="22"/>
  <c r="C12" i="22"/>
  <c r="N23" i="26"/>
  <c r="F25" i="26"/>
  <c r="B9" i="22"/>
  <c r="C9" i="22"/>
  <c r="D9" i="22"/>
  <c r="E9" i="22"/>
  <c r="H24" i="26"/>
  <c r="J24" i="26"/>
  <c r="N25" i="26"/>
  <c r="D12" i="22"/>
  <c r="E22" i="24"/>
  <c r="B50" i="22"/>
  <c r="C50" i="22" s="1"/>
  <c r="E20" i="24"/>
  <c r="E21" i="24"/>
  <c r="A89" i="2"/>
  <c r="A19" i="1"/>
  <c r="A90" i="2"/>
  <c r="E12" i="22"/>
  <c r="A10" i="1"/>
  <c r="A11" i="1"/>
  <c r="A12" i="1"/>
  <c r="A13" i="1"/>
  <c r="A9" i="1"/>
  <c r="D11" i="2"/>
  <c r="A12" i="25"/>
  <c r="B11" i="24"/>
  <c r="D22" i="24"/>
  <c r="D21" i="24"/>
  <c r="D20" i="24"/>
  <c r="F20" i="24"/>
  <c r="D46" i="2"/>
  <c r="A2" i="10"/>
  <c r="D1" i="10"/>
  <c r="C1" i="10"/>
  <c r="A1" i="10"/>
  <c r="L21" i="10"/>
  <c r="D20" i="10"/>
  <c r="E20" i="10"/>
  <c r="F20" i="10"/>
  <c r="G20" i="10"/>
  <c r="H20" i="10"/>
  <c r="I20" i="10"/>
  <c r="J20" i="10"/>
  <c r="K20" i="10"/>
  <c r="B7" i="10"/>
  <c r="B6" i="10"/>
  <c r="B5" i="10"/>
  <c r="B25" i="10"/>
  <c r="D36" i="2"/>
  <c r="D37" i="2"/>
  <c r="D35" i="2"/>
  <c r="D60" i="2"/>
  <c r="D59" i="2"/>
  <c r="D34" i="2"/>
  <c r="B23" i="10"/>
  <c r="B1" i="10"/>
  <c r="B24" i="10"/>
  <c r="B11" i="10"/>
  <c r="B12" i="10"/>
  <c r="A21" i="1"/>
  <c r="B26" i="1"/>
  <c r="B52" i="22"/>
  <c r="C52" i="22" s="1"/>
  <c r="B51" i="22"/>
  <c r="C51" i="22" s="1"/>
  <c r="B27" i="1"/>
  <c r="A20" i="1"/>
  <c r="D22" i="2"/>
  <c r="D21" i="2"/>
  <c r="B21" i="22"/>
  <c r="E21" i="22"/>
  <c r="D35" i="22"/>
  <c r="B20" i="22"/>
  <c r="E20" i="22"/>
  <c r="B19" i="22"/>
  <c r="E19" i="22"/>
  <c r="C27" i="22"/>
  <c r="D19" i="22"/>
  <c r="C45" i="22"/>
  <c r="C34" i="22"/>
  <c r="D32" i="22"/>
  <c r="C35" i="22"/>
  <c r="C31" i="22"/>
  <c r="D28" i="22"/>
  <c r="E27" i="22"/>
  <c r="E3" i="2"/>
  <c r="E3" i="1"/>
  <c r="D1" i="3"/>
  <c r="E22" i="3" s="1"/>
  <c r="E23" i="3" s="1"/>
  <c r="F3" i="24"/>
  <c r="E3" i="30"/>
  <c r="D22" i="3"/>
  <c r="D23" i="3" s="1"/>
  <c r="G22" i="3"/>
  <c r="G23" i="3" s="1"/>
  <c r="J22" i="3"/>
  <c r="J23" i="3" s="1"/>
  <c r="D15" i="3"/>
  <c r="D16" i="3"/>
  <c r="C15" i="3"/>
  <c r="C16" i="3" s="1"/>
  <c r="F15" i="3"/>
  <c r="F16" i="3"/>
  <c r="N40" i="30"/>
  <c r="N37" i="30"/>
  <c r="N67" i="30"/>
  <c r="N27" i="30"/>
  <c r="B21" i="24"/>
  <c r="F21" i="24" s="1"/>
  <c r="B43" i="2"/>
  <c r="B37" i="32" s="1"/>
  <c r="B9" i="1"/>
  <c r="B10" i="10"/>
  <c r="B13" i="10"/>
  <c r="C22" i="10"/>
  <c r="D22" i="10"/>
  <c r="F24" i="10"/>
  <c r="C23" i="10"/>
  <c r="L23" i="10"/>
  <c r="I23" i="10"/>
  <c r="H22" i="10"/>
  <c r="C24" i="10"/>
  <c r="L24" i="10"/>
  <c r="H23" i="10"/>
  <c r="E22" i="10"/>
  <c r="K24" i="10"/>
  <c r="K22" i="10"/>
  <c r="J22" i="10"/>
  <c r="F23" i="10"/>
  <c r="G22" i="10"/>
  <c r="D24" i="10"/>
  <c r="I24" i="10"/>
  <c r="G24" i="10"/>
  <c r="H24" i="10"/>
  <c r="J23" i="10"/>
  <c r="J23" i="22"/>
  <c r="M23" i="22"/>
  <c r="N23" i="22"/>
  <c r="H13" i="3"/>
  <c r="G15" i="3"/>
  <c r="G16" i="3"/>
  <c r="C29" i="22"/>
  <c r="D29" i="22"/>
  <c r="E31" i="22"/>
  <c r="C30" i="22"/>
  <c r="D31" i="22"/>
  <c r="E30" i="22"/>
  <c r="D30" i="22"/>
  <c r="E29" i="22"/>
  <c r="L25" i="10"/>
  <c r="B35" i="10"/>
  <c r="B38" i="10"/>
  <c r="B39" i="10"/>
  <c r="E23" i="10"/>
  <c r="D23" i="10"/>
  <c r="I24" i="22"/>
  <c r="N10" i="22"/>
  <c r="D45" i="22"/>
  <c r="E24" i="10"/>
  <c r="I22" i="10"/>
  <c r="B10" i="22"/>
  <c r="C10" i="22"/>
  <c r="D10" i="22"/>
  <c r="G26" i="26"/>
  <c r="J24" i="10"/>
  <c r="F22" i="10"/>
  <c r="L22" i="3"/>
  <c r="L23" i="3" s="1"/>
  <c r="M20" i="3"/>
  <c r="N11" i="22"/>
  <c r="I25" i="22"/>
  <c r="G75" i="30"/>
  <c r="G57" i="30"/>
  <c r="G39" i="30"/>
  <c r="I30" i="22"/>
  <c r="N16" i="22"/>
  <c r="G53" i="30"/>
  <c r="D27" i="22"/>
  <c r="D34" i="22"/>
  <c r="D33" i="22"/>
  <c r="G23" i="10"/>
  <c r="G25" i="26"/>
  <c r="N14" i="22"/>
  <c r="G69" i="30"/>
  <c r="G51" i="30"/>
  <c r="G33" i="30"/>
  <c r="AC65" i="32"/>
  <c r="AC69" i="32"/>
  <c r="T65" i="32"/>
  <c r="T69" i="32"/>
  <c r="K65" i="32"/>
  <c r="K69" i="32"/>
  <c r="E32" i="22"/>
  <c r="C33" i="22"/>
  <c r="E34" i="22"/>
  <c r="G35" i="30"/>
  <c r="K22" i="3"/>
  <c r="K23" i="3"/>
  <c r="H22" i="3"/>
  <c r="H23" i="3" s="1"/>
  <c r="C28" i="22"/>
  <c r="E33" i="22"/>
  <c r="C32" i="22"/>
  <c r="K23" i="10"/>
  <c r="D7" i="30"/>
  <c r="C35" i="31"/>
  <c r="D35" i="31" s="1"/>
  <c r="H28" i="26"/>
  <c r="J28" i="26"/>
  <c r="G65" i="30"/>
  <c r="G47" i="30"/>
  <c r="G29" i="30"/>
  <c r="D40" i="2"/>
  <c r="B34" i="32"/>
  <c r="D19" i="26"/>
  <c r="M26" i="26"/>
  <c r="E28" i="22"/>
  <c r="G71" i="30"/>
  <c r="E15" i="3"/>
  <c r="E16" i="3" s="1"/>
  <c r="E35" i="22"/>
  <c r="J27" i="22"/>
  <c r="M27" i="22"/>
  <c r="N27" i="22"/>
  <c r="G63" i="30"/>
  <c r="G45" i="30"/>
  <c r="B6" i="32"/>
  <c r="D12" i="2"/>
  <c r="G76" i="30"/>
  <c r="G70" i="30"/>
  <c r="G64" i="30"/>
  <c r="G58" i="30"/>
  <c r="G52" i="30"/>
  <c r="G46" i="30"/>
  <c r="G40" i="30"/>
  <c r="G34" i="30"/>
  <c r="G28" i="30"/>
  <c r="C32" i="3"/>
  <c r="G74" i="30"/>
  <c r="G68" i="30"/>
  <c r="G62" i="30"/>
  <c r="G56" i="30"/>
  <c r="G50" i="30"/>
  <c r="G44" i="30"/>
  <c r="G38" i="30"/>
  <c r="G32" i="30"/>
  <c r="G26" i="30"/>
  <c r="N75" i="30"/>
  <c r="G73" i="30"/>
  <c r="G67" i="30"/>
  <c r="G61" i="30"/>
  <c r="G55" i="30"/>
  <c r="G49" i="30"/>
  <c r="G43" i="30"/>
  <c r="G37" i="30"/>
  <c r="G31" i="30"/>
  <c r="G25" i="30"/>
  <c r="G22" i="30"/>
  <c r="D27" i="25"/>
  <c r="G78" i="30"/>
  <c r="G72" i="30"/>
  <c r="G66" i="30"/>
  <c r="G60" i="30"/>
  <c r="G54" i="30"/>
  <c r="G48" i="30"/>
  <c r="G42" i="30"/>
  <c r="G36" i="30"/>
  <c r="G30" i="30"/>
  <c r="C65" i="32"/>
  <c r="C69" i="32"/>
  <c r="F74" i="32"/>
  <c r="A9" i="25"/>
  <c r="A13" i="25" s="1"/>
  <c r="B21" i="1"/>
  <c r="C9" i="31"/>
  <c r="C23" i="31"/>
  <c r="C25" i="31"/>
  <c r="C46" i="31"/>
  <c r="D46" i="31" s="1"/>
  <c r="E46" i="31" s="1"/>
  <c r="F46" i="31" s="1"/>
  <c r="G46" i="31" s="1"/>
  <c r="H46" i="31" s="1"/>
  <c r="I46" i="31" s="1"/>
  <c r="J46" i="31" s="1"/>
  <c r="K46" i="31" s="1"/>
  <c r="L46" i="31" s="1"/>
  <c r="M46" i="31" s="1"/>
  <c r="N46" i="31" s="1"/>
  <c r="O46" i="31" s="1"/>
  <c r="P46" i="31" s="1"/>
  <c r="Q46" i="31" s="1"/>
  <c r="C12" i="31"/>
  <c r="N72" i="30"/>
  <c r="N32" i="30"/>
  <c r="N24" i="30"/>
  <c r="N70" i="30"/>
  <c r="N31" i="30"/>
  <c r="N41" i="30"/>
  <c r="N44" i="30"/>
  <c r="N77" i="30"/>
  <c r="N42" i="30"/>
  <c r="N62" i="30"/>
  <c r="N74" i="30"/>
  <c r="N39" i="30"/>
  <c r="N73" i="30"/>
  <c r="N26" i="30"/>
  <c r="N58" i="30"/>
  <c r="N78" i="30"/>
  <c r="N45" i="30"/>
  <c r="N65" i="30"/>
  <c r="N34" i="30"/>
  <c r="N59" i="30"/>
  <c r="N51" i="30"/>
  <c r="N68" i="30"/>
  <c r="N33" i="30"/>
  <c r="N69" i="30"/>
  <c r="N36" i="30"/>
  <c r="N57" i="30"/>
  <c r="N46" i="30"/>
  <c r="N28" i="30"/>
  <c r="N49" i="30"/>
  <c r="N29" i="30"/>
  <c r="N22" i="30"/>
  <c r="N56" i="30"/>
  <c r="N48" i="30"/>
  <c r="N54" i="30"/>
  <c r="N53" i="30"/>
  <c r="N61" i="30"/>
  <c r="N43" i="30"/>
  <c r="N76" i="30"/>
  <c r="N71" i="30"/>
  <c r="N35" i="30"/>
  <c r="N60" i="30"/>
  <c r="N55" i="30"/>
  <c r="N23" i="30"/>
  <c r="N64" i="30"/>
  <c r="N52" i="30"/>
  <c r="N38" i="30"/>
  <c r="N63" i="30"/>
  <c r="N66" i="30"/>
  <c r="N30" i="30"/>
  <c r="N47" i="30"/>
  <c r="N50" i="30"/>
  <c r="D20" i="22"/>
  <c r="C46" i="22"/>
  <c r="E10" i="22"/>
  <c r="M24" i="22"/>
  <c r="N24" i="22"/>
  <c r="J24" i="22"/>
  <c r="M30" i="22"/>
  <c r="N30" i="22"/>
  <c r="J30" i="22"/>
  <c r="I13" i="3"/>
  <c r="H15" i="3"/>
  <c r="H16" i="3"/>
  <c r="E35" i="31"/>
  <c r="D36" i="31"/>
  <c r="C36" i="31"/>
  <c r="N20" i="3"/>
  <c r="M22" i="3"/>
  <c r="M23" i="3" s="1"/>
  <c r="D31" i="3"/>
  <c r="D32" i="3" s="1"/>
  <c r="E31" i="3" s="1"/>
  <c r="H76" i="32" s="1"/>
  <c r="G76" i="32"/>
  <c r="M27" i="26"/>
  <c r="N26" i="26"/>
  <c r="F27" i="26"/>
  <c r="I25" i="26"/>
  <c r="H25" i="26"/>
  <c r="J25" i="26"/>
  <c r="J25" i="22"/>
  <c r="M25" i="22"/>
  <c r="N25" i="22"/>
  <c r="I26" i="26"/>
  <c r="H26" i="26"/>
  <c r="J26" i="26"/>
  <c r="L22" i="10"/>
  <c r="L28" i="10"/>
  <c r="E36" i="31"/>
  <c r="F35" i="31"/>
  <c r="B11" i="22"/>
  <c r="C11" i="22"/>
  <c r="D11" i="22"/>
  <c r="G27" i="26"/>
  <c r="O20" i="3"/>
  <c r="N22" i="3"/>
  <c r="N23" i="3"/>
  <c r="M28" i="26"/>
  <c r="N27" i="26"/>
  <c r="D46" i="22"/>
  <c r="J13" i="3"/>
  <c r="I15" i="3"/>
  <c r="I16" i="3" s="1"/>
  <c r="D21" i="22"/>
  <c r="C47" i="22"/>
  <c r="E11" i="22"/>
  <c r="G35" i="31"/>
  <c r="F36" i="31"/>
  <c r="I27" i="26"/>
  <c r="H27" i="26"/>
  <c r="J27" i="26"/>
  <c r="N28" i="26"/>
  <c r="M29" i="26"/>
  <c r="N29" i="26"/>
  <c r="F29" i="26" s="1"/>
  <c r="J15" i="3"/>
  <c r="J16" i="3"/>
  <c r="K13" i="3"/>
  <c r="P20" i="3"/>
  <c r="O22" i="3"/>
  <c r="O23" i="3"/>
  <c r="P22" i="3"/>
  <c r="P23" i="3"/>
  <c r="Q20" i="3"/>
  <c r="H35" i="31"/>
  <c r="G36" i="31"/>
  <c r="L13" i="3"/>
  <c r="K15" i="3"/>
  <c r="K16" i="3" s="1"/>
  <c r="B13" i="22"/>
  <c r="C13" i="22"/>
  <c r="D13" i="22"/>
  <c r="E13" i="22"/>
  <c r="G29" i="26"/>
  <c r="D47" i="22"/>
  <c r="M13" i="3"/>
  <c r="L15" i="3"/>
  <c r="L16" i="3" s="1"/>
  <c r="H29" i="26"/>
  <c r="J29" i="26"/>
  <c r="I29" i="26"/>
  <c r="R20" i="3"/>
  <c r="Q22" i="3"/>
  <c r="Q23" i="3"/>
  <c r="H36" i="31"/>
  <c r="I35" i="31"/>
  <c r="E30" i="25"/>
  <c r="D28" i="25"/>
  <c r="C27" i="25"/>
  <c r="J35" i="31"/>
  <c r="I36" i="31"/>
  <c r="N13" i="3"/>
  <c r="M15" i="3"/>
  <c r="M16" i="3"/>
  <c r="S20" i="3"/>
  <c r="R22" i="3"/>
  <c r="R23" i="3"/>
  <c r="T20" i="3"/>
  <c r="S22" i="3"/>
  <c r="S23" i="3"/>
  <c r="O13" i="3"/>
  <c r="N15" i="3"/>
  <c r="N16" i="3"/>
  <c r="K35" i="31"/>
  <c r="J36" i="31"/>
  <c r="P13" i="3"/>
  <c r="O15" i="3"/>
  <c r="O16" i="3"/>
  <c r="U20" i="3"/>
  <c r="T22" i="3"/>
  <c r="T23" i="3" s="1"/>
  <c r="L35" i="31"/>
  <c r="K36" i="31"/>
  <c r="L36" i="31"/>
  <c r="M35" i="31"/>
  <c r="V20" i="3"/>
  <c r="U22" i="3"/>
  <c r="U23" i="3"/>
  <c r="Q13" i="3"/>
  <c r="P15" i="3"/>
  <c r="P16" i="3" s="1"/>
  <c r="W20" i="3"/>
  <c r="V22" i="3"/>
  <c r="V23" i="3"/>
  <c r="R13" i="3"/>
  <c r="Q15" i="3"/>
  <c r="Q16" i="3"/>
  <c r="M36" i="31"/>
  <c r="N35" i="31"/>
  <c r="R15" i="3"/>
  <c r="R16" i="3" s="1"/>
  <c r="S13" i="3"/>
  <c r="N36" i="31"/>
  <c r="O35" i="31"/>
  <c r="X20" i="3"/>
  <c r="W22" i="3"/>
  <c r="W23" i="3"/>
  <c r="Y20" i="3"/>
  <c r="X22" i="3"/>
  <c r="X23" i="3"/>
  <c r="P35" i="31"/>
  <c r="O36" i="31"/>
  <c r="T13" i="3"/>
  <c r="S15" i="3"/>
  <c r="S16" i="3" s="1"/>
  <c r="P36" i="31"/>
  <c r="Q35" i="31"/>
  <c r="Q36" i="31"/>
  <c r="U13" i="3"/>
  <c r="T15" i="3"/>
  <c r="T16" i="3"/>
  <c r="Z20" i="3"/>
  <c r="Y22" i="3"/>
  <c r="Y23" i="3" s="1"/>
  <c r="V13" i="3"/>
  <c r="U15" i="3"/>
  <c r="U16" i="3"/>
  <c r="AA20" i="3"/>
  <c r="Z22" i="3"/>
  <c r="Z23" i="3"/>
  <c r="AB20" i="3"/>
  <c r="AA22" i="3"/>
  <c r="AA23" i="3"/>
  <c r="W13" i="3"/>
  <c r="V15" i="3"/>
  <c r="V16" i="3" s="1"/>
  <c r="X13" i="3"/>
  <c r="W15" i="3"/>
  <c r="W16" i="3"/>
  <c r="AC20" i="3"/>
  <c r="AB22" i="3"/>
  <c r="AB23" i="3"/>
  <c r="AD20" i="3"/>
  <c r="AD22" i="3"/>
  <c r="AD23" i="3"/>
  <c r="AC22" i="3"/>
  <c r="AC23" i="3"/>
  <c r="Y13" i="3"/>
  <c r="X15" i="3"/>
  <c r="X16" i="3"/>
  <c r="Z13" i="3"/>
  <c r="Y15" i="3"/>
  <c r="Y16" i="3"/>
  <c r="AA13" i="3"/>
  <c r="Z15" i="3"/>
  <c r="Z16" i="3" s="1"/>
  <c r="AB13" i="3"/>
  <c r="AA15" i="3"/>
  <c r="AA16" i="3"/>
  <c r="AB15" i="3"/>
  <c r="AB16" i="3"/>
  <c r="AC13" i="3"/>
  <c r="AD13" i="3"/>
  <c r="AD15" i="3"/>
  <c r="AD16" i="3"/>
  <c r="AC15" i="3"/>
  <c r="AC16" i="3"/>
  <c r="B31" i="25" l="1"/>
  <c r="E20" i="25"/>
  <c r="D30" i="25"/>
  <c r="B16" i="25"/>
  <c r="B18" i="25"/>
  <c r="D10" i="30"/>
  <c r="C39" i="31" s="1"/>
  <c r="C30" i="25"/>
  <c r="C31" i="25"/>
  <c r="C29" i="25"/>
  <c r="D29" i="25"/>
  <c r="D31" i="25"/>
  <c r="C28" i="25"/>
  <c r="E28" i="25"/>
  <c r="E29" i="25"/>
  <c r="E31" i="25"/>
  <c r="E27" i="25"/>
  <c r="D43" i="2"/>
  <c r="I22" i="3"/>
  <c r="I23" i="3" s="1"/>
  <c r="F22" i="3"/>
  <c r="F23" i="3" s="1"/>
  <c r="C22" i="3"/>
  <c r="C23" i="3" s="1"/>
  <c r="H77" i="32"/>
  <c r="I74" i="32" s="1"/>
  <c r="E32" i="3"/>
  <c r="F31" i="3" s="1"/>
  <c r="D51" i="2"/>
  <c r="B45" i="32"/>
  <c r="D50" i="22"/>
  <c r="D53" i="22" s="1"/>
  <c r="D52" i="22"/>
  <c r="D51" i="22"/>
  <c r="B53" i="22"/>
  <c r="C53" i="22"/>
  <c r="G23" i="30"/>
  <c r="G41" i="30"/>
  <c r="G59" i="30"/>
  <c r="G77" i="30"/>
  <c r="G27" i="30"/>
  <c r="B17" i="25"/>
  <c r="B19" i="25"/>
  <c r="F69" i="32"/>
  <c r="AG65" i="32"/>
  <c r="AG69" i="32" s="1"/>
  <c r="AF65" i="32"/>
  <c r="AF69" i="32" s="1"/>
  <c r="AE69" i="32"/>
  <c r="AD69" i="32"/>
  <c r="AB69" i="32"/>
  <c r="AA69" i="32"/>
  <c r="Z65" i="32"/>
  <c r="Z69" i="32" s="1"/>
  <c r="Y69" i="32"/>
  <c r="X65" i="32"/>
  <c r="X69" i="32" s="1"/>
  <c r="W65" i="32"/>
  <c r="W69" i="32" s="1"/>
  <c r="V69" i="32"/>
  <c r="U69" i="32"/>
  <c r="S69" i="32"/>
  <c r="R69" i="32"/>
  <c r="Q65" i="32"/>
  <c r="Q69" i="32" s="1"/>
  <c r="P69" i="32"/>
  <c r="O65" i="32"/>
  <c r="O69" i="32" s="1"/>
  <c r="N65" i="32"/>
  <c r="N69" i="32" s="1"/>
  <c r="M69" i="32"/>
  <c r="L69" i="32"/>
  <c r="J69" i="32"/>
  <c r="I69" i="32"/>
  <c r="H65" i="32"/>
  <c r="H69" i="32" s="1"/>
  <c r="G69" i="32"/>
  <c r="D65" i="32"/>
  <c r="D69" i="32" s="1"/>
  <c r="F90" i="32" s="1"/>
  <c r="C76" i="32"/>
  <c r="C32" i="25" l="1"/>
  <c r="C37" i="25" s="1"/>
  <c r="D37" i="25" s="1"/>
  <c r="D32" i="25"/>
  <c r="C38" i="25" s="1"/>
  <c r="D38" i="25" s="1"/>
  <c r="C40" i="31"/>
  <c r="D39" i="31"/>
  <c r="E32" i="25"/>
  <c r="C39" i="25" s="1"/>
  <c r="D39" i="25" s="1"/>
  <c r="D40" i="25" s="1"/>
  <c r="B81" i="2" s="1"/>
  <c r="C6" i="10"/>
  <c r="B29" i="25"/>
  <c r="E18" i="25"/>
  <c r="E16" i="25"/>
  <c r="B27" i="25"/>
  <c r="F32" i="3"/>
  <c r="I76" i="32"/>
  <c r="I77" i="32" s="1"/>
  <c r="J74" i="32" s="1"/>
  <c r="C7" i="10"/>
  <c r="B30" i="25"/>
  <c r="E19" i="25"/>
  <c r="B28" i="25"/>
  <c r="E17" i="25"/>
  <c r="E22" i="25" s="1"/>
  <c r="C5" i="10"/>
  <c r="B22" i="25"/>
  <c r="C17" i="25"/>
  <c r="C85" i="32" l="1"/>
  <c r="C86" i="32" s="1"/>
  <c r="B90" i="2"/>
  <c r="B58" i="2" s="1"/>
  <c r="B11" i="1"/>
  <c r="E39" i="31"/>
  <c r="D40" i="31"/>
  <c r="B32" i="25"/>
  <c r="D6" i="10"/>
  <c r="F6" i="10"/>
  <c r="B20" i="1"/>
  <c r="P86" i="32"/>
  <c r="W86" i="32"/>
  <c r="X86" i="32"/>
  <c r="AB86" i="32"/>
  <c r="J86" i="32"/>
  <c r="H86" i="32"/>
  <c r="AD86" i="32"/>
  <c r="O86" i="32"/>
  <c r="R86" i="32"/>
  <c r="K86" i="32"/>
  <c r="S86" i="32"/>
  <c r="Z86" i="32"/>
  <c r="AF86" i="32"/>
  <c r="V86" i="32"/>
  <c r="AC86" i="32"/>
  <c r="N86" i="32"/>
  <c r="AG86" i="32"/>
  <c r="F86" i="32"/>
  <c r="F87" i="32" s="1"/>
  <c r="G85" i="32" s="1"/>
  <c r="G87" i="32" s="1"/>
  <c r="H85" i="32" s="1"/>
  <c r="H87" i="32" s="1"/>
  <c r="I85" i="32" s="1"/>
  <c r="I87" i="32" s="1"/>
  <c r="J85" i="32" s="1"/>
  <c r="J87" i="32" s="1"/>
  <c r="K85" i="32" s="1"/>
  <c r="K87" i="32" s="1"/>
  <c r="L85" i="32" s="1"/>
  <c r="Y86" i="32"/>
  <c r="U86" i="32"/>
  <c r="G86" i="32"/>
  <c r="T86" i="32"/>
  <c r="Q86" i="32"/>
  <c r="I86" i="32"/>
  <c r="AE86" i="32"/>
  <c r="L86" i="32"/>
  <c r="M86" i="32"/>
  <c r="AA86" i="32"/>
  <c r="G32" i="3"/>
  <c r="G31" i="3"/>
  <c r="J76" i="32" s="1"/>
  <c r="J77" i="32" s="1"/>
  <c r="K74" i="32" s="1"/>
  <c r="C39" i="2"/>
  <c r="C26" i="1"/>
  <c r="C31" i="2"/>
  <c r="C38" i="2"/>
  <c r="B45" i="2"/>
  <c r="C21" i="2"/>
  <c r="C43" i="2"/>
  <c r="C26" i="2"/>
  <c r="C54" i="2"/>
  <c r="C29" i="2"/>
  <c r="B55" i="2"/>
  <c r="C35" i="2"/>
  <c r="C44" i="2"/>
  <c r="C40" i="2"/>
  <c r="C91" i="2"/>
  <c r="C21" i="1" s="1"/>
  <c r="C61" i="2"/>
  <c r="C60" i="2"/>
  <c r="C27" i="2"/>
  <c r="C19" i="2"/>
  <c r="C59" i="2"/>
  <c r="C15" i="2"/>
  <c r="C28" i="2"/>
  <c r="C34" i="2"/>
  <c r="B53" i="2"/>
  <c r="C20" i="25"/>
  <c r="C36" i="2"/>
  <c r="C46" i="2"/>
  <c r="C21" i="25"/>
  <c r="C20" i="2"/>
  <c r="C12" i="2"/>
  <c r="C30" i="2"/>
  <c r="C18" i="25"/>
  <c r="B66" i="2"/>
  <c r="B57" i="2"/>
  <c r="C65" i="2"/>
  <c r="C27" i="1"/>
  <c r="C11" i="2"/>
  <c r="C33" i="2"/>
  <c r="C17" i="2"/>
  <c r="C51" i="2"/>
  <c r="C22" i="2"/>
  <c r="C79" i="2"/>
  <c r="C9" i="1" s="1"/>
  <c r="C56" i="2"/>
  <c r="C18" i="2"/>
  <c r="C16" i="25"/>
  <c r="C37" i="2"/>
  <c r="C32" i="2"/>
  <c r="C81" i="2"/>
  <c r="C19" i="25"/>
  <c r="F5" i="10"/>
  <c r="D5" i="10"/>
  <c r="C8" i="10"/>
  <c r="D2" i="31"/>
  <c r="D2" i="3"/>
  <c r="F7" i="10"/>
  <c r="D7" i="10"/>
  <c r="L87" i="32" l="1"/>
  <c r="M85" i="32" s="1"/>
  <c r="M87" i="32" s="1"/>
  <c r="N85" i="32" s="1"/>
  <c r="N87" i="32" s="1"/>
  <c r="O85" i="32" s="1"/>
  <c r="O87" i="32" s="1"/>
  <c r="P85" i="32" s="1"/>
  <c r="P87" i="32" s="1"/>
  <c r="Q85" i="32" s="1"/>
  <c r="Q87" i="32" s="1"/>
  <c r="R85" i="32" s="1"/>
  <c r="R87" i="32" s="1"/>
  <c r="S85" i="32" s="1"/>
  <c r="S87" i="32" s="1"/>
  <c r="T85" i="32" s="1"/>
  <c r="T87" i="32" s="1"/>
  <c r="U85" i="32" s="1"/>
  <c r="U87" i="32" s="1"/>
  <c r="V85" i="32" s="1"/>
  <c r="V87" i="32" s="1"/>
  <c r="W85" i="32" s="1"/>
  <c r="W87" i="32" s="1"/>
  <c r="X85" i="32" s="1"/>
  <c r="X87" i="32" s="1"/>
  <c r="Y85" i="32" s="1"/>
  <c r="Y87" i="32" s="1"/>
  <c r="Z85" i="32" s="1"/>
  <c r="Z87" i="32" s="1"/>
  <c r="AA85" i="32" s="1"/>
  <c r="AA87" i="32" s="1"/>
  <c r="AB85" i="32" s="1"/>
  <c r="AB87" i="32" s="1"/>
  <c r="AC85" i="32" s="1"/>
  <c r="AC87" i="32" s="1"/>
  <c r="AD85" i="32" s="1"/>
  <c r="AD87" i="32" s="1"/>
  <c r="AE85" i="32" s="1"/>
  <c r="AE87" i="32" s="1"/>
  <c r="AF85" i="32" s="1"/>
  <c r="AF87" i="32" s="1"/>
  <c r="AG85" i="32" s="1"/>
  <c r="AG87" i="32" s="1"/>
  <c r="E40" i="31"/>
  <c r="F39" i="31"/>
  <c r="H31" i="3"/>
  <c r="K76" i="32" s="1"/>
  <c r="K77" i="32" s="1"/>
  <c r="L74" i="32" s="1"/>
  <c r="C16" i="31"/>
  <c r="C15" i="31"/>
  <c r="C20" i="31"/>
  <c r="C17" i="31"/>
  <c r="D8" i="10"/>
  <c r="E5" i="10" s="1"/>
  <c r="E8" i="10" s="1"/>
  <c r="F8" i="10"/>
  <c r="C11" i="1"/>
  <c r="C90" i="2"/>
  <c r="C20" i="1" s="1"/>
  <c r="B51" i="32"/>
  <c r="D57" i="2"/>
  <c r="C57" i="2"/>
  <c r="B67" i="2"/>
  <c r="B84" i="2" s="1"/>
  <c r="D66" i="2"/>
  <c r="B60" i="32"/>
  <c r="C66" i="2"/>
  <c r="B47" i="32"/>
  <c r="D53" i="2"/>
  <c r="C53" i="2"/>
  <c r="D55" i="2"/>
  <c r="B49" i="32"/>
  <c r="C55" i="2"/>
  <c r="C45" i="2"/>
  <c r="B39" i="32"/>
  <c r="D45" i="2"/>
  <c r="G39" i="31" l="1"/>
  <c r="F40" i="31"/>
  <c r="H32" i="3"/>
  <c r="D67" i="2"/>
  <c r="C67" i="2"/>
  <c r="B61" i="32"/>
  <c r="E6" i="10"/>
  <c r="B26" i="10"/>
  <c r="B16" i="10"/>
  <c r="E7" i="10"/>
  <c r="C27" i="31"/>
  <c r="F22" i="30" s="1"/>
  <c r="H39" i="31" l="1"/>
  <c r="G40" i="31"/>
  <c r="I31" i="3"/>
  <c r="L76" i="32" s="1"/>
  <c r="L77" i="32" s="1"/>
  <c r="M74" i="32" s="1"/>
  <c r="I32" i="3"/>
  <c r="F25" i="30"/>
  <c r="I25" i="30" s="1"/>
  <c r="J25" i="30" s="1"/>
  <c r="K25" i="30" s="1"/>
  <c r="F78" i="30"/>
  <c r="I78" i="30" s="1"/>
  <c r="J78" i="30" s="1"/>
  <c r="K78" i="30" s="1"/>
  <c r="F71" i="30"/>
  <c r="I71" i="30" s="1"/>
  <c r="J71" i="30" s="1"/>
  <c r="K71" i="30" s="1"/>
  <c r="F46" i="30"/>
  <c r="I46" i="30" s="1"/>
  <c r="J46" i="30" s="1"/>
  <c r="K46" i="30" s="1"/>
  <c r="F45" i="30"/>
  <c r="I45" i="30" s="1"/>
  <c r="J45" i="30" s="1"/>
  <c r="K45" i="30" s="1"/>
  <c r="F49" i="30"/>
  <c r="I49" i="30" s="1"/>
  <c r="J49" i="30" s="1"/>
  <c r="K49" i="30" s="1"/>
  <c r="F26" i="30"/>
  <c r="I26" i="30" s="1"/>
  <c r="J26" i="30" s="1"/>
  <c r="K26" i="30" s="1"/>
  <c r="F41" i="30"/>
  <c r="I41" i="30" s="1"/>
  <c r="J41" i="30" s="1"/>
  <c r="K41" i="30" s="1"/>
  <c r="F61" i="30"/>
  <c r="I61" i="30" s="1"/>
  <c r="J61" i="30" s="1"/>
  <c r="K61" i="30" s="1"/>
  <c r="F55" i="30"/>
  <c r="I55" i="30" s="1"/>
  <c r="J55" i="30" s="1"/>
  <c r="K55" i="30" s="1"/>
  <c r="F68" i="30"/>
  <c r="I68" i="30" s="1"/>
  <c r="J68" i="30" s="1"/>
  <c r="K68" i="30" s="1"/>
  <c r="F56" i="30"/>
  <c r="I56" i="30" s="1"/>
  <c r="J56" i="30" s="1"/>
  <c r="K56" i="30" s="1"/>
  <c r="F76" i="30"/>
  <c r="I76" i="30" s="1"/>
  <c r="J76" i="30" s="1"/>
  <c r="K76" i="30" s="1"/>
  <c r="F66" i="30"/>
  <c r="I66" i="30" s="1"/>
  <c r="J66" i="30" s="1"/>
  <c r="K66" i="30" s="1"/>
  <c r="F35" i="30"/>
  <c r="I35" i="30" s="1"/>
  <c r="J35" i="30" s="1"/>
  <c r="K35" i="30" s="1"/>
  <c r="F31" i="30"/>
  <c r="I31" i="30" s="1"/>
  <c r="J31" i="30" s="1"/>
  <c r="K31" i="30" s="1"/>
  <c r="F27" i="30"/>
  <c r="I27" i="30" s="1"/>
  <c r="J27" i="30" s="1"/>
  <c r="K27" i="30" s="1"/>
  <c r="F33" i="30"/>
  <c r="I33" i="30" s="1"/>
  <c r="J33" i="30" s="1"/>
  <c r="K33" i="30" s="1"/>
  <c r="F69" i="30"/>
  <c r="I69" i="30" s="1"/>
  <c r="J69" i="30" s="1"/>
  <c r="K69" i="30" s="1"/>
  <c r="F72" i="30"/>
  <c r="I72" i="30" s="1"/>
  <c r="J72" i="30" s="1"/>
  <c r="K72" i="30" s="1"/>
  <c r="F32" i="30"/>
  <c r="I32" i="30" s="1"/>
  <c r="J32" i="30" s="1"/>
  <c r="K32" i="30" s="1"/>
  <c r="F24" i="30"/>
  <c r="I24" i="30" s="1"/>
  <c r="J24" i="30" s="1"/>
  <c r="K24" i="30" s="1"/>
  <c r="F47" i="30"/>
  <c r="I47" i="30" s="1"/>
  <c r="J47" i="30" s="1"/>
  <c r="K47" i="30" s="1"/>
  <c r="F60" i="30"/>
  <c r="I60" i="30" s="1"/>
  <c r="J60" i="30" s="1"/>
  <c r="K60" i="30" s="1"/>
  <c r="F50" i="30"/>
  <c r="I50" i="30" s="1"/>
  <c r="J50" i="30" s="1"/>
  <c r="K50" i="30" s="1"/>
  <c r="F62" i="30"/>
  <c r="I62" i="30" s="1"/>
  <c r="J62" i="30" s="1"/>
  <c r="K62" i="30" s="1"/>
  <c r="F58" i="30"/>
  <c r="I58" i="30" s="1"/>
  <c r="J58" i="30" s="1"/>
  <c r="K58" i="30" s="1"/>
  <c r="F75" i="30"/>
  <c r="I75" i="30" s="1"/>
  <c r="J75" i="30" s="1"/>
  <c r="K75" i="30" s="1"/>
  <c r="F38" i="30"/>
  <c r="I38" i="30" s="1"/>
  <c r="J38" i="30" s="1"/>
  <c r="K38" i="30" s="1"/>
  <c r="C44" i="31"/>
  <c r="F70" i="30"/>
  <c r="I70" i="30" s="1"/>
  <c r="J70" i="30" s="1"/>
  <c r="K70" i="30" s="1"/>
  <c r="F51" i="30"/>
  <c r="I51" i="30" s="1"/>
  <c r="J51" i="30" s="1"/>
  <c r="K51" i="30" s="1"/>
  <c r="F29" i="30"/>
  <c r="I29" i="30" s="1"/>
  <c r="J29" i="30" s="1"/>
  <c r="K29" i="30" s="1"/>
  <c r="F74" i="30"/>
  <c r="I74" i="30" s="1"/>
  <c r="J74" i="30" s="1"/>
  <c r="K74" i="30" s="1"/>
  <c r="F53" i="30"/>
  <c r="I53" i="30" s="1"/>
  <c r="J53" i="30" s="1"/>
  <c r="K53" i="30" s="1"/>
  <c r="F44" i="30"/>
  <c r="I44" i="30" s="1"/>
  <c r="J44" i="30" s="1"/>
  <c r="K44" i="30" s="1"/>
  <c r="F39" i="30"/>
  <c r="I39" i="30" s="1"/>
  <c r="J39" i="30" s="1"/>
  <c r="K39" i="30" s="1"/>
  <c r="F34" i="30"/>
  <c r="I34" i="30" s="1"/>
  <c r="J34" i="30" s="1"/>
  <c r="K34" i="30" s="1"/>
  <c r="F40" i="30"/>
  <c r="I40" i="30" s="1"/>
  <c r="J40" i="30" s="1"/>
  <c r="K40" i="30" s="1"/>
  <c r="F30" i="30"/>
  <c r="I30" i="30" s="1"/>
  <c r="J30" i="30" s="1"/>
  <c r="K30" i="30" s="1"/>
  <c r="F36" i="30"/>
  <c r="I36" i="30" s="1"/>
  <c r="J36" i="30" s="1"/>
  <c r="K36" i="30" s="1"/>
  <c r="F73" i="30"/>
  <c r="I73" i="30" s="1"/>
  <c r="J73" i="30" s="1"/>
  <c r="K73" i="30" s="1"/>
  <c r="F64" i="30"/>
  <c r="I64" i="30" s="1"/>
  <c r="J64" i="30" s="1"/>
  <c r="K64" i="30" s="1"/>
  <c r="F59" i="30"/>
  <c r="I59" i="30" s="1"/>
  <c r="J59" i="30" s="1"/>
  <c r="K59" i="30" s="1"/>
  <c r="F54" i="30"/>
  <c r="I54" i="30" s="1"/>
  <c r="J54" i="30" s="1"/>
  <c r="K54" i="30" s="1"/>
  <c r="F52" i="30"/>
  <c r="I52" i="30" s="1"/>
  <c r="J52" i="30" s="1"/>
  <c r="K52" i="30" s="1"/>
  <c r="F42" i="30"/>
  <c r="I42" i="30" s="1"/>
  <c r="J42" i="30" s="1"/>
  <c r="K42" i="30" s="1"/>
  <c r="F37" i="30"/>
  <c r="I37" i="30" s="1"/>
  <c r="J37" i="30" s="1"/>
  <c r="K37" i="30" s="1"/>
  <c r="F28" i="30"/>
  <c r="I28" i="30" s="1"/>
  <c r="J28" i="30" s="1"/>
  <c r="K28" i="30" s="1"/>
  <c r="F23" i="30"/>
  <c r="I23" i="30" s="1"/>
  <c r="J23" i="30" s="1"/>
  <c r="K23" i="30" s="1"/>
  <c r="F65" i="30"/>
  <c r="I65" i="30" s="1"/>
  <c r="J65" i="30" s="1"/>
  <c r="K65" i="30" s="1"/>
  <c r="F67" i="30"/>
  <c r="I67" i="30" s="1"/>
  <c r="J67" i="30" s="1"/>
  <c r="K67" i="30" s="1"/>
  <c r="F77" i="30"/>
  <c r="I77" i="30" s="1"/>
  <c r="J77" i="30" s="1"/>
  <c r="K77" i="30" s="1"/>
  <c r="F63" i="30"/>
  <c r="I63" i="30" s="1"/>
  <c r="J63" i="30" s="1"/>
  <c r="K63" i="30" s="1"/>
  <c r="F57" i="30"/>
  <c r="I57" i="30" s="1"/>
  <c r="J57" i="30" s="1"/>
  <c r="K57" i="30" s="1"/>
  <c r="F48" i="30"/>
  <c r="I48" i="30" s="1"/>
  <c r="J48" i="30" s="1"/>
  <c r="K48" i="30" s="1"/>
  <c r="F43" i="30"/>
  <c r="I43" i="30" s="1"/>
  <c r="J43" i="30" s="1"/>
  <c r="K43" i="30" s="1"/>
  <c r="D28" i="31"/>
  <c r="D27" i="31"/>
  <c r="D26" i="10"/>
  <c r="F26" i="10"/>
  <c r="E26" i="10"/>
  <c r="G26" i="10"/>
  <c r="J26" i="10"/>
  <c r="K26" i="10"/>
  <c r="I26" i="10"/>
  <c r="C26" i="10"/>
  <c r="H26" i="10"/>
  <c r="C84" i="2"/>
  <c r="C14" i="1" s="1"/>
  <c r="B14" i="1"/>
  <c r="I39" i="31" l="1"/>
  <c r="H40" i="31"/>
  <c r="J31" i="3"/>
  <c r="M76" i="32" s="1"/>
  <c r="M77" i="32" s="1"/>
  <c r="N74" i="32" s="1"/>
  <c r="J32" i="3"/>
  <c r="B18" i="10"/>
  <c r="B17" i="10" s="1"/>
  <c r="L26" i="10"/>
  <c r="C28" i="10"/>
  <c r="D44" i="31"/>
  <c r="C47" i="31"/>
  <c r="I22" i="30"/>
  <c r="J22" i="30" s="1"/>
  <c r="K22" i="30" s="1"/>
  <c r="F79" i="30"/>
  <c r="C37" i="31" s="1"/>
  <c r="J39" i="31" l="1"/>
  <c r="I40" i="31"/>
  <c r="K31" i="3"/>
  <c r="N76" i="32" s="1"/>
  <c r="N77" i="32" s="1"/>
  <c r="O74" i="32" s="1"/>
  <c r="D37" i="31"/>
  <c r="C38" i="31"/>
  <c r="C41" i="31"/>
  <c r="C49" i="31" s="1"/>
  <c r="C51" i="31" s="1"/>
  <c r="D47" i="31"/>
  <c r="E44" i="31"/>
  <c r="D28" i="10"/>
  <c r="C29" i="10"/>
  <c r="K39" i="31" l="1"/>
  <c r="J40" i="31"/>
  <c r="K32" i="3"/>
  <c r="D29" i="10"/>
  <c r="E28" i="10"/>
  <c r="E47" i="31"/>
  <c r="F44" i="31"/>
  <c r="E37" i="31"/>
  <c r="D38" i="31"/>
  <c r="D41" i="31" s="1"/>
  <c r="D49" i="31" s="1"/>
  <c r="D51" i="31" s="1"/>
  <c r="K40" i="31" l="1"/>
  <c r="L39" i="31"/>
  <c r="L31" i="3"/>
  <c r="O76" i="32" s="1"/>
  <c r="O77" i="32" s="1"/>
  <c r="P74" i="32" s="1"/>
  <c r="L32" i="3"/>
  <c r="F37" i="31"/>
  <c r="E38" i="31"/>
  <c r="E41" i="31" s="1"/>
  <c r="E49" i="31" s="1"/>
  <c r="E51" i="31" s="1"/>
  <c r="F47" i="31"/>
  <c r="G44" i="31"/>
  <c r="E29" i="10"/>
  <c r="F28" i="10"/>
  <c r="L40" i="31" l="1"/>
  <c r="M39" i="31"/>
  <c r="M31" i="3"/>
  <c r="P76" i="32" s="1"/>
  <c r="M32" i="3"/>
  <c r="P77" i="32"/>
  <c r="Q74" i="32" s="1"/>
  <c r="G28" i="10"/>
  <c r="F29" i="10"/>
  <c r="G47" i="31"/>
  <c r="H44" i="31"/>
  <c r="G37" i="31"/>
  <c r="F38" i="31"/>
  <c r="F41" i="31"/>
  <c r="F49" i="31" s="1"/>
  <c r="F51" i="31" s="1"/>
  <c r="M40" i="31" l="1"/>
  <c r="N39" i="31"/>
  <c r="N31" i="3"/>
  <c r="Q76" i="32" s="1"/>
  <c r="Q77" i="32" s="1"/>
  <c r="R74" i="32" s="1"/>
  <c r="H37" i="31"/>
  <c r="G38" i="31"/>
  <c r="G41" i="31" s="1"/>
  <c r="G49" i="31" s="1"/>
  <c r="G51" i="31" s="1"/>
  <c r="I44" i="31"/>
  <c r="H47" i="31"/>
  <c r="H28" i="10"/>
  <c r="G29" i="10"/>
  <c r="N40" i="31" l="1"/>
  <c r="O39" i="31"/>
  <c r="N32" i="3"/>
  <c r="I28" i="10"/>
  <c r="H29" i="10"/>
  <c r="I47" i="31"/>
  <c r="J44" i="31"/>
  <c r="H38" i="31"/>
  <c r="H41" i="31" s="1"/>
  <c r="H49" i="31" s="1"/>
  <c r="H51" i="31" s="1"/>
  <c r="I37" i="31"/>
  <c r="P39" i="31" l="1"/>
  <c r="O40" i="31"/>
  <c r="O31" i="3"/>
  <c r="R76" i="32" s="1"/>
  <c r="R77" i="32" s="1"/>
  <c r="S74" i="32" s="1"/>
  <c r="I38" i="31"/>
  <c r="I41" i="31" s="1"/>
  <c r="I49" i="31" s="1"/>
  <c r="I51" i="31" s="1"/>
  <c r="J37" i="31"/>
  <c r="J47" i="31"/>
  <c r="K44" i="31"/>
  <c r="J28" i="10"/>
  <c r="I29" i="10"/>
  <c r="P40" i="31" l="1"/>
  <c r="Q39" i="31"/>
  <c r="Q40" i="31" s="1"/>
  <c r="O32" i="3"/>
  <c r="P31" i="3" s="1"/>
  <c r="J29" i="10"/>
  <c r="K47" i="31"/>
  <c r="L44" i="31"/>
  <c r="K37" i="31"/>
  <c r="J38" i="31"/>
  <c r="J41" i="31" s="1"/>
  <c r="J49" i="31" s="1"/>
  <c r="J51" i="31" s="1"/>
  <c r="P32" i="3" l="1"/>
  <c r="S76" i="32"/>
  <c r="S77" i="32" s="1"/>
  <c r="T74" i="32" s="1"/>
  <c r="K38" i="31"/>
  <c r="K41" i="31"/>
  <c r="K49" i="31" s="1"/>
  <c r="K51" i="31" s="1"/>
  <c r="L37" i="31"/>
  <c r="M44" i="31"/>
  <c r="L47" i="31"/>
  <c r="Q31" i="3" l="1"/>
  <c r="T76" i="32" s="1"/>
  <c r="Q32" i="3"/>
  <c r="T77" i="32"/>
  <c r="U74" i="32" s="1"/>
  <c r="N44" i="31"/>
  <c r="M47" i="31"/>
  <c r="L38" i="31"/>
  <c r="L41" i="31"/>
  <c r="L49" i="31" s="1"/>
  <c r="L51" i="31" s="1"/>
  <c r="M37" i="31"/>
  <c r="R31" i="3" l="1"/>
  <c r="U76" i="32" s="1"/>
  <c r="U77" i="32" s="1"/>
  <c r="V74" i="32" s="1"/>
  <c r="R32" i="3"/>
  <c r="M38" i="31"/>
  <c r="M41" i="31"/>
  <c r="M49" i="31" s="1"/>
  <c r="M51" i="31" s="1"/>
  <c r="N37" i="31"/>
  <c r="O44" i="31"/>
  <c r="N47" i="31"/>
  <c r="S31" i="3" l="1"/>
  <c r="V76" i="32" s="1"/>
  <c r="S32" i="3"/>
  <c r="T31" i="3" s="1"/>
  <c r="V77" i="32"/>
  <c r="W74" i="32" s="1"/>
  <c r="O47" i="31"/>
  <c r="P44" i="31"/>
  <c r="O37" i="31"/>
  <c r="N38" i="31"/>
  <c r="N41" i="31"/>
  <c r="N49" i="31" s="1"/>
  <c r="N51" i="31" s="1"/>
  <c r="T32" i="3" l="1"/>
  <c r="W76" i="32"/>
  <c r="W77" i="32" s="1"/>
  <c r="X74" i="32" s="1"/>
  <c r="O38" i="31"/>
  <c r="O41" i="31"/>
  <c r="O49" i="31" s="1"/>
  <c r="O51" i="31" s="1"/>
  <c r="P37" i="31"/>
  <c r="P47" i="31"/>
  <c r="Q44" i="31"/>
  <c r="Q47" i="31" s="1"/>
  <c r="U31" i="3" l="1"/>
  <c r="X76" i="32" s="1"/>
  <c r="X77" i="32" s="1"/>
  <c r="Y74" i="32" s="1"/>
  <c r="Q37" i="31"/>
  <c r="P38" i="31"/>
  <c r="P41" i="31"/>
  <c r="P49" i="31" s="1"/>
  <c r="P51" i="31" s="1"/>
  <c r="U32" i="3" l="1"/>
  <c r="Q38" i="31"/>
  <c r="Q41" i="31"/>
  <c r="Q49" i="31" s="1"/>
  <c r="Q51" i="31" s="1"/>
  <c r="V31" i="3" l="1"/>
  <c r="Y76" i="32" s="1"/>
  <c r="Y77" i="32" s="1"/>
  <c r="Z74" i="32" s="1"/>
  <c r="V32" i="3" l="1"/>
  <c r="W31" i="3" l="1"/>
  <c r="Z76" i="32" s="1"/>
  <c r="Z77" i="32" s="1"/>
  <c r="AA74" i="32" s="1"/>
  <c r="W32" i="3"/>
  <c r="X31" i="3" s="1"/>
  <c r="X32" i="3" l="1"/>
  <c r="AA76" i="32"/>
  <c r="AA77" i="32"/>
  <c r="AB74" i="32" s="1"/>
  <c r="Y31" i="3" l="1"/>
  <c r="AB76" i="32" s="1"/>
  <c r="AB77" i="32" s="1"/>
  <c r="AC74" i="32" s="1"/>
  <c r="Y32" i="3" l="1"/>
  <c r="Z31" i="3" s="1"/>
  <c r="Z32" i="3" l="1"/>
  <c r="AC76" i="32"/>
  <c r="AC77" i="32" s="1"/>
  <c r="AD74" i="32" s="1"/>
  <c r="AA31" i="3" l="1"/>
  <c r="AD76" i="32" s="1"/>
  <c r="AD77" i="32" s="1"/>
  <c r="AE74" i="32" s="1"/>
  <c r="AA32" i="3" l="1"/>
  <c r="AB31" i="3" l="1"/>
  <c r="AE76" i="32" s="1"/>
  <c r="AE77" i="32" s="1"/>
  <c r="AF74" i="32" s="1"/>
  <c r="AB32" i="3" l="1"/>
  <c r="AC31" i="3" l="1"/>
  <c r="AF76" i="32" s="1"/>
  <c r="AF77" i="32" s="1"/>
  <c r="AG74" i="32" s="1"/>
  <c r="AC32" i="3" l="1"/>
  <c r="AD31" i="3" l="1"/>
  <c r="AG76" i="32" s="1"/>
  <c r="AG77" i="32" s="1"/>
  <c r="AD32" i="3" l="1"/>
  <c r="B80" i="2" l="1"/>
  <c r="C89" i="2"/>
  <c r="C19" i="1" s="1"/>
  <c r="B19" i="1"/>
  <c r="B22" i="24" l="1"/>
  <c r="F22" i="24" s="1"/>
  <c r="F23" i="24" s="1"/>
  <c r="B52" i="2" s="1"/>
  <c r="C80" i="2"/>
  <c r="C10" i="1" s="1"/>
  <c r="B10" i="1"/>
  <c r="C80" i="32"/>
  <c r="C81" i="32" s="1"/>
  <c r="B47" i="2"/>
  <c r="B46" i="32" l="1"/>
  <c r="C52" i="2"/>
  <c r="D52" i="2"/>
  <c r="C47" i="2"/>
  <c r="D47" i="2"/>
  <c r="B48" i="2"/>
  <c r="B41" i="32"/>
  <c r="F81" i="32"/>
  <c r="F82" i="32" s="1"/>
  <c r="G80" i="32" s="1"/>
  <c r="J81" i="32"/>
  <c r="N81" i="32"/>
  <c r="R81" i="32"/>
  <c r="V81" i="32"/>
  <c r="Z81" i="32"/>
  <c r="AD81" i="32"/>
  <c r="G81" i="32"/>
  <c r="K81" i="32"/>
  <c r="O81" i="32"/>
  <c r="S81" i="32"/>
  <c r="W81" i="32"/>
  <c r="AA81" i="32"/>
  <c r="AE81" i="32"/>
  <c r="H81" i="32"/>
  <c r="L81" i="32"/>
  <c r="P81" i="32"/>
  <c r="T81" i="32"/>
  <c r="X81" i="32"/>
  <c r="AB81" i="32"/>
  <c r="AF81" i="32"/>
  <c r="U81" i="32"/>
  <c r="I81" i="32"/>
  <c r="Y81" i="32"/>
  <c r="Q81" i="32"/>
  <c r="M81" i="32"/>
  <c r="AC81" i="32"/>
  <c r="AG81" i="32"/>
  <c r="D48" i="2" l="1"/>
  <c r="C48" i="2"/>
  <c r="B42" i="32"/>
  <c r="G82" i="32"/>
  <c r="H80" i="32" s="1"/>
  <c r="H82" i="32" s="1"/>
  <c r="I80" i="32" s="1"/>
  <c r="I82" i="32" s="1"/>
  <c r="J80" i="32" s="1"/>
  <c r="J82" i="32" s="1"/>
  <c r="K80" i="32" s="1"/>
  <c r="K82" i="32" s="1"/>
  <c r="L80" i="32" s="1"/>
  <c r="L82" i="32" s="1"/>
  <c r="M80" i="32" s="1"/>
  <c r="M82" i="32" s="1"/>
  <c r="N80" i="32" s="1"/>
  <c r="N82" i="32" s="1"/>
  <c r="O80" i="32" s="1"/>
  <c r="O82" i="32" s="1"/>
  <c r="P80" i="32" s="1"/>
  <c r="P82" i="32" s="1"/>
  <c r="Q80" i="32" s="1"/>
  <c r="Q82" i="32" s="1"/>
  <c r="R80" i="32" s="1"/>
  <c r="R82" i="32" s="1"/>
  <c r="S80" i="32" s="1"/>
  <c r="S82" i="32" s="1"/>
  <c r="T80" i="32" s="1"/>
  <c r="T82" i="32" s="1"/>
  <c r="U80" i="32" s="1"/>
  <c r="U82" i="32" s="1"/>
  <c r="V80" i="32" s="1"/>
  <c r="V82" i="32" s="1"/>
  <c r="W80" i="32" s="1"/>
  <c r="W82" i="32" s="1"/>
  <c r="X80" i="32" s="1"/>
  <c r="X82" i="32" s="1"/>
  <c r="Y80" i="32" s="1"/>
  <c r="Y82" i="32" s="1"/>
  <c r="Z80" i="32" s="1"/>
  <c r="Z82" i="32" s="1"/>
  <c r="AA80" i="32" s="1"/>
  <c r="AA82" i="32" s="1"/>
  <c r="AB80" i="32" s="1"/>
  <c r="AB82" i="32" s="1"/>
  <c r="AC80" i="32" s="1"/>
  <c r="AC82" i="32" s="1"/>
  <c r="AD80" i="32" s="1"/>
  <c r="AD82" i="32" s="1"/>
  <c r="AE80" i="32" s="1"/>
  <c r="AE82" i="32" s="1"/>
  <c r="AF80" i="32" s="1"/>
  <c r="AF82" i="32" s="1"/>
  <c r="AG80" i="32" s="1"/>
  <c r="AG82" i="32" s="1"/>
  <c r="C58" i="2"/>
  <c r="D58" i="2"/>
  <c r="B62" i="2"/>
  <c r="B69" i="2" s="1"/>
  <c r="B63" i="32" s="1"/>
  <c r="B52" i="32"/>
  <c r="D62" i="2" l="1"/>
  <c r="B71" i="2"/>
  <c r="C71" i="2" s="1"/>
  <c r="C69" i="2"/>
  <c r="D69" i="2"/>
  <c r="B56" i="32"/>
  <c r="B73" i="2"/>
  <c r="C62" i="2"/>
  <c r="D71" i="2" l="1"/>
  <c r="B28" i="1"/>
  <c r="B65" i="32"/>
  <c r="D73" i="2"/>
  <c r="B75" i="2"/>
  <c r="B67" i="32"/>
  <c r="B83" i="2"/>
  <c r="C73" i="2"/>
  <c r="B29" i="1"/>
  <c r="B30" i="1" s="1"/>
  <c r="D28" i="1" s="1"/>
  <c r="C28" i="1"/>
  <c r="D26" i="1" l="1"/>
  <c r="D27" i="1"/>
  <c r="D83" i="2"/>
  <c r="D13" i="1" s="1"/>
  <c r="B13" i="1"/>
  <c r="B27" i="10" s="1"/>
  <c r="K27" i="10" s="1"/>
  <c r="K28" i="10" s="1"/>
  <c r="K29" i="10" s="1"/>
  <c r="C83" i="2"/>
  <c r="C13" i="1" s="1"/>
  <c r="C29" i="1"/>
  <c r="C30" i="1" s="1"/>
  <c r="D29" i="1"/>
  <c r="D79" i="2"/>
  <c r="D9" i="1" s="1"/>
  <c r="D89" i="2"/>
  <c r="D19" i="1" s="1"/>
  <c r="D80" i="2"/>
  <c r="D10" i="1" s="1"/>
  <c r="D84" i="2"/>
  <c r="D14" i="1" s="1"/>
  <c r="D90" i="2"/>
  <c r="D20" i="1" s="1"/>
  <c r="C75" i="2"/>
  <c r="D81" i="2"/>
  <c r="D11" i="1" s="1"/>
  <c r="D91" i="2"/>
  <c r="D21" i="1" s="1"/>
  <c r="B69" i="32"/>
  <c r="D75" i="2"/>
  <c r="B82" i="2"/>
  <c r="B85" i="2" s="1"/>
  <c r="B92" i="2"/>
  <c r="C92" i="2" l="1"/>
  <c r="C22" i="1" s="1"/>
  <c r="C23" i="1" s="1"/>
  <c r="D92" i="2"/>
  <c r="D22" i="1" s="1"/>
  <c r="D23" i="1" s="1"/>
  <c r="B93" i="2"/>
  <c r="B22" i="1"/>
  <c r="B23" i="1" s="1"/>
  <c r="C82" i="2"/>
  <c r="C12" i="1" s="1"/>
  <c r="D82" i="2"/>
  <c r="D12" i="1" s="1"/>
  <c r="B86" i="2"/>
  <c r="B35" i="3"/>
  <c r="B12" i="1"/>
  <c r="D85" i="2"/>
  <c r="D15" i="1" s="1"/>
  <c r="C85" i="2"/>
  <c r="C15" i="1" s="1"/>
  <c r="B15" i="1"/>
  <c r="D30" i="1"/>
  <c r="C16" i="1" l="1"/>
  <c r="D16" i="1"/>
  <c r="B16" i="1"/>
  <c r="C86" i="2"/>
  <c r="D86" i="2"/>
  <c r="D93" i="2"/>
  <c r="C93" i="2"/>
  <c r="C34" i="3"/>
  <c r="C35" i="3" s="1"/>
  <c r="D34" i="3" l="1"/>
  <c r="F92" i="32"/>
  <c r="F93" i="32" s="1"/>
  <c r="G90" i="32" s="1"/>
  <c r="C37" i="3"/>
  <c r="F96" i="32" s="1"/>
  <c r="D37" i="3" l="1"/>
  <c r="G96" i="32" s="1"/>
  <c r="G92" i="32"/>
  <c r="G93" i="32" s="1"/>
  <c r="H90" i="32" s="1"/>
  <c r="D35" i="3"/>
  <c r="E34" i="3" l="1"/>
  <c r="E35" i="3" s="1"/>
  <c r="F34" i="3" l="1"/>
  <c r="F35" i="3" s="1"/>
  <c r="H92" i="32"/>
  <c r="H93" i="32" s="1"/>
  <c r="I90" i="32" s="1"/>
  <c r="E37" i="3"/>
  <c r="H96" i="32" s="1"/>
  <c r="G34" i="3" l="1"/>
  <c r="G35" i="3" s="1"/>
  <c r="I92" i="32"/>
  <c r="I93" i="32" s="1"/>
  <c r="J90" i="32" s="1"/>
  <c r="F37" i="3"/>
  <c r="I96" i="32" s="1"/>
  <c r="H34" i="3" l="1"/>
  <c r="H35" i="3" s="1"/>
  <c r="J92" i="32"/>
  <c r="J93" i="32" s="1"/>
  <c r="K90" i="32" s="1"/>
  <c r="G37" i="3"/>
  <c r="J96" i="32" s="1"/>
  <c r="I34" i="3" l="1"/>
  <c r="I35" i="3" s="1"/>
  <c r="H37" i="3"/>
  <c r="K96" i="32" s="1"/>
  <c r="K92" i="32"/>
  <c r="K93" i="32" s="1"/>
  <c r="L90" i="32" s="1"/>
  <c r="J34" i="3" l="1"/>
  <c r="L92" i="32"/>
  <c r="L93" i="32" s="1"/>
  <c r="M90" i="32" s="1"/>
  <c r="I37" i="3"/>
  <c r="L96" i="32" s="1"/>
  <c r="M92" i="32" l="1"/>
  <c r="M93" i="32" s="1"/>
  <c r="N90" i="32" s="1"/>
  <c r="J37" i="3"/>
  <c r="M96" i="32" s="1"/>
  <c r="J35" i="3"/>
  <c r="K34" i="3" l="1"/>
  <c r="K35" i="3" s="1"/>
  <c r="L34" i="3" l="1"/>
  <c r="N92" i="32"/>
  <c r="N93" i="32" s="1"/>
  <c r="O90" i="32" s="1"/>
  <c r="K37" i="3"/>
  <c r="N96" i="32" s="1"/>
  <c r="L37" i="3" l="1"/>
  <c r="O96" i="32" s="1"/>
  <c r="O92" i="32"/>
  <c r="O93" i="32" s="1"/>
  <c r="P90" i="32" s="1"/>
  <c r="L35" i="3"/>
  <c r="M34" i="3" l="1"/>
  <c r="M35" i="3" s="1"/>
  <c r="N34" i="3" l="1"/>
  <c r="P92" i="32"/>
  <c r="P93" i="32" s="1"/>
  <c r="Q90" i="32" s="1"/>
  <c r="M37" i="3"/>
  <c r="P96" i="32" s="1"/>
  <c r="Q92" i="32" l="1"/>
  <c r="Q93" i="32" s="1"/>
  <c r="R90" i="32" s="1"/>
  <c r="N37" i="3"/>
  <c r="Q96" i="32" s="1"/>
  <c r="N35" i="3"/>
  <c r="O34" i="3" l="1"/>
  <c r="R92" i="32" l="1"/>
  <c r="R93" i="32" s="1"/>
  <c r="S90" i="32" s="1"/>
  <c r="O37" i="3"/>
  <c r="R96" i="32" s="1"/>
  <c r="O35" i="3"/>
  <c r="P34" i="3" l="1"/>
  <c r="P35" i="3" s="1"/>
  <c r="Q34" i="3" l="1"/>
  <c r="Q35" i="3" s="1"/>
  <c r="P37" i="3"/>
  <c r="S96" i="32" s="1"/>
  <c r="S92" i="32"/>
  <c r="S93" i="32" s="1"/>
  <c r="T90" i="32" s="1"/>
  <c r="R34" i="3" l="1"/>
  <c r="T92" i="32"/>
  <c r="T93" i="32" s="1"/>
  <c r="U90" i="32" s="1"/>
  <c r="Q37" i="3"/>
  <c r="T96" i="32" s="1"/>
  <c r="U92" i="32" l="1"/>
  <c r="U93" i="32" s="1"/>
  <c r="V90" i="32" s="1"/>
  <c r="R37" i="3"/>
  <c r="U96" i="32" s="1"/>
  <c r="R35" i="3"/>
  <c r="S34" i="3" l="1"/>
  <c r="S35" i="3" s="1"/>
  <c r="T34" i="3" l="1"/>
  <c r="V92" i="32"/>
  <c r="V93" i="32" s="1"/>
  <c r="W90" i="32" s="1"/>
  <c r="S37" i="3"/>
  <c r="V96" i="32" s="1"/>
  <c r="T37" i="3" l="1"/>
  <c r="W96" i="32" s="1"/>
  <c r="W92" i="32"/>
  <c r="W93" i="32"/>
  <c r="X90" i="32" s="1"/>
  <c r="T35" i="3"/>
  <c r="U34" i="3" l="1"/>
  <c r="U35" i="3" s="1"/>
  <c r="V34" i="3" l="1"/>
  <c r="X92" i="32"/>
  <c r="X93" i="32" s="1"/>
  <c r="Y90" i="32" s="1"/>
  <c r="U37" i="3"/>
  <c r="X96" i="32" s="1"/>
  <c r="Y92" i="32" l="1"/>
  <c r="Y93" i="32" s="1"/>
  <c r="Z90" i="32" s="1"/>
  <c r="V37" i="3"/>
  <c r="Y96" i="32" s="1"/>
  <c r="V35" i="3"/>
  <c r="W34" i="3" l="1"/>
  <c r="W35" i="3" s="1"/>
  <c r="X34" i="3" l="1"/>
  <c r="Z92" i="32"/>
  <c r="Z93" i="32" s="1"/>
  <c r="AA90" i="32" s="1"/>
  <c r="W37" i="3"/>
  <c r="Z96" i="32" s="1"/>
  <c r="X37" i="3" l="1"/>
  <c r="AA96" i="32" s="1"/>
  <c r="AA92" i="32"/>
  <c r="AA93" i="32" s="1"/>
  <c r="AB90" i="32" s="1"/>
  <c r="X35" i="3"/>
  <c r="Y34" i="3" l="1"/>
  <c r="Y35" i="3" s="1"/>
  <c r="Z34" i="3" l="1"/>
  <c r="AB92" i="32"/>
  <c r="AB93" i="32" s="1"/>
  <c r="AC90" i="32" s="1"/>
  <c r="Y37" i="3"/>
  <c r="AB96" i="32" s="1"/>
  <c r="AC92" i="32" l="1"/>
  <c r="AC93" i="32" s="1"/>
  <c r="AD90" i="32" s="1"/>
  <c r="Z37" i="3"/>
  <c r="AC96" i="32" s="1"/>
  <c r="Z35" i="3"/>
  <c r="AA34" i="3" l="1"/>
  <c r="AA35" i="3" s="1"/>
  <c r="AB34" i="3" l="1"/>
  <c r="AD92" i="32"/>
  <c r="AD93" i="32" s="1"/>
  <c r="AE90" i="32" s="1"/>
  <c r="AA37" i="3"/>
  <c r="AD96" i="32" s="1"/>
  <c r="AB37" i="3" l="1"/>
  <c r="AE96" i="32" s="1"/>
  <c r="AE92" i="32"/>
  <c r="AE93" i="32" s="1"/>
  <c r="AF90" i="32" s="1"/>
  <c r="AB35" i="3"/>
  <c r="AC34" i="3" l="1"/>
  <c r="AC35" i="3" s="1"/>
  <c r="AD34" i="3" l="1"/>
  <c r="AF92" i="32"/>
  <c r="AF93" i="32" s="1"/>
  <c r="AG90" i="32" s="1"/>
  <c r="AC37" i="3"/>
  <c r="AF96" i="32" s="1"/>
  <c r="AG92" i="32" l="1"/>
  <c r="AG93" i="32" s="1"/>
  <c r="AD37" i="3"/>
  <c r="AG96" i="32" s="1"/>
  <c r="AD35" i="3"/>
</calcChain>
</file>

<file path=xl/sharedStrings.xml><?xml version="1.0" encoding="utf-8"?>
<sst xmlns="http://schemas.openxmlformats.org/spreadsheetml/2006/main" count="664" uniqueCount="411">
  <si>
    <t>Project Name</t>
  </si>
  <si>
    <t>Developer</t>
  </si>
  <si>
    <t>Address</t>
  </si>
  <si>
    <t>Units:</t>
  </si>
  <si>
    <t>BBL</t>
  </si>
  <si>
    <t>PROJECT OVERVIEW</t>
  </si>
  <si>
    <t>% of Total GSF</t>
  </si>
  <si>
    <t>Total GSF</t>
  </si>
  <si>
    <t>Use Type</t>
  </si>
  <si>
    <t>Residential</t>
  </si>
  <si>
    <t>efficiency level</t>
  </si>
  <si>
    <t>Commerical</t>
  </si>
  <si>
    <t>Community</t>
  </si>
  <si>
    <t>Parking</t>
  </si>
  <si>
    <t># parking spaces</t>
  </si>
  <si>
    <t>Total Project GSF</t>
  </si>
  <si>
    <t>Unit Type</t>
  </si>
  <si>
    <t>Total Units</t>
  </si>
  <si>
    <t>% of Total Units</t>
  </si>
  <si>
    <t>Rooms per DU</t>
  </si>
  <si>
    <t>Total Rooms</t>
  </si>
  <si>
    <t>0BR</t>
  </si>
  <si>
    <t>1BR</t>
  </si>
  <si>
    <t>2BR</t>
  </si>
  <si>
    <t>3BR</t>
  </si>
  <si>
    <t>4BR</t>
  </si>
  <si>
    <t>Super Unit</t>
  </si>
  <si>
    <t>Total</t>
  </si>
  <si>
    <t>Household Income Limit (AMI)</t>
  </si>
  <si>
    <t>90% AMI</t>
  </si>
  <si>
    <t>110% AMI</t>
  </si>
  <si>
    <t>130% AMI</t>
  </si>
  <si>
    <t>Studio</t>
  </si>
  <si>
    <t>AHC Funding</t>
  </si>
  <si>
    <t>Subsidy per Unit Total</t>
  </si>
  <si>
    <t>AMI Limit</t>
  </si>
  <si>
    <t># of DU</t>
  </si>
  <si>
    <t>Total Subsidy</t>
  </si>
  <si>
    <t>SOURCES AND USES</t>
  </si>
  <si>
    <t>Construction Sources</t>
  </si>
  <si>
    <t>Per DU</t>
  </si>
  <si>
    <t>% of Total</t>
  </si>
  <si>
    <t>Gap (Surplus)</t>
  </si>
  <si>
    <t>TOTAL SOURCES</t>
  </si>
  <si>
    <t>Permament Sources</t>
  </si>
  <si>
    <t>Uses</t>
  </si>
  <si>
    <t>Acquisition</t>
  </si>
  <si>
    <t>Hard Costs</t>
  </si>
  <si>
    <t>Soft Costs</t>
  </si>
  <si>
    <t>Developer Fee</t>
  </si>
  <si>
    <t>TOTAL USES</t>
  </si>
  <si>
    <t>DEVELOPMENT BUDGET</t>
  </si>
  <si>
    <t>USES</t>
  </si>
  <si>
    <t>PSF</t>
  </si>
  <si>
    <t>Notes</t>
  </si>
  <si>
    <t>Purchase Price</t>
  </si>
  <si>
    <t>Total Acquisition Costs</t>
  </si>
  <si>
    <t>Demolition</t>
  </si>
  <si>
    <t>Contractor Price</t>
  </si>
  <si>
    <t>Residental</t>
  </si>
  <si>
    <t>Commercial</t>
  </si>
  <si>
    <t>Community Space</t>
  </si>
  <si>
    <t>Hard Cost Contingency</t>
  </si>
  <si>
    <t>x hard costs</t>
  </si>
  <si>
    <t>Total Hard Costs</t>
  </si>
  <si>
    <t>Professional Fees</t>
  </si>
  <si>
    <t>Accounting</t>
  </si>
  <si>
    <t>Appraisal</t>
  </si>
  <si>
    <t>Borrower's Legal</t>
  </si>
  <si>
    <t>Borrower's Engineer/Architect</t>
  </si>
  <si>
    <t>HPD preference: &lt;5.5% of hard costs</t>
  </si>
  <si>
    <t>Bank's Engineer - Plan and Cost Review</t>
  </si>
  <si>
    <t>Bank's Engineer - Inspections</t>
  </si>
  <si>
    <t>per visit</t>
  </si>
  <si>
    <t>Bank's Legal (Construction Loan)</t>
  </si>
  <si>
    <t>Controlled Inspections</t>
  </si>
  <si>
    <t>of hard costs</t>
  </si>
  <si>
    <t>Environmental Phase I &amp; Phase II</t>
  </si>
  <si>
    <t>Environmental CEQR</t>
  </si>
  <si>
    <t>Green Consultant and EGC Fee</t>
  </si>
  <si>
    <t>Geotechnical</t>
  </si>
  <si>
    <t xml:space="preserve">Permits/Expeditor </t>
  </si>
  <si>
    <t>Surveys</t>
  </si>
  <si>
    <t>Subtotal</t>
  </si>
  <si>
    <t>Closing &amp; Other Fees</t>
  </si>
  <si>
    <t>Bank Commitment Fee</t>
  </si>
  <si>
    <t>of loan amount</t>
  </si>
  <si>
    <t>EO 50 Fee</t>
  </si>
  <si>
    <t>HDFC Fee</t>
  </si>
  <si>
    <t>per du</t>
  </si>
  <si>
    <t>Signs</t>
  </si>
  <si>
    <t>per site</t>
  </si>
  <si>
    <t>Title Insurance</t>
  </si>
  <si>
    <t>x loan amounts</t>
  </si>
  <si>
    <t>Carrying Costs</t>
  </si>
  <si>
    <t>AG Offering Plan</t>
  </si>
  <si>
    <t>of Sales</t>
  </si>
  <si>
    <t>Construction Loan Interest</t>
  </si>
  <si>
    <t>Homeownership Counseling/Training</t>
  </si>
  <si>
    <t>Insurance (Liability, Builder's Risk)</t>
  </si>
  <si>
    <t>Legal (unit closings)</t>
  </si>
  <si>
    <t>Legal (offering plan)</t>
  </si>
  <si>
    <t>Marketing</t>
  </si>
  <si>
    <t>NYS Transfer Tax (End Loans)</t>
  </si>
  <si>
    <t>of Contract Price (including subsidy)</t>
  </si>
  <si>
    <t>Property taxes</t>
    <phoneticPr fontId="3" type="noConversion"/>
  </si>
  <si>
    <t>Security</t>
  </si>
  <si>
    <t>Utilities</t>
  </si>
  <si>
    <t>Reserves</t>
  </si>
  <si>
    <t>Capitalized Operating Reserve</t>
  </si>
  <si>
    <t>Capitalized Replacement Reserve</t>
  </si>
  <si>
    <t xml:space="preserve">per du </t>
  </si>
  <si>
    <t>Soft Cost Contingency</t>
  </si>
  <si>
    <t>of soft costs</t>
  </si>
  <si>
    <t>Total Soft Costs</t>
  </si>
  <si>
    <t>of subtotals</t>
  </si>
  <si>
    <t>Total Development Cost</t>
  </si>
  <si>
    <t>Tot</t>
  </si>
  <si>
    <t>% of TOTAL</t>
  </si>
  <si>
    <t>Construction Loan</t>
  </si>
  <si>
    <t>NYC HPD Open Door</t>
  </si>
  <si>
    <t>NYS Affordable Housing Corporation (AHC)</t>
  </si>
  <si>
    <t>Developer Equity</t>
  </si>
  <si>
    <t>Deferred Developer Fee</t>
  </si>
  <si>
    <t>Deferred Reserves</t>
  </si>
  <si>
    <t>Gap/(Surplus)</t>
  </si>
  <si>
    <t>Permanent Sources</t>
  </si>
  <si>
    <t>Sales Proceeds</t>
  </si>
  <si>
    <t>total</t>
  </si>
  <si>
    <t>Land Subsidy (Appraisal DATE)</t>
  </si>
  <si>
    <t>Term</t>
  </si>
  <si>
    <t>Months</t>
  </si>
  <si>
    <t>Construction</t>
  </si>
  <si>
    <t>Total term</t>
  </si>
  <si>
    <t>Interest Rates</t>
  </si>
  <si>
    <t>HPD Loan</t>
  </si>
  <si>
    <t>Interest Calculation</t>
  </si>
  <si>
    <t>Amount</t>
  </si>
  <si>
    <t>% Outstanding</t>
  </si>
  <si>
    <t>Term (years)</t>
  </si>
  <si>
    <t>Rate</t>
  </si>
  <si>
    <t>Interest</t>
  </si>
  <si>
    <t>Total Construction Interest</t>
  </si>
  <si>
    <t>HOUSING EXPENSE PER UNIT SIZE</t>
  </si>
  <si>
    <t>2016 AMI'S</t>
  </si>
  <si>
    <t>PROJECTED 2017 AMI'S</t>
  </si>
  <si>
    <t>HH Factor</t>
  </si>
  <si>
    <t>HH Size</t>
  </si>
  <si>
    <t>Income Limit</t>
  </si>
  <si>
    <t>of 2016 AMI</t>
  </si>
  <si>
    <t>of Income (Annual)</t>
  </si>
  <si>
    <t>of Income (Monthly)</t>
  </si>
  <si>
    <t>of AMI</t>
  </si>
  <si>
    <t>1 BR</t>
  </si>
  <si>
    <t>2 BR</t>
  </si>
  <si>
    <t>3 BR</t>
  </si>
  <si>
    <t>4 BR</t>
  </si>
  <si>
    <t>5 BR</t>
  </si>
  <si>
    <t>MONTHLY HOUSING COST</t>
  </si>
  <si>
    <t>Average Monthly</t>
  </si>
  <si>
    <t xml:space="preserve">Average Monthly </t>
  </si>
  <si>
    <t>Monthly</t>
  </si>
  <si>
    <t>CAM Charge</t>
  </si>
  <si>
    <t>Home Insurance</t>
  </si>
  <si>
    <t>Mortgage Payment</t>
  </si>
  <si>
    <t>Housing Cost</t>
  </si>
  <si>
    <t>One Bedroom</t>
  </si>
  <si>
    <t>Two Bedroom</t>
  </si>
  <si>
    <t>PROJECTED 2018 AMI'S</t>
  </si>
  <si>
    <t>PROJECTED 2019 AMI'S</t>
  </si>
  <si>
    <t>Three Bedroom</t>
  </si>
  <si>
    <t>*Includes monthly mortgage payments and CAM charges</t>
  </si>
  <si>
    <t>HOUSING COST BURDEN ANALYSIS (MONTHLY HOUSING COST AS % OF HH INCOME)</t>
  </si>
  <si>
    <t>MORTGAGE &amp; SALE PRICE ASSUMPTIONS</t>
  </si>
  <si>
    <t>Habitat / SONYMA Mortgage Program</t>
  </si>
  <si>
    <t>Interest Rate</t>
  </si>
  <si>
    <t>Amortization (Yrs)</t>
  </si>
  <si>
    <t>Total Downpayment</t>
  </si>
  <si>
    <t>Total Mortgage</t>
  </si>
  <si>
    <t>Total Sale Price</t>
  </si>
  <si>
    <t># of Units</t>
  </si>
  <si>
    <t>Total Mortgages</t>
  </si>
  <si>
    <t>Total Sale Proceeds</t>
  </si>
  <si>
    <t>Current SONYMA End Loan Terms</t>
  </si>
  <si>
    <t>Habitat for Humanity</t>
  </si>
  <si>
    <t>Achieving the Dream</t>
  </si>
  <si>
    <t>LIRP (1-2)</t>
  </si>
  <si>
    <t>Down Pmt</t>
  </si>
  <si>
    <t>Min HH Size</t>
  </si>
  <si>
    <t>Max HH Size</t>
  </si>
  <si>
    <t>Sale Price Limit</t>
  </si>
  <si>
    <t>NA</t>
  </si>
  <si>
    <t>Unit Price</t>
  </si>
  <si>
    <t>No. Units</t>
  </si>
  <si>
    <t>Sales Total</t>
  </si>
  <si>
    <t>Average Sales/Month</t>
  </si>
  <si>
    <t>Construction period interest</t>
  </si>
  <si>
    <t>Post-construction interest</t>
  </si>
  <si>
    <t>Acutal</t>
  </si>
  <si>
    <t>Required</t>
  </si>
  <si>
    <t>% Sales to Amortize</t>
  </si>
  <si>
    <t>No. Sales to Amortize</t>
  </si>
  <si>
    <t>No. Months to Amortize</t>
  </si>
  <si>
    <t>Month</t>
  </si>
  <si>
    <t>Days</t>
  </si>
  <si>
    <t>SOURCES*</t>
  </si>
  <si>
    <t>AHC</t>
  </si>
  <si>
    <t>Reso A</t>
  </si>
  <si>
    <t>HPD</t>
  </si>
  <si>
    <t>Permanent Loan</t>
  </si>
  <si>
    <t>Sales</t>
  </si>
  <si>
    <t>Rolling Total</t>
  </si>
  <si>
    <t>Loan Balance</t>
  </si>
  <si>
    <t>Annual</t>
  </si>
  <si>
    <t>Commercial and Ancillary Income</t>
  </si>
  <si>
    <t># of spaces</t>
  </si>
  <si>
    <t>Monthly Rent</t>
  </si>
  <si>
    <t>Annual Income</t>
  </si>
  <si>
    <t>End Loan Assumptions</t>
  </si>
  <si>
    <t>Parking - At Grade</t>
  </si>
  <si>
    <t>Total sf</t>
  </si>
  <si>
    <t>Annual rent/sf</t>
  </si>
  <si>
    <t>Community Facility</t>
  </si>
  <si>
    <t>Electricity (No Electric Stove) Allowance</t>
  </si>
  <si>
    <t>Electricity (WITH Electric Stove) Allowance</t>
  </si>
  <si>
    <t>Gas Allowance</t>
  </si>
  <si>
    <t>Electricity (No Electric Stove) + Gas Allowance</t>
  </si>
  <si>
    <t>Electricity (WITH Electric Stove) + Gas Allowance</t>
  </si>
  <si>
    <t>Select Utility Allowance</t>
  </si>
  <si>
    <t>Buyer Income</t>
  </si>
  <si>
    <t>Unit</t>
  </si>
  <si>
    <t>BR Size</t>
  </si>
  <si>
    <t>Sales Price</t>
  </si>
  <si>
    <t>Supportable Mortgage</t>
  </si>
  <si>
    <t>Net SF</t>
  </si>
  <si>
    <t>Annual CAM</t>
  </si>
  <si>
    <t>Annual Utility Payments</t>
  </si>
  <si>
    <t>Annual Mortgage Payments</t>
  </si>
  <si>
    <t>Total Annual Housing Costs</t>
  </si>
  <si>
    <t>Buyer's Required Income</t>
  </si>
  <si>
    <t>AMI</t>
  </si>
  <si>
    <t>Market PSF</t>
  </si>
  <si>
    <t>Discount to Market (PSF)</t>
  </si>
  <si>
    <t>Market Sales Price</t>
  </si>
  <si>
    <t>Discount to Market (Sales Price)</t>
  </si>
  <si>
    <t>Household Factors</t>
  </si>
  <si>
    <t>Electricity</t>
  </si>
  <si>
    <t>Gas</t>
  </si>
  <si>
    <t>Allowance</t>
  </si>
  <si>
    <t>for a family of four</t>
  </si>
  <si>
    <t>studio</t>
  </si>
  <si>
    <t>2 BR FMR</t>
  </si>
  <si>
    <t>Rent Burden</t>
  </si>
  <si>
    <t>PROJECT TYPE (select below)</t>
  </si>
  <si>
    <t>New Construction/Special Needs</t>
  </si>
  <si>
    <t>As of:</t>
  </si>
  <si>
    <t>Based on highest VPS for Elevator Buildings or Walk-Ups</t>
  </si>
  <si>
    <t>Income</t>
  </si>
  <si>
    <t>Tenant</t>
  </si>
  <si>
    <t>Limit</t>
  </si>
  <si>
    <t>Pays No</t>
  </si>
  <si>
    <t>Pays</t>
  </si>
  <si>
    <t>Pays Gas &amp;</t>
  </si>
  <si>
    <t>HH size</t>
  </si>
  <si>
    <t>HH factor</t>
  </si>
  <si>
    <t>Unit Size</t>
  </si>
  <si>
    <t>Units</t>
  </si>
  <si>
    <t>Rooms</t>
  </si>
  <si>
    <t>Buildings</t>
  </si>
  <si>
    <t>Elevators</t>
  </si>
  <si>
    <t>Maintenance &amp; Operating Expenses/Common Area Charges (CAM)</t>
  </si>
  <si>
    <t>Expenses</t>
  </si>
  <si>
    <t>Dev Budget</t>
  </si>
  <si>
    <t>CPC Standards</t>
  </si>
  <si>
    <t>Legal</t>
  </si>
  <si>
    <t>per unit</t>
  </si>
  <si>
    <t>Accounting/Audit</t>
  </si>
  <si>
    <t>per building</t>
  </si>
  <si>
    <t>Management Fee</t>
  </si>
  <si>
    <t>of Resi. Income</t>
  </si>
  <si>
    <t>Insurance</t>
  </si>
  <si>
    <t xml:space="preserve">per unit </t>
  </si>
  <si>
    <t xml:space="preserve">If &lt;20 Units </t>
  </si>
  <si>
    <t>$725 per unit</t>
  </si>
  <si>
    <t>Monitor</t>
  </si>
  <si>
    <t>If &gt;=20 Units</t>
  </si>
  <si>
    <t>$630 per unit</t>
  </si>
  <si>
    <t>Heating</t>
  </si>
  <si>
    <t xml:space="preserve">per room </t>
  </si>
  <si>
    <t>per room (gas)</t>
  </si>
  <si>
    <t>Gas &amp; Electricity</t>
  </si>
  <si>
    <t>$145/$120</t>
  </si>
  <si>
    <t>per room (elevator/walk-up)</t>
  </si>
  <si>
    <t>Water &amp; Sewer</t>
  </si>
  <si>
    <t>per room</t>
  </si>
  <si>
    <t>per room (water meter)</t>
  </si>
  <si>
    <t>Maintenance/repairs</t>
  </si>
  <si>
    <t>Cleaning supplies</t>
  </si>
  <si>
    <t>Elevator</t>
  </si>
  <si>
    <t>per elevator</t>
  </si>
  <si>
    <t>Superintendent/Staff Salaries</t>
  </si>
  <si>
    <t>per unit (flexible)</t>
  </si>
  <si>
    <t>Building reserves</t>
  </si>
  <si>
    <t>Total Annual Expenses (with 5% vacancy factor)</t>
  </si>
  <si>
    <t>Project Annual Cash Flow</t>
  </si>
  <si>
    <t>Escalators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</si>
  <si>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</si>
  <si>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</si>
  <si>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</si>
  <si>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</si>
  <si>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</si>
  <si>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</si>
  <si>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</si>
  <si>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</si>
  <si>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</si>
  <si>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</si>
  <si>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</si>
  <si>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</si>
  <si>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</si>
  <si>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</si>
  <si>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</si>
  <si>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INCOME</t>
  </si>
  <si>
    <t>Parking Income</t>
  </si>
  <si>
    <t>(Parking Vacancy Deduction)</t>
  </si>
  <si>
    <t>Residential Income (CAM)</t>
  </si>
  <si>
    <t>(Residential Vacancy Deduction)</t>
  </si>
  <si>
    <t>Commercial &amp; Community Space Income</t>
  </si>
  <si>
    <t>(Commercial &amp; Community Space Vacancy Deduction)</t>
  </si>
  <si>
    <t>Total Income</t>
  </si>
  <si>
    <t>EXPENSES</t>
  </si>
  <si>
    <t>M&amp;O</t>
  </si>
  <si>
    <t>Total Expenses</t>
  </si>
  <si>
    <t>Net Operating Income</t>
  </si>
  <si>
    <t>Capital Reserve Balance (Includes NOI)</t>
  </si>
  <si>
    <t>Month after Closing</t>
  </si>
  <si>
    <t>DATE</t>
  </si>
  <si>
    <t>Units Under contract</t>
  </si>
  <si>
    <t>Units Under Contract per Month</t>
  </si>
  <si>
    <t>Cumulative Units Under Contract</t>
  </si>
  <si>
    <t>Remaining Sponsor Units Owned Not Under Contract</t>
  </si>
  <si>
    <t>Units Closed</t>
  </si>
  <si>
    <t>Units Closed per Month</t>
  </si>
  <si>
    <t>Cumulative Units Closed</t>
  </si>
  <si>
    <t>Remaining Sponsor Units Owned</t>
  </si>
  <si>
    <t>Residential Sales Proceeds</t>
  </si>
  <si>
    <t xml:space="preserve">Commercial  Sales Proceeds </t>
  </si>
  <si>
    <t>Total Gross Sales Proceeds</t>
  </si>
  <si>
    <t>Sales Costs</t>
  </si>
  <si>
    <t>Proceeds Available for Mortgage Paydown</t>
  </si>
  <si>
    <t>Remaining Construction Loan</t>
  </si>
  <si>
    <t>Proceeds Available for Equity Paydown</t>
  </si>
  <si>
    <t>Remaining Equity</t>
  </si>
  <si>
    <t>Proceeds Available for Developer Fee</t>
  </si>
  <si>
    <t>Common Charges Paid by Sponsor</t>
  </si>
  <si>
    <t>RE Tax During Construction</t>
  </si>
  <si>
    <t>Pre-Closing</t>
  </si>
  <si>
    <t>Closing</t>
  </si>
  <si>
    <t>Description</t>
  </si>
  <si>
    <t>Budget</t>
  </si>
  <si>
    <t>Equity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</si>
  <si>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</si>
  <si>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</si>
  <si>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</si>
  <si>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</si>
  <si>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</si>
  <si>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</si>
  <si>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</si>
  <si>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</si>
  <si>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</si>
  <si>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</si>
  <si>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</si>
  <si>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</si>
  <si>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</si>
  <si>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</si>
  <si>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</si>
  <si>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</si>
  <si>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</si>
  <si>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</si>
  <si>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</si>
  <si>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</si>
  <si>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</si>
  <si>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</si>
  <si>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</si>
  <si>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</si>
  <si>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25</t>
  </si>
  <si>
    <t>Month 26</t>
  </si>
  <si>
    <t>Month 27</t>
  </si>
  <si>
    <t>Month 28</t>
  </si>
  <si>
    <t>First Mortgage (Lender:___)</t>
  </si>
  <si>
    <t>Construction Loan Monthly Beginning Balance</t>
  </si>
  <si>
    <t>Construction Loan Monthly Draw</t>
  </si>
  <si>
    <t>total loan</t>
  </si>
  <si>
    <t>Construction Loan Monthly Paydown</t>
  </si>
  <si>
    <t>% of construction sources</t>
  </si>
  <si>
    <t>Construction Loan Outstanding Balance</t>
  </si>
  <si>
    <t>Second Mortgage (Lender: HPD)</t>
  </si>
  <si>
    <t>HPD Loan Monthly Beginning Balance</t>
  </si>
  <si>
    <t>HPD Loan Monthly Draw</t>
  </si>
  <si>
    <t>HPD Loan Outstanding Balance</t>
  </si>
  <si>
    <t>Third Mortgage (Lender: AHC)</t>
  </si>
  <si>
    <t>AHC Loan Monthly Beginning Balance</t>
  </si>
  <si>
    <t>AHC Loan Monthly Draw</t>
  </si>
  <si>
    <t>AHC Loan Outstanding Balance</t>
  </si>
  <si>
    <t>Equity Schedule</t>
  </si>
  <si>
    <t>Equity Monthly Beginning Balance</t>
  </si>
  <si>
    <t>Equity Monthly Draw</t>
  </si>
  <si>
    <t>Equity Monthly Paydown</t>
  </si>
  <si>
    <t xml:space="preserve">Equity Total Investment </t>
  </si>
  <si>
    <t>Developer Fee Schedule</t>
  </si>
  <si>
    <t>Developer Fee Monthly Payment</t>
  </si>
  <si>
    <t>100% AMI (2020)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</si>
</sst>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&quot;$&quot;* #,##0_);_(&quot;$&quot;* \(#,##0\);_(&quot;$&quot;* &quot;-&quot;??_);_(@_)"/>
    <numFmt numFmtId="167" formatCode="0.0%"/>
    <numFmt numFmtId="168" formatCode="_(* #,##0.00_);_(* \(#,##0.00\);_(* &quot;-&quot;_);_(@_)"/>
    <numFmt numFmtId="169" formatCode="_(* #,##0_);_(* \(#,##0\);_(* &quot;-&quot;?_);_(@_)"/>
    <numFmt numFmtId="170" formatCode="0.0"/>
    <numFmt numFmtId="171" formatCode="_(* #,##0.0_);_(* \(#,##0.0\);_(* &quot;-&quot;??_);_(@_)"/>
    <numFmt numFmtId="172" formatCode="#,##0.000000000_);[Red]\(#,##0.000000000\)"/>
    <numFmt numFmtId="173" formatCode="&quot;$&quot;#,##0"/>
    <numFmt numFmtId="174" formatCode="0.000%"/>
    <numFmt numFmtId="175" formatCode="[$-409]mmmm\ d\,\ yyyy;@"/>
    <numFmt numFmtId="176" formatCode="0_)"/>
    <numFmt numFmtId="177" formatCode="_-* #,##0_-;\-* #,##0_-;_-* &quot;-&quot;??_-;_-@_-"/>
    <numFmt numFmtId="178" formatCode="&quot;Income Limits &amp; Rents at &quot;0%\ &quot;AMI&quot;"/>
    <numFmt numFmtId="179" formatCode="&quot;Income Limits &amp; Rents at &quot;0%\ &quot;of AMI&quot;"/>
    <numFmt numFmtId="180" formatCode="0%\ &quot;of AMI&quot;"/>
    <numFmt numFmtId="181" formatCode="0.000"/>
    <numFmt numFmtId="182" formatCode="&quot;$&quot;#,##0.00"/>
    <numFmt numFmtId="183" formatCode="&quot;$&quot;#,##0.0000"/>
    <numFmt numFmtId="184" formatCode="&quot;$&quot;#,##0\ ;[Red]\(&quot;$&quot;#,##0\)"/>
    <numFmt numFmtId="185" formatCode="&quot;$&quot;#,##0.00\ ;[Red]\(&quot;$&quot;#,##0.00\)"/>
    <numFmt numFmtId="186" formatCode="#,##0.0"/>
    <numFmt numFmtId="187" formatCode="0.000_)"/>
    <numFmt numFmtId="188" formatCode="&quot;$&quot;#,##0\ ;\(&quot;$&quot;#,##0\)"/>
    <numFmt numFmtId="189" formatCode="_([$€-2]* #,##0.00_);_([$€-2]* \(#,##0.00\);_([$€-2]* &quot;-&quot;??_)"/>
    <numFmt numFmtId="190" formatCode="_ * #,##0_ ;_ * \-#,##0_ ;_ * &quot;-&quot;_ ;_ @_ "/>
    <numFmt numFmtId="191" formatCode="_-* #,##0_-;\-* #,##0_-;_-* &quot;-&quot;_-;_-@_-"/>
    <numFmt numFmtId="192" formatCode="_-&quot;£&quot;* #,##0_-;\-&quot;£&quot;* #,##0_-;_-&quot;£&quot;* &quot;-&quot;_-;_-@_-"/>
    <numFmt numFmtId="193" formatCode="_-&quot;£&quot;* #,##0.00_-;\-&quot;£&quot;* #,##0.00_-;_-&quot;£&quot;* &quot;-&quot;??_-;_-@_-"/>
    <numFmt numFmtId="194" formatCode="General_)"/>
    <numFmt numFmtId="195" formatCode="#,##0.0_);\(#,##0.0\)"/>
    <numFmt numFmtId="196" formatCode="0.00_)"/>
    <numFmt numFmtId="197" formatCode="0.0_)\%;\(0.0\)\%;0.0_)\%;@_)_%"/>
    <numFmt numFmtId="198" formatCode="#,##0.0_)_%;\(#,##0.0\)_%;0.0_)_%;@_)_%"/>
    <numFmt numFmtId="199" formatCode="#,##0.0_);\(#,##0.0\);#,##0.0_);@_)"/>
    <numFmt numFmtId="200" formatCode="&quot;$&quot;_(#,##0.00_);&quot;$&quot;\(#,##0.00\);&quot;$&quot;_(0.00_);@_)"/>
    <numFmt numFmtId="201" formatCode="#,##0.00_);\(#,##0.00\);0.00_);@_)"/>
    <numFmt numFmtId="202" formatCode="\€_(#,##0.00_);\€\(#,##0.00\);\€_(0.00_);@_)"/>
    <numFmt numFmtId="203" formatCode="#,##0_)\x;\(#,##0\)\x;0_)\x;@_)_x"/>
    <numFmt numFmtId="204" formatCode="#,##0_)_x;\(#,##0\)_x;0_)_x;@_)_x"/>
    <numFmt numFmtId="205" formatCode="#,##0.0\ ;\(#,##0.0\)"/>
    <numFmt numFmtId="206" formatCode="&quot;$&quot;#,##0.00_);\(&quot;$&quot;#,##0.00\)&quot; Per SF&quot;"/>
    <numFmt numFmtId="207" formatCode="&quot;$&quot;_(#,##0.00_);&quot;$&quot;\(#,##0.00\)"/>
    <numFmt numFmtId="208" formatCode="#,##0.0_);[Red]\(#,##0.0\)"/>
    <numFmt numFmtId="209" formatCode="#,##0_)&quot;**&quot;;[Red]\(#,##0\)&quot;**&quot;"/>
    <numFmt numFmtId="210" formatCode="@&quot; ($)&quot;"/>
    <numFmt numFmtId="211" formatCode="@&quot; (%)&quot;"/>
    <numFmt numFmtId="212" formatCode="@&quot; (£)&quot;"/>
    <numFmt numFmtId="213" formatCode="@&quot; (¥)&quot;"/>
    <numFmt numFmtId="214" formatCode="@&quot; (€)&quot;"/>
    <numFmt numFmtId="215" formatCode="@&quot; (x)&quot;"/>
    <numFmt numFmtId="216" formatCode="#,##0.0_x;\(#,##0.0\)_x;0.0_x;@_x"/>
    <numFmt numFmtId="217" formatCode="#,##0.0_x_x;\(#,##0.0\)_x_x;0.0_x_x;@_x_x"/>
    <numFmt numFmtId="218" formatCode="#,##0.0_x_x_x;\(#,##0.0\)_x_x_x;0.0_x_x_x;@_x_x_x"/>
    <numFmt numFmtId="219" formatCode="#,##0.0_x_x_x_x;\(#,##0.0\)_x_x_x_x;0.0_x_x_x_x;@_x_x_x_x"/>
    <numFmt numFmtId="220" formatCode="#,##0.00_x;\(#,##0.00\)_x;0.00_x;@_x"/>
    <numFmt numFmtId="221" formatCode="#,##0.00_x_x;\(#,##0.00\)_x_x;0_x_x;@_x_x"/>
    <numFmt numFmtId="222" formatCode="#,##0.00_x_x_x;\(#,##0.00\)_x_x_x;0.00_x_x_x;@_x_x_x"/>
    <numFmt numFmtId="223" formatCode="#,##0.00_x_x_x_x;\(#,##0.00\)_x_x_x_x;0.00_x_x_x_x;@_x_x_x_x"/>
    <numFmt numFmtId="224" formatCode="#,##0_x;\(#,##0\)_x;0_x;@_x"/>
    <numFmt numFmtId="225" formatCode="#,##0_x_x;\(#,##0\)_x_x;0_x_x;@_x_x"/>
    <numFmt numFmtId="226" formatCode="#,##0_x_x_x;\(#,##0\)_x_x_x;0_x_x_x;@_x_x_x"/>
    <numFmt numFmtId="227" formatCode="#,##0_x_x_x_x_x_x;\(#,##0\)_x_x_x_x;0_x_x_x_x;@_x_x_x_x"/>
    <numFmt numFmtId="228" formatCode="#,##0_x_x_x_x;\(#,##0\)_x_x_x_x;0_x_x_x_x;@_x_x_x_x"/>
    <numFmt numFmtId="229" formatCode="#,##0_x_x_x_x_x;\(#,##0\)_x_x_x_x;0_x_x_x_x;@_x_x_x_x"/>
    <numFmt numFmtId="230" formatCode="#,##0.0_)\x;\(#,##0.0\)\x"/>
    <numFmt numFmtId="231" formatCode="#,##0.0_)_x;\(#,##0.0\)_x"/>
    <numFmt numFmtId="232" formatCode="0.0_)\%;\(0.0\)\%"/>
    <numFmt numFmtId="233" formatCode="#,##0.0_)_%;\(#,##0.0\)_%"/>
    <numFmt numFmtId="234" formatCode="0.00\ &quot;Acres&quot;"/>
    <numFmt numFmtId="235" formatCode="&quot;AOB = &quot;0.00%"/>
    <numFmt numFmtId="236" formatCode="#,##0&quot; SQ FT AUDITORIUM&quot;"/>
    <numFmt numFmtId="237" formatCode="#,##0&quot; SQ M AUDITORIUM&quot;"/>
    <numFmt numFmtId="238" formatCode="&quot;$&quot;#,##0.0;\(&quot;$&quot;#,##0.0\)"/>
    <numFmt numFmtId="239" formatCode="&quot;DEVELOPERS FEE &quot;0.00%"/>
    <numFmt numFmtId="240" formatCode="0.00%\ &quot;TO DEVELOPMENT PARTNER&quot;"/>
    <numFmt numFmtId="241" formatCode="&quot;$&quot;#,##0.00_);\(&quot;$&quot;#,##0.00\)\ &quot;$/Sq Ft&quot;"/>
    <numFmt numFmtId="242" formatCode="&quot;Equity Fund @&quot;\ &quot;$&quot;#,##0_);\(&quot;$&quot;#,##0\)"/>
    <numFmt numFmtId="243" formatCode="#,##0\ &quot;SQ FT EXISTING CONF. MODULES&quot;"/>
    <numFmt numFmtId="244" formatCode="#."/>
    <numFmt numFmtId="245" formatCode="0.00%&quot; TO FINANCIAL PARTNER&quot;"/>
    <numFmt numFmtId="246" formatCode="&quot;G.P. = &quot;0.00%"/>
    <numFmt numFmtId="247" formatCode="0.00_);[Red]\(0.00\)"/>
    <numFmt numFmtId="248" formatCode="0.00%&quot; INTEREST RATE&quot;"/>
    <numFmt numFmtId="249" formatCode="#,##0&quot; SQ FT LD VIEW OFFICE 4 FL&quot;"/>
    <numFmt numFmtId="250" formatCode="#,##0\ &quot;SQ FT CONFERENCE MODULE&quot;"/>
    <numFmt numFmtId="251" formatCode="&quot;Month&quot;\ 0"/>
    <numFmt numFmtId="252" formatCode="#,##0.00\ &quot;Months&quot;"/>
    <numFmt numFmtId="253" formatCode="_-&quot;$&quot;* #,##0.00_-;\-&quot;$&quot;* #,##0.00_-;_-&quot;$&quot;* &quot;-&quot;??_-;_-@_-"/>
    <numFmt numFmtId="254" formatCode="#,##0&quot; NEW T M OFFICE - PERIMETER&quot;"/>
    <numFmt numFmtId="255" formatCode="&quot;$&quot;#,##0_);\(&quot;$&quot;#,##0\)\ &quot; Per Acre&quot;"/>
    <numFmt numFmtId="256" formatCode="0.00%;\-0.00%;\-??_)"/>
    <numFmt numFmtId="257" formatCode="_-* #,##0.0_-;\-* #,##0.0_-;_-* &quot;-&quot;??_-;_-@_-"/>
    <numFmt numFmtId="258" formatCode="&quot;Less: Phase 2 @ &quot;0.00%"/>
    <numFmt numFmtId="259" formatCode="&quot;Qtr &quot;0"/>
    <numFmt numFmtId="260" formatCode="&quot;Quarter&quot;\ 0"/>
    <numFmt numFmtId="261" formatCode="[Blue]#,##0_);[Red]\(#,##0\)"/>
    <numFmt numFmtId="262" formatCode="&quot; RESIDUAL ASSET SALE @ CAP = &quot;0.00%"/>
    <numFmt numFmtId="263" formatCode="#,##0&quot; SQ FT RETAIL SHOP&quot;"/>
    <numFmt numFmtId="264" formatCode="#,##0&quot; SQ M SEA VIEW OFFICE 4 FL&quot;"/>
    <numFmt numFmtId="265" formatCode="#,##0&quot; SQ M SEA VIEW OFFICE 1st FL&quot;"/>
    <numFmt numFmtId="266" formatCode="#,##0&quot; SQ M TRADE MART PERIMETER&quot;"/>
    <numFmt numFmtId="267" formatCode="* #,##0,\k_);* \(#,##0,\k\);\-??_)"/>
    <numFmt numFmtId="268" formatCode="#,##0\ &quot;TOTAL  AREA&quot;"/>
    <numFmt numFmtId="269" formatCode="yyyy"/>
    <numFmt numFmtId="270" formatCode="0\ &quot;Years&quot;"/>
    <numFmt numFmtId="271" formatCode="0.00\x"/>
    <numFmt numFmtId="272" formatCode="mm/dd/yy"/>
    <numFmt numFmtId="273" formatCode="[$$-409]#,##0_);\([$$-409]#,##0\)"/>
    <numFmt numFmtId="274" formatCode="&quot;¥&quot;_(#,##0.00_);&quot;¥&quot;\(#,##0.00\)"/>
    <numFmt numFmtId="275" formatCode="#,##0."/>
    <numFmt numFmtId="276" formatCode="0.0_x_);\(0.0\)_x"/>
    <numFmt numFmtId="277" formatCode="0.0\x_);\(0.0\x\)"/>
    <numFmt numFmtId="278" formatCode="\£#,##0_);\(\£#,##0\)"/>
    <numFmt numFmtId="279" formatCode="yy&quot;\&quot;&quot;\&quot;&quot;\&quot;\-mm&quot;\&quot;&quot;\&quot;&quot;\&quot;\-dd&quot;\&quot;&quot;\&quot;&quot;\&quot;&quot;\&quot;\ h:mm"/>
    <numFmt numFmtId="280" formatCode="\¥#,##0_);\(\¥#,##0\)"/>
    <numFmt numFmtId="281" formatCode="#,##0.0\x;\(#,##0.0\)\x"/>
    <numFmt numFmtId="282" formatCode="_(* #,##0_);_(* \(#,##0\);_(* &quot;--- &quot;_)"/>
    <numFmt numFmtId="283" formatCode="&quot;          &quot;@"/>
    <numFmt numFmtId="284" formatCode=";;;"/>
    <numFmt numFmtId="285" formatCode="###0.0;[Red]\-###0.0"/>
    <numFmt numFmtId="286" formatCode="&quot;€&quot;_(#,##0.00_);&quot;€&quot;\(#,##0.00\);&quot;€&quot;_(0.00_);@_)"/>
    <numFmt numFmtId="287" formatCode="0.0%;[Red]\(0.0%\)"/>
    <numFmt numFmtId="288" formatCode="_ &quot;S/&quot;* #,##0.00_ ;_ &quot;S/&quot;* \-#,##0.00_ ;_ &quot;S/&quot;* &quot;-&quot;??_ ;_ @_ "/>
    <numFmt numFmtId="289" formatCode="_(* #,###.0_);_(* \(#,###.0\);_(* &quot;-&quot;?_);_(@_)"/>
    <numFmt numFmtId="290" formatCode="_(&quot;$&quot;* #,##0_);_(&quot;$&quot;* \(#,##0\);_(&quot;$&quot;* &quot;--- &quot;_)"/>
    <numFmt numFmtId="291" formatCode="mmm\-d\-yyyy"/>
    <numFmt numFmtId="292" formatCode="0.0000%"/>
    <numFmt numFmtId="293" formatCode="_ &quot;S/&quot;* #,##0_ ;_ &quot;S/&quot;* \-#,##0_ ;_ &quot;S/&quot;* &quot;-&quot;_ ;_ @_ "/>
    <numFmt numFmtId="294" formatCode="_ * #,##0.00_ ;_ * \-#,##0.00_ ;_ * &quot;-&quot;??_ ;_ @_ "/>
    <numFmt numFmtId="295" formatCode="#,##0.0%;\(#,##0.0%\)"/>
    <numFmt numFmtId="296" formatCode="&quot;                &quot;@"/>
    <numFmt numFmtId="297" formatCode="0;0;"/>
    <numFmt numFmtId="298" formatCode="0.0%\,\-"/>
    <numFmt numFmtId="299" formatCode="#,##0.00\x"/>
    <numFmt numFmtId="300" formatCode="#,##0.00\x_);[Red]\(#,##0.00\x\)"/>
    <numFmt numFmtId="301" formatCode="[$-409]mmmm\-yy;@"/>
    <numFmt numFmtId="302" formatCode="0_);[Red]\(0\)"/>
    <numFmt numFmtId="303" formatCode="0.00%_);[Red]\(0.00%\)"/>
    <numFmt numFmtId="304" formatCode="0."/>
    <numFmt numFmtId="305" formatCode="0.0%_);[Red]\(0.0%\)"/>
    <numFmt numFmtId="306" formatCode="&quot;$&quot;#,##0.0_);\(&quot;$&quot;#,##0.0\)"/>
    <numFmt numFmtId="307" formatCode="&quot;$&quot;#,##0.0;[Red]\(&quot;$&quot;#,##0.0\)"/>
    <numFmt numFmtId="308" formatCode="#,##0.0;[Red]\(#,##0.0\)"/>
    <numFmt numFmtId="309" formatCode="#,##0.0\x;[Red]\(#,##0.0\)\x"/>
    <numFmt numFmtId="310" formatCode="_(* #,##0.000_);_(* \(#,##0.000\);_(* &quot;-&quot;???_);_(@_)"/>
  </numFmts>
  <fonts count="3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13C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13C8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rgb="FF0013C8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indexed="9"/>
      <name val="Arial"/>
      <family val="2"/>
    </font>
    <font>
      <b/>
      <sz val="11"/>
      <color rgb="FF0013C8"/>
      <name val="Arial"/>
      <family val="2"/>
    </font>
    <font>
      <sz val="11"/>
      <color indexed="8"/>
      <name val="Arial"/>
      <family val="2"/>
    </font>
    <font>
      <sz val="11"/>
      <color indexed="12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sz val="11"/>
      <color indexed="62"/>
      <name val="Arial"/>
      <family val="2"/>
    </font>
    <font>
      <b/>
      <u/>
      <sz val="1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Times New Roman"/>
      <family val="1"/>
    </font>
    <font>
      <i/>
      <sz val="11"/>
      <name val="Arial"/>
      <family val="2"/>
    </font>
    <font>
      <sz val="11"/>
      <name val="Tms Rmn"/>
      <family val="1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Helv"/>
    </font>
    <font>
      <sz val="12"/>
      <color indexed="8"/>
      <name val="Times New Roman"/>
      <family val="1"/>
    </font>
    <font>
      <b/>
      <sz val="10"/>
      <name val="Helvetica"/>
      <family val="2"/>
    </font>
    <font>
      <sz val="14"/>
      <name val="Helvetica"/>
      <family val="2"/>
    </font>
    <font>
      <sz val="9.85"/>
      <color indexed="8"/>
      <name val="Arial"/>
      <family val="2"/>
    </font>
    <font>
      <sz val="12"/>
      <color indexed="12"/>
      <name val="Arial"/>
      <family val="2"/>
    </font>
    <font>
      <sz val="10"/>
      <name val="Garamand Classic Light"/>
    </font>
    <font>
      <b/>
      <sz val="14"/>
      <name val="Arial"/>
      <family val="2"/>
    </font>
    <font>
      <sz val="10"/>
      <color indexed="8"/>
      <name val="MS Sans Serif"/>
      <family val="2"/>
    </font>
    <font>
      <sz val="16"/>
      <name val="Arial"/>
      <family val="2"/>
    </font>
    <font>
      <b/>
      <sz val="16"/>
      <name val="Arial"/>
      <family val="2"/>
    </font>
    <font>
      <i/>
      <sz val="12"/>
      <name val="Helvetica"/>
      <family val="2"/>
    </font>
    <font>
      <b/>
      <sz val="10"/>
      <name val="MS Sans Serif"/>
      <family val="2"/>
    </font>
    <font>
      <i/>
      <sz val="12"/>
      <name val="Arial"/>
      <family val="2"/>
    </font>
    <font>
      <sz val="14"/>
      <name val="Arial"/>
      <family val="2"/>
    </font>
    <font>
      <u/>
      <sz val="7.5"/>
      <color indexed="12"/>
      <name val="Arial"/>
      <family val="2"/>
    </font>
    <font>
      <sz val="8"/>
      <name val="Times"/>
      <family val="1"/>
    </font>
    <font>
      <sz val="10"/>
      <name val="MS Sans Serif"/>
      <family val="2"/>
    </font>
    <font>
      <sz val="10"/>
      <name val="Courier"/>
      <family val="3"/>
    </font>
    <font>
      <sz val="10"/>
      <color indexed="12"/>
      <name val="Geneva"/>
      <family val="2"/>
    </font>
    <font>
      <sz val="11"/>
      <color indexed="8"/>
      <name val="Calibri"/>
      <family val="2"/>
    </font>
    <font>
      <sz val="10"/>
      <color theme="1"/>
      <name val="Calibri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0"/>
      <color rgb="FF000000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"/>
      <family val="1"/>
    </font>
    <font>
      <sz val="12"/>
      <name val="Times"/>
      <family val="1"/>
    </font>
    <font>
      <b/>
      <sz val="15"/>
      <name val="DomCasual BT"/>
      <family val="4"/>
    </font>
    <font>
      <i/>
      <sz val="9"/>
      <name val="Arial"/>
      <family val="2"/>
    </font>
    <font>
      <sz val="8"/>
      <name val="Tahoma"/>
      <family val="2"/>
    </font>
    <font>
      <sz val="9"/>
      <name val="Tms Rmn"/>
    </font>
    <font>
      <sz val="10"/>
      <name val="Tms Rmn"/>
    </font>
    <font>
      <sz val="8"/>
      <color indexed="12"/>
      <name val="Tms Rmn"/>
    </font>
    <font>
      <sz val="8"/>
      <name val="Verdana"/>
      <family val="2"/>
    </font>
    <font>
      <sz val="11"/>
      <name val="Arial Narrow"/>
      <family val="2"/>
    </font>
    <font>
      <b/>
      <sz val="14"/>
      <color indexed="8"/>
      <name val="Times New Roman"/>
      <family val="1"/>
    </font>
    <font>
      <sz val="12"/>
      <name val="NewCenturySchlbk"/>
      <family val="1"/>
    </font>
    <font>
      <sz val="10"/>
      <name val="Palatino"/>
      <family val="1"/>
    </font>
    <font>
      <sz val="12"/>
      <color indexed="24"/>
      <name val="Arial"/>
      <family val="2"/>
    </font>
    <font>
      <sz val="10"/>
      <color indexed="8"/>
      <name val="Times New Roman"/>
      <family val="1"/>
    </font>
    <font>
      <sz val="8"/>
      <name val="Helv"/>
    </font>
    <font>
      <sz val="12"/>
      <name val="Helv"/>
    </font>
    <font>
      <b/>
      <u/>
      <sz val="9"/>
      <name val="Times New Roman"/>
      <family val="1"/>
    </font>
    <font>
      <sz val="10"/>
      <name val="GarmdITC Lt BT"/>
    </font>
    <font>
      <sz val="10"/>
      <name val="Courier New"/>
      <family val="3"/>
    </font>
    <font>
      <b/>
      <sz val="8"/>
      <name val="Arial Narrow"/>
      <family val="2"/>
    </font>
    <font>
      <b/>
      <sz val="10"/>
      <name val="Americana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sz val="9"/>
      <name val="Arial Narrow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u/>
      <sz val="8"/>
      <color indexed="8"/>
      <name val="Tahoma"/>
      <family val="2"/>
    </font>
    <font>
      <b/>
      <sz val="18"/>
      <name val="Tms Rmn"/>
    </font>
    <font>
      <b/>
      <sz val="12"/>
      <name val="Tms Rmn"/>
    </font>
    <font>
      <b/>
      <sz val="14"/>
      <name val="Times"/>
      <family val="1"/>
    </font>
    <font>
      <sz val="12"/>
      <color indexed="9"/>
      <name val="Helv"/>
    </font>
    <font>
      <sz val="10"/>
      <name val="Americana"/>
    </font>
    <font>
      <sz val="12"/>
      <color indexed="13"/>
      <name val="Helv"/>
    </font>
    <font>
      <sz val="9"/>
      <name val="Americana"/>
    </font>
    <font>
      <sz val="12"/>
      <name val="Americana"/>
    </font>
    <font>
      <b/>
      <sz val="8"/>
      <color indexed="23"/>
      <name val="Verdana"/>
      <family val="2"/>
    </font>
    <font>
      <b/>
      <i/>
      <sz val="16"/>
      <name val="Helv"/>
    </font>
    <font>
      <b/>
      <sz val="10"/>
      <name val="Tahoma"/>
      <family val="2"/>
    </font>
    <font>
      <sz val="12"/>
      <color indexed="17"/>
      <name val="Helv"/>
    </font>
    <font>
      <b/>
      <sz val="10"/>
      <color indexed="8"/>
      <name val="Times New Roman"/>
      <family val="1"/>
    </font>
    <font>
      <sz val="8"/>
      <name val="Times New Roman"/>
      <family val="1"/>
    </font>
    <font>
      <sz val="16"/>
      <color indexed="9"/>
      <name val="Tahoma"/>
      <family val="2"/>
    </font>
    <font>
      <sz val="8"/>
      <name val="Univers (WN)"/>
    </font>
    <font>
      <vertAlign val="superscript"/>
      <sz val="10"/>
      <name val="Futura Bk BT"/>
      <family val="2"/>
    </font>
    <font>
      <b/>
      <sz val="8"/>
      <color indexed="63"/>
      <name val="Verdana"/>
      <family val="2"/>
    </font>
    <font>
      <b/>
      <sz val="11"/>
      <name val="Times New Roman"/>
      <family val="1"/>
    </font>
    <font>
      <b/>
      <sz val="9"/>
      <name val="Tms Rmn"/>
    </font>
    <font>
      <b/>
      <sz val="10"/>
      <name val="Tms Rmn"/>
    </font>
    <font>
      <b/>
      <u/>
      <sz val="10"/>
      <name val="Times"/>
      <family val="1"/>
    </font>
    <font>
      <sz val="11"/>
      <name val="ＭＳ Ｐゴシック"/>
      <charset val="128"/>
    </font>
    <font>
      <b/>
      <sz val="12"/>
      <name val="Helv"/>
      <family val="2"/>
    </font>
    <font>
      <b/>
      <sz val="12"/>
      <name val="Helvetica"/>
      <family val="2"/>
    </font>
    <font>
      <b/>
      <i/>
      <sz val="10"/>
      <name val="Helv"/>
      <family val="2"/>
    </font>
    <font>
      <b/>
      <i/>
      <sz val="10"/>
      <name val="Helvetica"/>
      <family val="2"/>
    </font>
    <font>
      <b/>
      <sz val="8"/>
      <name val="Helv"/>
      <family val="2"/>
    </font>
    <font>
      <b/>
      <sz val="8"/>
      <name val="Helvetica"/>
      <family val="2"/>
    </font>
    <font>
      <b/>
      <sz val="14"/>
      <name val="Times New Roman"/>
      <family val="1"/>
    </font>
    <font>
      <sz val="7"/>
      <color indexed="12"/>
      <name val="Times New Roman"/>
      <family val="1"/>
    </font>
    <font>
      <sz val="10"/>
      <color indexed="12"/>
      <name val="Times New Roman"/>
      <family val="1"/>
    </font>
    <font>
      <sz val="12"/>
      <name val="Tms Rmn"/>
      <family val="1"/>
    </font>
    <font>
      <b/>
      <i/>
      <sz val="10"/>
      <color indexed="30"/>
      <name val="Comic Sans MS"/>
      <family val="4"/>
    </font>
    <font>
      <sz val="8"/>
      <color indexed="30"/>
      <name val="Comic Sans MS"/>
      <family val="4"/>
    </font>
    <font>
      <b/>
      <sz val="8"/>
      <color indexed="30"/>
      <name val="Comic Sans MS"/>
      <family val="4"/>
    </font>
    <font>
      <sz val="10"/>
      <color indexed="30"/>
      <name val="Comic Sans MS"/>
      <family val="4"/>
    </font>
    <font>
      <sz val="8"/>
      <name val="Helvetica-Narrow"/>
      <family val="2"/>
    </font>
    <font>
      <u val="singleAccounting"/>
      <sz val="10"/>
      <name val="Arial"/>
      <family val="2"/>
    </font>
    <font>
      <b/>
      <sz val="11"/>
      <color indexed="10"/>
      <name val="Calibri"/>
      <family val="2"/>
    </font>
    <font>
      <b/>
      <sz val="7"/>
      <name val="Helvetica-Narrow"/>
      <family val="2"/>
    </font>
    <font>
      <b/>
      <sz val="7"/>
      <name val="GillSans"/>
      <family val="2"/>
    </font>
    <font>
      <sz val="8"/>
      <name val="Palatino"/>
      <family val="1"/>
    </font>
    <font>
      <b/>
      <sz val="8"/>
      <name val="Times"/>
      <family val="1"/>
    </font>
    <font>
      <sz val="1"/>
      <color indexed="8"/>
      <name val="Courier"/>
      <family val="3"/>
    </font>
    <font>
      <b/>
      <sz val="10"/>
      <color indexed="30"/>
      <name val="Comic Sans MS"/>
      <family val="4"/>
    </font>
    <font>
      <sz val="12"/>
      <color indexed="30"/>
      <name val="Comic Sans MS"/>
      <family val="4"/>
    </font>
    <font>
      <sz val="10"/>
      <name val="MS Serif"/>
      <family val="1"/>
    </font>
    <font>
      <sz val="10"/>
      <name val="Book Antiqua"/>
      <family val="1"/>
    </font>
    <font>
      <sz val="10"/>
      <name val="Geneva"/>
      <family val="2"/>
    </font>
    <font>
      <u/>
      <sz val="8"/>
      <color indexed="12"/>
      <name val="Times New Roman"/>
      <family val="1"/>
    </font>
    <font>
      <u val="doubleAccounting"/>
      <sz val="10"/>
      <name val="Arial"/>
      <family val="2"/>
    </font>
    <font>
      <sz val="14"/>
      <color indexed="8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sz val="8"/>
      <color indexed="8"/>
      <name val="Times New Roman"/>
      <family val="1"/>
    </font>
    <font>
      <i/>
      <sz val="9"/>
      <name val="Times New Roman"/>
      <family val="1"/>
    </font>
    <font>
      <i/>
      <sz val="10"/>
      <name val="Times New Roman"/>
      <family val="1"/>
    </font>
    <font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b/>
      <sz val="9"/>
      <name val="Times New Roman"/>
      <family val="1"/>
    </font>
    <font>
      <sz val="22"/>
      <name val="Times New Roman"/>
      <family val="1"/>
    </font>
    <font>
      <b/>
      <i/>
      <sz val="8"/>
      <color indexed="12"/>
      <name val="Arial"/>
      <family val="2"/>
    </font>
    <font>
      <sz val="10"/>
      <color indexed="8"/>
      <name val="Arial CE"/>
    </font>
    <font>
      <sz val="10"/>
      <color indexed="16"/>
      <name val="MS Serif"/>
      <family val="1"/>
    </font>
    <font>
      <sz val="12"/>
      <name val="Times New Roman"/>
      <family val="1"/>
    </font>
    <font>
      <sz val="7"/>
      <name val="Palatino"/>
      <family val="1"/>
    </font>
    <font>
      <b/>
      <sz val="12"/>
      <color indexed="9"/>
      <name val="Tms Rmn"/>
    </font>
    <font>
      <b/>
      <sz val="10"/>
      <color indexed="9"/>
      <name val="GillSans"/>
      <family val="2"/>
    </font>
    <font>
      <b/>
      <sz val="10"/>
      <color indexed="8"/>
      <name val="GillSans"/>
      <family val="2"/>
    </font>
    <font>
      <b/>
      <sz val="16"/>
      <name val="Times New Roman"/>
      <family val="1"/>
    </font>
    <font>
      <b/>
      <sz val="11"/>
      <color indexed="62"/>
      <name val="Calibri"/>
      <family val="2"/>
    </font>
    <font>
      <b/>
      <i/>
      <sz val="22"/>
      <name val="Times New Roman"/>
      <family val="1"/>
    </font>
    <font>
      <b/>
      <sz val="8"/>
      <name val="MS Sans Serif"/>
      <family val="2"/>
    </font>
    <font>
      <sz val="10"/>
      <color indexed="16"/>
      <name val="MS Sans Serif"/>
      <family val="2"/>
    </font>
    <font>
      <b/>
      <sz val="10"/>
      <name val="Verdana"/>
      <family val="2"/>
    </font>
    <font>
      <sz val="14"/>
      <name val="Architecture"/>
      <family val="2"/>
    </font>
    <font>
      <sz val="10"/>
      <color indexed="18"/>
      <name val="Times New Roman"/>
      <family val="1"/>
    </font>
    <font>
      <sz val="11"/>
      <color indexed="19"/>
      <name val="Calibri"/>
      <family val="2"/>
    </font>
    <font>
      <sz val="7"/>
      <name val="Small Fonts"/>
      <family val="2"/>
    </font>
    <font>
      <sz val="10"/>
      <name val="Verdana"/>
      <family val="2"/>
    </font>
    <font>
      <sz val="11"/>
      <name val="Times New Roman"/>
      <family val="1"/>
    </font>
    <font>
      <sz val="8"/>
      <color indexed="12"/>
      <name val="Times New Roman"/>
      <family val="1"/>
    </font>
    <font>
      <sz val="10"/>
      <color indexed="8"/>
      <name val="garmond"/>
    </font>
    <font>
      <b/>
      <sz val="10"/>
      <color indexed="8"/>
      <name val="Garamond"/>
      <family val="1"/>
    </font>
    <font>
      <sz val="11"/>
      <name val="‚l‚r –¾’©"/>
      <family val="3"/>
    </font>
    <font>
      <b/>
      <i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b/>
      <sz val="14"/>
      <color indexed="12"/>
      <name val="Arial"/>
      <family val="2"/>
    </font>
    <font>
      <sz val="22"/>
      <name val="UBSHeadline"/>
      <family val="1"/>
    </font>
    <font>
      <sz val="10"/>
      <name val="Tms Rmn"/>
      <family val="1"/>
    </font>
    <font>
      <sz val="10"/>
      <color indexed="9"/>
      <name val="Verdana"/>
      <family val="2"/>
    </font>
    <font>
      <sz val="8"/>
      <name val="Wingdings"/>
      <charset val="2"/>
    </font>
    <font>
      <sz val="10"/>
      <name val="GillSans Light"/>
      <family val="2"/>
    </font>
    <font>
      <b/>
      <sz val="14"/>
      <color indexed="56"/>
      <name val="Times New Roman"/>
      <family val="1"/>
    </font>
    <font>
      <sz val="8"/>
      <name val="MS Sans Serif"/>
      <family val="2"/>
    </font>
    <font>
      <sz val="10"/>
      <name val="ＭＳ Ｐゴシック"/>
      <family val="3"/>
      <charset val="128"/>
    </font>
    <font>
      <b/>
      <sz val="9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2"/>
      <color indexed="60"/>
      <name val="Swis721 Cn BT"/>
      <family val="2"/>
    </font>
    <font>
      <sz val="9"/>
      <name val="Helvetica-Black"/>
    </font>
    <font>
      <b/>
      <sz val="18"/>
      <color indexed="62"/>
      <name val="Cambria"/>
      <family val="2"/>
    </font>
    <font>
      <b/>
      <sz val="10"/>
      <name val="Helvetica 65"/>
      <family val="2"/>
    </font>
    <font>
      <u/>
      <sz val="8"/>
      <name val="Times New Roman"/>
      <family val="1"/>
    </font>
    <font>
      <b/>
      <sz val="8"/>
      <name val="Times New Roman"/>
      <family val="1"/>
    </font>
    <font>
      <b/>
      <sz val="12"/>
      <name val="CG Times (W1)"/>
      <family val="1"/>
    </font>
    <font>
      <b/>
      <i/>
      <sz val="12"/>
      <name val="CG Times (W1)"/>
      <family val="1"/>
    </font>
    <font>
      <b/>
      <i/>
      <sz val="24"/>
      <name val="Arial"/>
      <family val="2"/>
    </font>
    <font>
      <b/>
      <sz val="10"/>
      <color indexed="30"/>
      <name val="Arial"/>
      <family val="2"/>
    </font>
    <font>
      <b/>
      <sz val="7"/>
      <color indexed="12"/>
      <name val="Arial"/>
      <family val="2"/>
    </font>
    <font>
      <sz val="10"/>
      <color indexed="9"/>
      <name val="Tms Rmn"/>
    </font>
    <font>
      <sz val="7"/>
      <name val="Times New Roman"/>
      <family val="1"/>
    </font>
    <font>
      <sz val="11"/>
      <name val="ZapfCalligr BT"/>
      <family val="1"/>
    </font>
    <font>
      <sz val="10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14"/>
      <name val="Calibri"/>
      <family val="2"/>
    </font>
    <font>
      <sz val="10"/>
      <name val="Tahom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2"/>
      <color theme="1"/>
      <name val="Calibri"/>
      <family val="2"/>
      <scheme val="minor"/>
    </font>
    <font>
      <sz val="14"/>
      <name val="AngsanaUPC"/>
      <family val="1"/>
    </font>
    <font>
      <sz val="14"/>
      <name val="AngsanaUPC"/>
      <family val="1"/>
      <charset val="222"/>
    </font>
    <font>
      <sz val="10"/>
      <color indexed="24"/>
      <name val="Arial"/>
      <family val="2"/>
    </font>
    <font>
      <b/>
      <u/>
      <sz val="11"/>
      <color indexed="37"/>
      <name val="Arial"/>
      <family val="2"/>
    </font>
    <font>
      <sz val="11"/>
      <name val="??"/>
      <family val="3"/>
      <charset val="129"/>
    </font>
    <font>
      <sz val="10"/>
      <color indexed="12"/>
      <name val="Arial"/>
      <family val="2"/>
    </font>
    <font>
      <sz val="8"/>
      <name val="CG Times (W1)"/>
      <family val="1"/>
    </font>
    <font>
      <u/>
      <sz val="10"/>
      <color indexed="12"/>
      <name val="Times New Roman"/>
      <family val="1"/>
    </font>
    <font>
      <u/>
      <sz val="10"/>
      <color theme="10"/>
      <name val="Arial"/>
      <family val="2"/>
    </font>
    <font>
      <sz val="12"/>
      <name val="CG Times (W1)"/>
    </font>
    <font>
      <sz val="8.25"/>
      <name val="Helv"/>
    </font>
    <font>
      <sz val="12"/>
      <color theme="1"/>
      <name val="Times New Roman"/>
      <family val="2"/>
    </font>
    <font>
      <b/>
      <sz val="12"/>
      <color indexed="16"/>
      <name val="Times New Roman"/>
      <family val="1"/>
    </font>
    <font>
      <sz val="8"/>
      <color indexed="12"/>
      <name val="Arial"/>
      <family val="2"/>
    </font>
    <font>
      <sz val="10"/>
      <color theme="4" tint="-0.24994659260841701"/>
      <name val="Arial"/>
      <family val="2"/>
    </font>
    <font>
      <b/>
      <sz val="9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Futura Md BT"/>
      <family val="2"/>
    </font>
    <font>
      <sz val="12"/>
      <color indexed="8"/>
      <name val="Arial"/>
      <family val="2"/>
    </font>
    <font>
      <sz val="10"/>
      <name val="Arial"/>
      <family val="2"/>
    </font>
    <font>
      <u/>
      <sz val="10"/>
      <name val="Times New Roman"/>
      <family val="1"/>
    </font>
    <font>
      <b/>
      <sz val="10"/>
      <color indexed="9"/>
      <name val="GillSans"/>
      <family val="2"/>
    </font>
    <font>
      <sz val="9"/>
      <name val="GillSans Light"/>
      <family val="2"/>
    </font>
    <font>
      <sz val="8"/>
      <color indexed="9"/>
      <name val="Times New Roman"/>
      <family val="1"/>
    </font>
    <font>
      <i/>
      <sz val="14"/>
      <name val="Helv"/>
      <charset val="134"/>
    </font>
    <font>
      <b/>
      <sz val="10"/>
      <name val="Helv"/>
      <charset val="134"/>
    </font>
    <font>
      <b/>
      <sz val="10"/>
      <color indexed="16"/>
      <name val="GillSans"/>
      <family val="2"/>
    </font>
    <font>
      <sz val="10"/>
      <name val="Helv"/>
      <charset val="134"/>
    </font>
    <font>
      <sz val="10"/>
      <name val="GillSans Light"/>
      <family val="2"/>
    </font>
    <font>
      <sz val="12"/>
      <name val="BERNHARD"/>
      <charset val="134"/>
    </font>
    <font>
      <b/>
      <sz val="1"/>
      <color indexed="8"/>
      <name val="Courier"/>
      <family val="3"/>
    </font>
    <font>
      <sz val="12"/>
      <name val="Helv"/>
      <charset val="134"/>
    </font>
    <font>
      <b/>
      <sz val="7"/>
      <name val="Helvetica-Narrow"/>
      <family val="2"/>
    </font>
    <font>
      <sz val="7"/>
      <color indexed="16"/>
      <name val="Arial"/>
      <family val="2"/>
    </font>
    <font>
      <sz val="12"/>
      <color indexed="8"/>
      <name val="Helv"/>
      <charset val="134"/>
    </font>
    <font>
      <sz val="10"/>
      <name val="Garamand Classic Light"/>
      <charset val="134"/>
    </font>
    <font>
      <b/>
      <i/>
      <sz val="8"/>
      <color indexed="12"/>
      <name val="HelveticaNeue Condensed"/>
      <charset val="134"/>
    </font>
    <font>
      <sz val="10"/>
      <color indexed="8"/>
      <name val="Tms Rmn"/>
      <charset val="134"/>
    </font>
    <font>
      <sz val="12"/>
      <name val="Tms Rmn"/>
      <charset val="134"/>
    </font>
    <font>
      <sz val="10"/>
      <color indexed="10"/>
      <name val="Arial"/>
      <family val="2"/>
    </font>
    <font>
      <b/>
      <i/>
      <sz val="12"/>
      <name val="Times New Roman"/>
      <family val="1"/>
    </font>
    <font>
      <sz val="8"/>
      <color indexed="18"/>
      <name val="Times New Roman"/>
      <family val="1"/>
    </font>
    <font>
      <b/>
      <sz val="7"/>
      <name val="GillSans"/>
      <family val="2"/>
    </font>
    <font>
      <sz val="8"/>
      <color indexed="17"/>
      <name val="Times New Roman"/>
      <family val="1"/>
    </font>
    <font>
      <sz val="10"/>
      <name val="BERNHARD"/>
      <charset val="134"/>
    </font>
    <font>
      <sz val="14"/>
      <name val="Helv"/>
      <charset val="134"/>
    </font>
    <font>
      <b/>
      <sz val="10"/>
      <color indexed="8"/>
      <name val="GillSans"/>
      <family val="2"/>
    </font>
    <font>
      <u val="doubleAccounting"/>
      <sz val="10"/>
      <name val="Times New Roman"/>
      <family val="1"/>
    </font>
    <font>
      <sz val="10"/>
      <color indexed="17"/>
      <name val="Times New Roman"/>
      <family val="1"/>
    </font>
    <font>
      <i/>
      <sz val="2"/>
      <color indexed="9"/>
      <name val="Tms Rmn"/>
      <charset val="134"/>
    </font>
    <font>
      <b/>
      <sz val="8"/>
      <color indexed="18"/>
      <name val="Times New Roman"/>
      <family val="1"/>
    </font>
    <font>
      <sz val="7"/>
      <color indexed="12"/>
      <name val="Arial"/>
      <family val="2"/>
    </font>
    <font>
      <b/>
      <i/>
      <sz val="9"/>
      <name val="Times New Roman"/>
      <family val="1"/>
    </font>
    <font>
      <sz val="8"/>
      <name val="Helv"/>
      <charset val="134"/>
    </font>
    <font>
      <sz val="12"/>
      <name val="Arial MT"/>
      <charset val="134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i/>
      <sz val="12"/>
      <name val="Helv"/>
      <charset val="134"/>
    </font>
    <font>
      <u val="singleAccounting"/>
      <sz val="10"/>
      <name val="Times New Roman"/>
      <family val="1"/>
    </font>
    <font>
      <sz val="18"/>
      <name val="Times New Roman"/>
      <family val="1"/>
    </font>
    <font>
      <b/>
      <sz val="12"/>
      <color indexed="16"/>
      <name val="Arial"/>
      <family val="2"/>
    </font>
    <font>
      <b/>
      <sz val="10"/>
      <name val="Helvetica 65"/>
      <charset val="134"/>
    </font>
    <font>
      <sz val="9"/>
      <name val="GillSans Light"/>
      <family val="2"/>
    </font>
    <font>
      <b/>
      <sz val="10"/>
      <color indexed="16"/>
      <name val="GillSans"/>
      <family val="2"/>
    </font>
    <font>
      <sz val="11"/>
      <color theme="1"/>
      <name val="Calibri Light"/>
      <family val="2"/>
    </font>
    <font>
      <b/>
      <sz val="11"/>
      <name val="Calibri Light"/>
      <family val="2"/>
    </font>
    <font>
      <b/>
      <sz val="12"/>
      <name val="Calibri Light"/>
      <family val="2"/>
    </font>
    <font>
      <sz val="12"/>
      <color indexed="8"/>
      <name val="Calibri Light"/>
      <family val="2"/>
    </font>
    <font>
      <b/>
      <sz val="11"/>
      <color theme="1"/>
      <name val="Calibri Light"/>
      <family val="2"/>
    </font>
    <font>
      <sz val="12"/>
      <name val="Calibri Light"/>
      <family val="2"/>
    </font>
    <font>
      <sz val="11"/>
      <name val="Calibri Light"/>
      <family val="2"/>
    </font>
    <font>
      <i/>
      <sz val="11"/>
      <color theme="1"/>
      <name val="Calibri Light"/>
      <family val="2"/>
    </font>
    <font>
      <b/>
      <u/>
      <sz val="11"/>
      <name val="Calibri Light"/>
      <family val="2"/>
    </font>
    <font>
      <i/>
      <sz val="11"/>
      <name val="Calibri Light"/>
      <family val="2"/>
    </font>
    <font>
      <sz val="10"/>
      <name val="Calibri Light"/>
      <family val="2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 Light"/>
      <family val="2"/>
    </font>
    <font>
      <b/>
      <u/>
      <sz val="11"/>
      <color theme="1"/>
      <name val="Calibri Light"/>
      <family val="2"/>
    </font>
    <font>
      <sz val="11"/>
      <color indexed="9"/>
      <name val="Calibri Light"/>
      <family val="2"/>
    </font>
    <font>
      <sz val="11"/>
      <color indexed="8"/>
      <name val="Calibri Light"/>
      <family val="2"/>
    </font>
    <font>
      <b/>
      <sz val="11"/>
      <color indexed="8"/>
      <name val="Calibri Light"/>
      <family val="2"/>
    </font>
  </fonts>
  <fills count="8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lightGray">
        <fgColor indexed="15"/>
      </patternFill>
    </fill>
    <fill>
      <patternFill patternType="solid">
        <fgColor indexed="24"/>
        <bgColor indexed="64"/>
      </patternFill>
    </fill>
    <fill>
      <patternFill patternType="solid">
        <fgColor indexed="65"/>
        <bgColor indexed="64"/>
      </patternFill>
    </fill>
    <fill>
      <patternFill patternType="mediumGray"/>
    </fill>
    <fill>
      <patternFill patternType="solid">
        <fgColor indexed="8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34"/>
        <bgColor indexed="64"/>
      </patternFill>
    </fill>
    <fill>
      <patternFill patternType="solid">
        <fgColor indexed="10"/>
        <bgColor indexed="10"/>
      </patternFill>
    </fill>
    <fill>
      <patternFill patternType="solid">
        <fgColor indexed="22"/>
        <bgColor indexed="22"/>
      </patternFill>
    </fill>
    <fill>
      <patternFill patternType="gray0625"/>
    </fill>
    <fill>
      <patternFill patternType="gray0625">
        <fgColor indexed="13"/>
        <bgColor indexed="13"/>
      </patternFill>
    </fill>
    <fill>
      <patternFill patternType="mediumGray">
        <fgColor indexed="22"/>
      </patternFill>
    </fill>
    <fill>
      <patternFill patternType="gray0625">
        <fgColor indexed="10"/>
      </patternFill>
    </fill>
    <fill>
      <patternFill patternType="solid">
        <fgColor indexed="51"/>
        <bgColor indexed="64"/>
      </patternFill>
    </fill>
    <fill>
      <patternFill patternType="darkVertical"/>
    </fill>
    <fill>
      <patternFill patternType="solid">
        <fgColor indexed="1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3"/>
        <bgColor indexed="64"/>
      </patternFill>
    </fill>
    <fill>
      <patternFill patternType="gray0625">
        <fgColor indexed="8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13"/>
      </patternFill>
    </fill>
    <fill>
      <patternFill patternType="solid">
        <fgColor indexed="19"/>
      </patternFill>
    </fill>
    <fill>
      <patternFill patternType="mediumGray">
        <fgColor indexed="21"/>
      </patternFill>
    </fill>
    <fill>
      <patternFill patternType="lightGray">
        <fgColor indexed="22"/>
      </patternFill>
    </fill>
    <fill>
      <patternFill patternType="mediumGray">
        <fgColor indexed="22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22"/>
        <bgColor indexed="22"/>
      </patternFill>
    </fill>
  </fills>
  <borders count="19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30"/>
      </top>
      <bottom/>
      <diagonal/>
    </border>
    <border>
      <left style="thin">
        <color indexed="30"/>
      </left>
      <right style="thin">
        <color indexed="30"/>
      </right>
      <top/>
      <bottom style="double">
        <color indexed="30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indexed="30"/>
      </bottom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/>
      <right/>
      <top/>
      <bottom style="hair">
        <color indexed="64"/>
      </bottom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23"/>
      </bottom>
      <diagonal/>
    </border>
    <border>
      <left/>
      <right/>
      <top style="thick">
        <color indexed="17"/>
      </top>
      <bottom/>
      <diagonal/>
    </border>
    <border>
      <left/>
      <right/>
      <top/>
      <bottom style="thick">
        <color indexed="18"/>
      </bottom>
      <diagonal/>
    </border>
    <border>
      <left/>
      <right/>
      <top/>
      <bottom style="thin">
        <color indexed="18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hair">
        <color indexed="2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30"/>
      </left>
      <right/>
      <top/>
      <bottom style="thin">
        <color indexed="30"/>
      </bottom>
      <diagonal/>
    </border>
    <border>
      <left/>
      <right style="thin">
        <color indexed="30"/>
      </right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ck">
        <color indexed="30"/>
      </left>
      <right style="thin">
        <color indexed="30"/>
      </right>
      <top style="thick">
        <color indexed="30"/>
      </top>
      <bottom style="thick">
        <color indexed="30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45"/>
      </bottom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45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thin">
        <color indexed="22"/>
      </bottom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thin">
        <color indexed="30"/>
      </right>
      <top/>
      <bottom/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18"/>
      </bottom>
      <diagonal/>
    </border>
    <border>
      <left style="thin">
        <color indexed="30"/>
      </left>
      <right/>
      <top/>
      <bottom style="thin">
        <color indexed="30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thin">
        <color indexed="4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</borders>
  <cellStyleXfs count="654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27" fillId="0" borderId="0"/>
    <xf numFmtId="9" fontId="2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3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30" fillId="0" borderId="0"/>
    <xf numFmtId="0" fontId="3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30" fillId="0" borderId="0"/>
    <xf numFmtId="0" fontId="2" fillId="0" borderId="0"/>
    <xf numFmtId="0" fontId="2" fillId="0" borderId="0"/>
    <xf numFmtId="7" fontId="14" fillId="0" borderId="0" applyFont="0" applyFill="0" applyBorder="0" applyAlignment="0" applyProtection="0"/>
    <xf numFmtId="184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37" fontId="33" fillId="8" borderId="4">
      <alignment horizontal="left"/>
    </xf>
    <xf numFmtId="3" fontId="33" fillId="0" borderId="0"/>
    <xf numFmtId="0" fontId="34" fillId="0" borderId="13" applyNumberFormat="0" applyFill="0" applyAlignment="0" applyProtection="0"/>
    <xf numFmtId="0" fontId="35" fillId="0" borderId="19" applyNumberFormat="0" applyFill="0" applyAlignment="0">
      <alignment horizontal="center" vertical="center"/>
    </xf>
    <xf numFmtId="186" fontId="32" fillId="0" borderId="0" applyFont="0" applyFill="0" applyBorder="0" applyAlignment="0" applyProtection="0"/>
    <xf numFmtId="187" fontId="36" fillId="0" borderId="0"/>
    <xf numFmtId="187" fontId="36" fillId="0" borderId="0"/>
    <xf numFmtId="187" fontId="36" fillId="0" borderId="0"/>
    <xf numFmtId="187" fontId="36" fillId="0" borderId="0"/>
    <xf numFmtId="187" fontId="36" fillId="0" borderId="0"/>
    <xf numFmtId="187" fontId="36" fillId="0" borderId="0"/>
    <xf numFmtId="187" fontId="36" fillId="0" borderId="0"/>
    <xf numFmtId="187" fontId="36" fillId="0" borderId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" fontId="39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1" fillId="0" borderId="0">
      <alignment horizontal="left"/>
    </xf>
    <xf numFmtId="3" fontId="42" fillId="0" borderId="4" applyNumberFormat="0" applyProtection="0"/>
    <xf numFmtId="5" fontId="14" fillId="0" borderId="0" applyFont="0" applyFill="0" applyBorder="0" applyAlignment="0" applyProtection="0">
      <alignment horizontal="center"/>
    </xf>
    <xf numFmtId="44" fontId="43" fillId="0" borderId="0" applyFont="0" applyFill="0" applyBorder="0" applyAlignment="0" applyProtection="0"/>
    <xf numFmtId="8" fontId="39" fillId="0" borderId="0" applyFont="0" applyFill="0" applyBorder="0" applyAlignment="0" applyProtection="0"/>
    <xf numFmtId="188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3" fontId="44" fillId="9" borderId="20">
      <alignment horizontal="left" vertical="top" wrapText="1"/>
      <protection locked="0"/>
    </xf>
    <xf numFmtId="189" fontId="2" fillId="0" borderId="0" applyFont="0" applyFill="0" applyBorder="0" applyAlignment="0" applyProtection="0"/>
    <xf numFmtId="2" fontId="40" fillId="0" borderId="0" applyFont="0" applyFill="0" applyBorder="0" applyAlignment="0" applyProtection="0"/>
    <xf numFmtId="14" fontId="45" fillId="0" borderId="0">
      <alignment horizontal="right"/>
    </xf>
    <xf numFmtId="38" fontId="31" fillId="7" borderId="0" applyNumberFormat="0" applyBorder="0" applyAlignment="0" applyProtection="0"/>
    <xf numFmtId="3" fontId="46" fillId="0" borderId="0" applyNumberFormat="0" applyProtection="0"/>
    <xf numFmtId="0" fontId="46" fillId="0" borderId="2" applyNumberFormat="0" applyFill="0" applyAlignment="0"/>
    <xf numFmtId="0" fontId="33" fillId="0" borderId="0">
      <alignment horizontal="centerContinuous"/>
    </xf>
    <xf numFmtId="0" fontId="33" fillId="0" borderId="10" applyNumberFormat="0" applyAlignment="0" applyProtection="0">
      <alignment horizontal="left" vertical="center"/>
    </xf>
    <xf numFmtId="0" fontId="33" fillId="0" borderId="15">
      <alignment horizontal="left" vertical="center"/>
    </xf>
    <xf numFmtId="0" fontId="46" fillId="0" borderId="4"/>
    <xf numFmtId="5" fontId="33" fillId="0" borderId="0">
      <alignment horizontal="left" vertical="center"/>
    </xf>
    <xf numFmtId="5" fontId="14" fillId="0" borderId="0">
      <alignment horizontal="left" vertical="center"/>
    </xf>
    <xf numFmtId="5" fontId="22" fillId="10" borderId="21" applyNumberFormat="0">
      <alignment horizontal="left" vertical="center"/>
      <protection locked="0"/>
    </xf>
    <xf numFmtId="190" fontId="32" fillId="0" borderId="0"/>
    <xf numFmtId="0" fontId="2" fillId="0" borderId="0"/>
    <xf numFmtId="0" fontId="2" fillId="0" borderId="0"/>
    <xf numFmtId="0" fontId="38" fillId="0" borderId="0">
      <alignment vertical="top"/>
    </xf>
    <xf numFmtId="0" fontId="47" fillId="0" borderId="0"/>
    <xf numFmtId="0" fontId="47" fillId="0" borderId="0"/>
    <xf numFmtId="0" fontId="47" fillId="0" borderId="0"/>
    <xf numFmtId="0" fontId="47" fillId="0" borderId="0"/>
    <xf numFmtId="0" fontId="39" fillId="0" borderId="0"/>
    <xf numFmtId="0" fontId="48" fillId="8" borderId="0">
      <alignment horizontal="centerContinuous"/>
    </xf>
    <xf numFmtId="3" fontId="30" fillId="0" borderId="17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44" fontId="49" fillId="0" borderId="4">
      <alignment horizontal="centerContinuous"/>
    </xf>
    <xf numFmtId="5" fontId="14" fillId="0" borderId="0">
      <alignment horizontal="right" vertical="center" wrapText="1"/>
    </xf>
    <xf numFmtId="3" fontId="50" fillId="0" borderId="13"/>
    <xf numFmtId="3" fontId="33" fillId="0" borderId="4" applyNumberFormat="0" applyFill="0" applyProtection="0"/>
    <xf numFmtId="9" fontId="51" fillId="0" borderId="0" applyNumberFormat="0" applyFill="0" applyAlignment="0" applyProtection="0"/>
    <xf numFmtId="3" fontId="52" fillId="0" borderId="15"/>
    <xf numFmtId="9" fontId="53" fillId="0" borderId="4" applyNumberFormat="0" applyFont="0" applyBorder="0" applyAlignment="0"/>
    <xf numFmtId="49" fontId="2" fillId="0" borderId="0" applyFont="0" applyFill="0" applyBorder="0" applyAlignment="0" applyProtection="0"/>
    <xf numFmtId="183" fontId="44" fillId="11" borderId="22">
      <alignment horizontal="left" vertical="top" wrapText="1"/>
      <protection locked="0"/>
    </xf>
    <xf numFmtId="0" fontId="12" fillId="7" borderId="23">
      <alignment horizontal="center" wrapText="1"/>
    </xf>
    <xf numFmtId="44" fontId="2" fillId="0" borderId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/>
    <xf numFmtId="19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12" borderId="0"/>
    <xf numFmtId="192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ill="0" applyBorder="0" applyAlignment="0" applyProtection="0"/>
    <xf numFmtId="9" fontId="2" fillId="0" borderId="0" applyFont="0" applyFill="0" applyBorder="0" applyAlignment="0" applyProtection="0"/>
    <xf numFmtId="0" fontId="30" fillId="0" borderId="0"/>
    <xf numFmtId="0" fontId="55" fillId="0" borderId="0"/>
    <xf numFmtId="0" fontId="3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0" fontId="56" fillId="0" borderId="0" applyFont="0" applyFill="0" applyBorder="0" applyAlignment="0" applyProtection="0"/>
    <xf numFmtId="0" fontId="56" fillId="0" borderId="0"/>
    <xf numFmtId="0" fontId="1" fillId="0" borderId="0"/>
    <xf numFmtId="43" fontId="1" fillId="0" borderId="0" applyFont="0" applyFill="0" applyBorder="0" applyAlignment="0" applyProtection="0"/>
    <xf numFmtId="9" fontId="56" fillId="0" borderId="0" applyFont="0" applyFill="0" applyBorder="0" applyAlignment="0" applyProtection="0"/>
    <xf numFmtId="8" fontId="56" fillId="0" borderId="0" applyFont="0" applyFill="0" applyBorder="0" applyAlignment="0" applyProtection="0"/>
    <xf numFmtId="37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189" fontId="57" fillId="0" borderId="0" applyFont="0" applyFill="0" applyBorder="0" applyAlignment="0" applyProtection="0"/>
    <xf numFmtId="38" fontId="58" fillId="0" borderId="0" applyFont="0" applyAlignment="0" applyProtection="0">
      <alignment horizontal="right"/>
      <protection locked="0"/>
    </xf>
    <xf numFmtId="194" fontId="39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0" borderId="0"/>
    <xf numFmtId="9" fontId="2" fillId="0" borderId="0" applyFont="0" applyFill="0" applyBorder="0" applyAlignment="0" applyProtection="0"/>
    <xf numFmtId="0" fontId="30" fillId="0" borderId="0"/>
    <xf numFmtId="0" fontId="30" fillId="0" borderId="0"/>
    <xf numFmtId="0" fontId="1" fillId="0" borderId="0"/>
    <xf numFmtId="9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63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" fillId="0" borderId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34" fillId="0" borderId="25" applyNumberFormat="0" applyFill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" fillId="0" borderId="0"/>
    <xf numFmtId="0" fontId="2" fillId="0" borderId="0"/>
    <xf numFmtId="43" fontId="59" fillId="0" borderId="0" applyFont="0" applyFill="0" applyBorder="0" applyAlignment="0" applyProtection="0"/>
    <xf numFmtId="0" fontId="33" fillId="0" borderId="15">
      <alignment horizontal="left" vertical="center"/>
    </xf>
    <xf numFmtId="5" fontId="22" fillId="10" borderId="31" applyNumberFormat="0">
      <alignment horizontal="left" vertical="center"/>
      <protection locked="0"/>
    </xf>
    <xf numFmtId="3" fontId="30" fillId="0" borderId="8"/>
    <xf numFmtId="3" fontId="50" fillId="0" borderId="25"/>
    <xf numFmtId="3" fontId="52" fillId="0" borderId="15"/>
    <xf numFmtId="0" fontId="242" fillId="0" borderId="0" applyFont="0" applyFill="0" applyBorder="0" applyAlignment="0" applyProtection="0"/>
    <xf numFmtId="0" fontId="1" fillId="0" borderId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" fillId="0" borderId="0"/>
    <xf numFmtId="0" fontId="1" fillId="0" borderId="0"/>
    <xf numFmtId="0" fontId="243" fillId="0" borderId="0" applyFont="0" applyFill="0" applyBorder="0" applyAlignment="0" applyProtection="0"/>
    <xf numFmtId="0" fontId="3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37" fontId="2" fillId="0" borderId="0">
      <alignment horizontal="right"/>
    </xf>
    <xf numFmtId="5" fontId="90" fillId="0" borderId="14" applyFill="0" applyBorder="0" applyAlignment="0"/>
    <xf numFmtId="5" fontId="90" fillId="0" borderId="14" applyFill="0" applyBorder="0" applyAlignment="0"/>
    <xf numFmtId="5" fontId="90" fillId="0" borderId="14" applyFill="0" applyBorder="0" applyAlignment="0"/>
    <xf numFmtId="5" fontId="90" fillId="0" borderId="14" applyFill="0" applyBorder="0" applyAlignment="0"/>
    <xf numFmtId="5" fontId="90" fillId="0" borderId="14" applyFill="0" applyBorder="0" applyAlignment="0"/>
    <xf numFmtId="5" fontId="91" fillId="0" borderId="14" applyFill="0" applyBorder="0" applyAlignment="0"/>
    <xf numFmtId="5" fontId="91" fillId="0" borderId="14" applyFill="0" applyBorder="0" applyAlignment="0"/>
    <xf numFmtId="238" fontId="131" fillId="0" borderId="0">
      <alignment horizontal="right"/>
    </xf>
    <xf numFmtId="235" fontId="2" fillId="0" borderId="0">
      <alignment horizontal="right"/>
    </xf>
    <xf numFmtId="206" fontId="30" fillId="0" borderId="0">
      <alignment horizontal="left"/>
    </xf>
    <xf numFmtId="0" fontId="1" fillId="0" borderId="0"/>
    <xf numFmtId="205" fontId="81" fillId="0" borderId="0"/>
    <xf numFmtId="0" fontId="2" fillId="0" borderId="0"/>
    <xf numFmtId="5" fontId="91" fillId="0" borderId="14" applyFill="0" applyBorder="0" applyAlignment="0"/>
    <xf numFmtId="5" fontId="91" fillId="0" borderId="14" applyFill="0" applyBorder="0" applyAlignment="0"/>
    <xf numFmtId="5" fontId="91" fillId="0" borderId="14" applyFill="0" applyBorder="0" applyAlignment="0"/>
    <xf numFmtId="7" fontId="91" fillId="0" borderId="14" applyFill="0" applyBorder="0" applyAlignment="0"/>
    <xf numFmtId="7" fontId="91" fillId="0" borderId="14" applyFill="0" applyBorder="0" applyAlignment="0"/>
    <xf numFmtId="7" fontId="91" fillId="0" borderId="14" applyFill="0" applyBorder="0" applyAlignment="0"/>
    <xf numFmtId="7" fontId="91" fillId="0" borderId="14" applyFill="0" applyBorder="0" applyAlignment="0"/>
    <xf numFmtId="7" fontId="91" fillId="0" borderId="14" applyFill="0" applyBorder="0" applyAlignment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8" fontId="55" fillId="0" borderId="0"/>
    <xf numFmtId="208" fontId="81" fillId="0" borderId="0"/>
    <xf numFmtId="209" fontId="92" fillId="0" borderId="26"/>
    <xf numFmtId="210" fontId="2" fillId="0" borderId="0" applyFont="0" applyFill="0" applyBorder="0" applyProtection="0">
      <alignment wrapText="1"/>
    </xf>
    <xf numFmtId="210" fontId="2" fillId="0" borderId="0" applyFont="0" applyFill="0" applyBorder="0" applyProtection="0">
      <alignment wrapText="1"/>
    </xf>
    <xf numFmtId="210" fontId="2" fillId="0" borderId="0" applyFont="0" applyFill="0" applyBorder="0" applyProtection="0">
      <alignment wrapText="1"/>
    </xf>
    <xf numFmtId="210" fontId="2" fillId="0" borderId="0" applyFont="0" applyFill="0" applyBorder="0" applyProtection="0">
      <alignment wrapText="1"/>
    </xf>
    <xf numFmtId="210" fontId="2" fillId="0" borderId="0" applyFont="0" applyFill="0" applyBorder="0" applyProtection="0">
      <alignment wrapText="1"/>
    </xf>
    <xf numFmtId="210" fontId="2" fillId="0" borderId="0" applyFont="0" applyFill="0" applyBorder="0" applyProtection="0">
      <alignment wrapText="1"/>
    </xf>
    <xf numFmtId="211" fontId="2" fillId="0" borderId="0" applyFont="0" applyFill="0" applyBorder="0" applyProtection="0">
      <alignment horizontal="left" wrapText="1"/>
    </xf>
    <xf numFmtId="211" fontId="2" fillId="0" borderId="0" applyFont="0" applyFill="0" applyBorder="0" applyProtection="0">
      <alignment horizontal="left" wrapText="1"/>
    </xf>
    <xf numFmtId="211" fontId="2" fillId="0" borderId="0" applyFont="0" applyFill="0" applyBorder="0" applyProtection="0">
      <alignment horizontal="left" wrapText="1"/>
    </xf>
    <xf numFmtId="211" fontId="2" fillId="0" borderId="0" applyFont="0" applyFill="0" applyBorder="0" applyProtection="0">
      <alignment horizontal="left" wrapText="1"/>
    </xf>
    <xf numFmtId="211" fontId="2" fillId="0" borderId="0" applyFont="0" applyFill="0" applyBorder="0" applyProtection="0">
      <alignment horizontal="left" wrapText="1"/>
    </xf>
    <xf numFmtId="211" fontId="2" fillId="0" borderId="0" applyFont="0" applyFill="0" applyBorder="0" applyProtection="0">
      <alignment horizontal="left" wrapText="1"/>
    </xf>
    <xf numFmtId="212" fontId="2" fillId="0" borderId="0" applyFont="0" applyFill="0" applyBorder="0" applyProtection="0">
      <alignment wrapText="1"/>
    </xf>
    <xf numFmtId="212" fontId="2" fillId="0" borderId="0" applyFont="0" applyFill="0" applyBorder="0" applyProtection="0">
      <alignment wrapText="1"/>
    </xf>
    <xf numFmtId="212" fontId="2" fillId="0" borderId="0" applyFont="0" applyFill="0" applyBorder="0" applyProtection="0">
      <alignment wrapText="1"/>
    </xf>
    <xf numFmtId="212" fontId="2" fillId="0" borderId="0" applyFont="0" applyFill="0" applyBorder="0" applyProtection="0">
      <alignment wrapText="1"/>
    </xf>
    <xf numFmtId="212" fontId="2" fillId="0" borderId="0" applyFont="0" applyFill="0" applyBorder="0" applyProtection="0">
      <alignment wrapText="1"/>
    </xf>
    <xf numFmtId="212" fontId="2" fillId="0" borderId="0" applyFont="0" applyFill="0" applyBorder="0" applyProtection="0">
      <alignment wrapText="1"/>
    </xf>
    <xf numFmtId="213" fontId="2" fillId="0" borderId="0" applyFont="0" applyFill="0" applyBorder="0" applyProtection="0">
      <alignment wrapText="1"/>
    </xf>
    <xf numFmtId="213" fontId="2" fillId="0" borderId="0" applyFont="0" applyFill="0" applyBorder="0" applyProtection="0">
      <alignment wrapText="1"/>
    </xf>
    <xf numFmtId="213" fontId="2" fillId="0" borderId="0" applyFont="0" applyFill="0" applyBorder="0" applyProtection="0">
      <alignment wrapText="1"/>
    </xf>
    <xf numFmtId="213" fontId="2" fillId="0" borderId="0" applyFont="0" applyFill="0" applyBorder="0" applyProtection="0">
      <alignment wrapText="1"/>
    </xf>
    <xf numFmtId="213" fontId="2" fillId="0" borderId="0" applyFont="0" applyFill="0" applyBorder="0" applyProtection="0">
      <alignment wrapText="1"/>
    </xf>
    <xf numFmtId="213" fontId="2" fillId="0" borderId="0" applyFont="0" applyFill="0" applyBorder="0" applyProtection="0">
      <alignment wrapText="1"/>
    </xf>
    <xf numFmtId="214" fontId="2" fillId="0" borderId="0" applyFont="0" applyFill="0" applyBorder="0" applyProtection="0">
      <alignment wrapText="1"/>
    </xf>
    <xf numFmtId="214" fontId="2" fillId="0" borderId="0" applyFont="0" applyFill="0" applyBorder="0" applyProtection="0">
      <alignment wrapText="1"/>
    </xf>
    <xf numFmtId="214" fontId="2" fillId="0" borderId="0" applyFont="0" applyFill="0" applyBorder="0" applyProtection="0">
      <alignment wrapText="1"/>
    </xf>
    <xf numFmtId="214" fontId="2" fillId="0" borderId="0" applyFont="0" applyFill="0" applyBorder="0" applyProtection="0">
      <alignment wrapText="1"/>
    </xf>
    <xf numFmtId="214" fontId="2" fillId="0" borderId="0" applyFont="0" applyFill="0" applyBorder="0" applyProtection="0">
      <alignment wrapText="1"/>
    </xf>
    <xf numFmtId="214" fontId="2" fillId="0" borderId="0" applyFont="0" applyFill="0" applyBorder="0" applyProtection="0">
      <alignment wrapText="1"/>
    </xf>
    <xf numFmtId="215" fontId="2" fillId="0" borderId="0" applyFont="0" applyFill="0" applyBorder="0" applyProtection="0">
      <alignment wrapText="1"/>
    </xf>
    <xf numFmtId="215" fontId="2" fillId="0" borderId="0" applyFont="0" applyFill="0" applyBorder="0" applyProtection="0">
      <alignment wrapText="1"/>
    </xf>
    <xf numFmtId="215" fontId="2" fillId="0" borderId="0" applyFont="0" applyFill="0" applyBorder="0" applyProtection="0">
      <alignment wrapText="1"/>
    </xf>
    <xf numFmtId="215" fontId="2" fillId="0" borderId="0" applyFont="0" applyFill="0" applyBorder="0" applyProtection="0">
      <alignment wrapText="1"/>
    </xf>
    <xf numFmtId="215" fontId="2" fillId="0" borderId="0" applyFont="0" applyFill="0" applyBorder="0" applyProtection="0">
      <alignment wrapText="1"/>
    </xf>
    <xf numFmtId="215" fontId="2" fillId="0" borderId="0" applyFont="0" applyFill="0" applyBorder="0" applyProtection="0">
      <alignment wrapText="1"/>
    </xf>
    <xf numFmtId="197" fontId="81" fillId="0" borderId="0" applyFont="0" applyFill="0" applyBorder="0" applyAlignment="0" applyProtection="0"/>
    <xf numFmtId="197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8" fontId="81" fillId="0" borderId="0" applyFont="0" applyFill="0" applyBorder="0" applyAlignment="0" applyProtection="0"/>
    <xf numFmtId="198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16" fontId="2" fillId="0" borderId="0" applyFont="0" applyFill="0" applyBorder="0" applyProtection="0">
      <alignment horizontal="right"/>
    </xf>
    <xf numFmtId="216" fontId="2" fillId="0" borderId="0" applyFont="0" applyFill="0" applyBorder="0" applyProtection="0">
      <alignment horizontal="right"/>
    </xf>
    <xf numFmtId="216" fontId="2" fillId="0" borderId="0" applyFont="0" applyFill="0" applyBorder="0" applyProtection="0">
      <alignment horizontal="right"/>
    </xf>
    <xf numFmtId="216" fontId="2" fillId="0" borderId="0" applyFont="0" applyFill="0" applyBorder="0" applyProtection="0">
      <alignment horizontal="right"/>
    </xf>
    <xf numFmtId="216" fontId="2" fillId="0" borderId="0" applyFont="0" applyFill="0" applyBorder="0" applyProtection="0">
      <alignment horizontal="right"/>
    </xf>
    <xf numFmtId="216" fontId="2" fillId="0" borderId="0" applyFont="0" applyFill="0" applyBorder="0" applyProtection="0">
      <alignment horizontal="right"/>
    </xf>
    <xf numFmtId="217" fontId="2" fillId="0" borderId="0" applyFont="0" applyFill="0" applyBorder="0" applyProtection="0">
      <alignment horizontal="right"/>
    </xf>
    <xf numFmtId="217" fontId="2" fillId="0" borderId="0" applyFont="0" applyFill="0" applyBorder="0" applyProtection="0">
      <alignment horizontal="right"/>
    </xf>
    <xf numFmtId="217" fontId="2" fillId="0" borderId="0" applyFont="0" applyFill="0" applyBorder="0" applyProtection="0">
      <alignment horizontal="right"/>
    </xf>
    <xf numFmtId="217" fontId="2" fillId="0" borderId="0" applyFont="0" applyFill="0" applyBorder="0" applyProtection="0">
      <alignment horizontal="right"/>
    </xf>
    <xf numFmtId="217" fontId="2" fillId="0" borderId="0" applyFont="0" applyFill="0" applyBorder="0" applyProtection="0">
      <alignment horizontal="right"/>
    </xf>
    <xf numFmtId="217" fontId="2" fillId="0" borderId="0" applyFont="0" applyFill="0" applyBorder="0" applyProtection="0">
      <alignment horizontal="right"/>
    </xf>
    <xf numFmtId="218" fontId="2" fillId="0" borderId="0" applyFont="0" applyFill="0" applyBorder="0" applyProtection="0">
      <alignment horizontal="right"/>
    </xf>
    <xf numFmtId="218" fontId="2" fillId="0" borderId="0" applyFont="0" applyFill="0" applyBorder="0" applyProtection="0">
      <alignment horizontal="right"/>
    </xf>
    <xf numFmtId="218" fontId="2" fillId="0" borderId="0" applyFont="0" applyFill="0" applyBorder="0" applyProtection="0">
      <alignment horizontal="right"/>
    </xf>
    <xf numFmtId="218" fontId="2" fillId="0" borderId="0" applyFont="0" applyFill="0" applyBorder="0" applyProtection="0">
      <alignment horizontal="right"/>
    </xf>
    <xf numFmtId="218" fontId="2" fillId="0" borderId="0" applyFont="0" applyFill="0" applyBorder="0" applyProtection="0">
      <alignment horizontal="right"/>
    </xf>
    <xf numFmtId="218" fontId="2" fillId="0" borderId="0" applyFont="0" applyFill="0" applyBorder="0" applyProtection="0">
      <alignment horizontal="right"/>
    </xf>
    <xf numFmtId="219" fontId="2" fillId="0" borderId="0" applyFont="0" applyFill="0" applyBorder="0" applyProtection="0">
      <alignment horizontal="right"/>
    </xf>
    <xf numFmtId="219" fontId="2" fillId="0" borderId="0" applyFont="0" applyFill="0" applyBorder="0" applyProtection="0">
      <alignment horizontal="right"/>
    </xf>
    <xf numFmtId="219" fontId="2" fillId="0" borderId="0" applyFont="0" applyFill="0" applyBorder="0" applyProtection="0">
      <alignment horizontal="right"/>
    </xf>
    <xf numFmtId="219" fontId="2" fillId="0" borderId="0" applyFont="0" applyFill="0" applyBorder="0" applyProtection="0">
      <alignment horizontal="right"/>
    </xf>
    <xf numFmtId="219" fontId="2" fillId="0" borderId="0" applyFont="0" applyFill="0" applyBorder="0" applyProtection="0">
      <alignment horizontal="right"/>
    </xf>
    <xf numFmtId="219" fontId="2" fillId="0" borderId="0" applyFont="0" applyFill="0" applyBorder="0" applyProtection="0">
      <alignment horizontal="right"/>
    </xf>
    <xf numFmtId="220" fontId="2" fillId="0" borderId="0" applyFont="0" applyFill="0" applyBorder="0" applyProtection="0">
      <alignment horizontal="right"/>
    </xf>
    <xf numFmtId="220" fontId="2" fillId="0" borderId="0" applyFont="0" applyFill="0" applyBorder="0" applyProtection="0">
      <alignment horizontal="right"/>
    </xf>
    <xf numFmtId="220" fontId="2" fillId="0" borderId="0" applyFont="0" applyFill="0" applyBorder="0" applyProtection="0">
      <alignment horizontal="right"/>
    </xf>
    <xf numFmtId="220" fontId="2" fillId="0" borderId="0" applyFont="0" applyFill="0" applyBorder="0" applyProtection="0">
      <alignment horizontal="right"/>
    </xf>
    <xf numFmtId="220" fontId="2" fillId="0" borderId="0" applyFont="0" applyFill="0" applyBorder="0" applyProtection="0">
      <alignment horizontal="right"/>
    </xf>
    <xf numFmtId="220" fontId="2" fillId="0" borderId="0" applyFont="0" applyFill="0" applyBorder="0" applyProtection="0">
      <alignment horizontal="right"/>
    </xf>
    <xf numFmtId="221" fontId="2" fillId="0" borderId="0" applyFont="0" applyFill="0" applyBorder="0" applyProtection="0">
      <alignment horizontal="right"/>
    </xf>
    <xf numFmtId="221" fontId="2" fillId="0" borderId="0" applyFont="0" applyFill="0" applyBorder="0" applyProtection="0">
      <alignment horizontal="right"/>
    </xf>
    <xf numFmtId="221" fontId="2" fillId="0" borderId="0" applyFont="0" applyFill="0" applyBorder="0" applyProtection="0">
      <alignment horizontal="right"/>
    </xf>
    <xf numFmtId="221" fontId="2" fillId="0" borderId="0" applyFont="0" applyFill="0" applyBorder="0" applyProtection="0">
      <alignment horizontal="right"/>
    </xf>
    <xf numFmtId="221" fontId="2" fillId="0" borderId="0" applyFont="0" applyFill="0" applyBorder="0" applyProtection="0">
      <alignment horizontal="right"/>
    </xf>
    <xf numFmtId="221" fontId="2" fillId="0" borderId="0" applyFont="0" applyFill="0" applyBorder="0" applyProtection="0">
      <alignment horizontal="right"/>
    </xf>
    <xf numFmtId="222" fontId="2" fillId="0" borderId="0" applyFont="0" applyFill="0" applyBorder="0" applyProtection="0">
      <alignment horizontal="right"/>
    </xf>
    <xf numFmtId="222" fontId="2" fillId="0" borderId="0" applyFont="0" applyFill="0" applyBorder="0" applyProtection="0">
      <alignment horizontal="right"/>
    </xf>
    <xf numFmtId="222" fontId="2" fillId="0" borderId="0" applyFont="0" applyFill="0" applyBorder="0" applyProtection="0">
      <alignment horizontal="right"/>
    </xf>
    <xf numFmtId="222" fontId="2" fillId="0" borderId="0" applyFont="0" applyFill="0" applyBorder="0" applyProtection="0">
      <alignment horizontal="right"/>
    </xf>
    <xf numFmtId="222" fontId="2" fillId="0" borderId="0" applyFont="0" applyFill="0" applyBorder="0" applyProtection="0">
      <alignment horizontal="right"/>
    </xf>
    <xf numFmtId="222" fontId="2" fillId="0" borderId="0" applyFont="0" applyFill="0" applyBorder="0" applyProtection="0">
      <alignment horizontal="right"/>
    </xf>
    <xf numFmtId="223" fontId="2" fillId="0" borderId="0" applyFont="0" applyFill="0" applyBorder="0" applyProtection="0">
      <alignment horizontal="right"/>
    </xf>
    <xf numFmtId="223" fontId="2" fillId="0" borderId="0" applyFont="0" applyFill="0" applyBorder="0" applyProtection="0">
      <alignment horizontal="right"/>
    </xf>
    <xf numFmtId="223" fontId="2" fillId="0" borderId="0" applyFont="0" applyFill="0" applyBorder="0" applyProtection="0">
      <alignment horizontal="right"/>
    </xf>
    <xf numFmtId="223" fontId="2" fillId="0" borderId="0" applyFont="0" applyFill="0" applyBorder="0" applyProtection="0">
      <alignment horizontal="right"/>
    </xf>
    <xf numFmtId="223" fontId="2" fillId="0" borderId="0" applyFont="0" applyFill="0" applyBorder="0" applyProtection="0">
      <alignment horizontal="right"/>
    </xf>
    <xf numFmtId="223" fontId="2" fillId="0" borderId="0" applyFont="0" applyFill="0" applyBorder="0" applyProtection="0">
      <alignment horizontal="right"/>
    </xf>
    <xf numFmtId="224" fontId="2" fillId="0" borderId="0" applyFont="0" applyFill="0" applyBorder="0" applyProtection="0">
      <alignment horizontal="right"/>
    </xf>
    <xf numFmtId="224" fontId="2" fillId="0" borderId="0" applyFont="0" applyFill="0" applyBorder="0" applyProtection="0">
      <alignment horizontal="right"/>
    </xf>
    <xf numFmtId="225" fontId="2" fillId="0" borderId="0" applyFont="0" applyFill="0" applyBorder="0" applyProtection="0">
      <alignment horizontal="right"/>
    </xf>
    <xf numFmtId="225" fontId="2" fillId="0" borderId="0" applyFont="0" applyFill="0" applyBorder="0" applyProtection="0">
      <alignment horizontal="right"/>
    </xf>
    <xf numFmtId="226" fontId="2" fillId="0" borderId="0" applyFont="0" applyFill="0" applyBorder="0" applyProtection="0">
      <alignment horizontal="right"/>
    </xf>
    <xf numFmtId="226" fontId="2" fillId="0" borderId="0" applyFont="0" applyFill="0" applyBorder="0" applyProtection="0">
      <alignment horizontal="right"/>
    </xf>
    <xf numFmtId="227" fontId="21" fillId="0" borderId="0" applyFill="0" applyBorder="0" applyProtection="0">
      <alignment horizontal="right"/>
    </xf>
    <xf numFmtId="228" fontId="2" fillId="0" borderId="0" applyFont="0" applyFill="0" applyBorder="0" applyProtection="0">
      <alignment horizontal="right"/>
    </xf>
    <xf numFmtId="228" fontId="2" fillId="0" borderId="0" applyFont="0" applyFill="0" applyBorder="0" applyProtection="0">
      <alignment horizontal="right"/>
    </xf>
    <xf numFmtId="228" fontId="2" fillId="0" borderId="0" applyFont="0" applyFill="0" applyBorder="0" applyProtection="0">
      <alignment horizontal="right"/>
    </xf>
    <xf numFmtId="228" fontId="2" fillId="0" borderId="0" applyFont="0" applyFill="0" applyBorder="0" applyProtection="0">
      <alignment horizontal="right"/>
    </xf>
    <xf numFmtId="229" fontId="81" fillId="0" borderId="0">
      <alignment horizontal="right"/>
      <protection locked="0"/>
    </xf>
    <xf numFmtId="199" fontId="81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5" fontId="140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140" fillId="0" borderId="0" applyFont="0" applyFill="0" applyBorder="0" applyAlignment="0" applyProtection="0"/>
    <xf numFmtId="19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140" fillId="0" borderId="0" applyFont="0" applyFill="0" applyBorder="0" applyAlignment="0" applyProtection="0"/>
    <xf numFmtId="19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0" fontId="81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74" fontId="140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74" fontId="140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74" fontId="140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1" fontId="81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39" fontId="81" fillId="0" borderId="0" applyFont="0" applyFill="0" applyBorder="0" applyProtection="0">
      <alignment horizontal="right"/>
    </xf>
    <xf numFmtId="201" fontId="2" fillId="0" borderId="0" applyFont="0" applyFill="0" applyBorder="0" applyAlignment="0" applyProtection="0"/>
    <xf numFmtId="39" fontId="140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140" fillId="0" borderId="0" applyFont="0" applyFill="0" applyBorder="0" applyAlignment="0" applyProtection="0"/>
    <xf numFmtId="20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140" fillId="0" borderId="0" applyFont="0" applyFill="0" applyBorder="0" applyAlignment="0" applyProtection="0"/>
    <xf numFmtId="20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2" fontId="81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34" borderId="0" applyNumberFormat="0" applyFont="0" applyAlignment="0" applyProtection="0"/>
    <xf numFmtId="0" fontId="2" fillId="34" borderId="0" applyNumberFormat="0" applyFont="0" applyAlignment="0" applyProtection="0"/>
    <xf numFmtId="0" fontId="2" fillId="34" borderId="0" applyNumberFormat="0" applyFont="0" applyAlignment="0" applyProtection="0"/>
    <xf numFmtId="0" fontId="2" fillId="34" borderId="0" applyNumberFormat="0" applyFont="0" applyAlignment="0" applyProtection="0"/>
    <xf numFmtId="0" fontId="2" fillId="34" borderId="0" applyNumberFormat="0" applyFont="0" applyAlignment="0" applyProtection="0"/>
    <xf numFmtId="203" fontId="81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0" fontId="81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30" fontId="140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140" fillId="0" borderId="0" applyFont="0" applyFill="0" applyBorder="0" applyAlignment="0" applyProtection="0"/>
    <xf numFmtId="203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140" fillId="0" borderId="0" applyFont="0" applyFill="0" applyBorder="0" applyAlignment="0" applyProtection="0"/>
    <xf numFmtId="203" fontId="2" fillId="0" borderId="0" applyFont="0" applyFill="0" applyBorder="0" applyAlignment="0" applyProtection="0"/>
    <xf numFmtId="204" fontId="81" fillId="0" borderId="0" applyFont="0" applyFill="0" applyBorder="0" applyProtection="0">
      <alignment horizontal="right"/>
    </xf>
    <xf numFmtId="231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04" fontId="2" fillId="0" borderId="0" applyFont="0" applyFill="0" applyBorder="0" applyProtection="0">
      <alignment horizontal="right"/>
    </xf>
    <xf numFmtId="204" fontId="2" fillId="0" borderId="0" applyFont="0" applyFill="0" applyBorder="0" applyProtection="0">
      <alignment horizontal="right"/>
    </xf>
    <xf numFmtId="204" fontId="2" fillId="0" borderId="0" applyFont="0" applyFill="0" applyBorder="0" applyProtection="0">
      <alignment horizontal="right"/>
    </xf>
    <xf numFmtId="204" fontId="2" fillId="0" borderId="0" applyFont="0" applyFill="0" applyBorder="0" applyProtection="0">
      <alignment horizontal="right"/>
    </xf>
    <xf numFmtId="204" fontId="2" fillId="0" borderId="0" applyFont="0" applyFill="0" applyBorder="0" applyProtection="0">
      <alignment horizontal="right"/>
    </xf>
    <xf numFmtId="204" fontId="2" fillId="0" borderId="0" applyFont="0" applyFill="0" applyBorder="0" applyProtection="0">
      <alignment horizontal="right"/>
    </xf>
    <xf numFmtId="231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04" fontId="2" fillId="0" borderId="0" applyFont="0" applyFill="0" applyBorder="0" applyProtection="0">
      <alignment horizontal="right"/>
    </xf>
    <xf numFmtId="204" fontId="2" fillId="0" borderId="0" applyFont="0" applyFill="0" applyBorder="0" applyProtection="0">
      <alignment horizontal="right"/>
    </xf>
    <xf numFmtId="204" fontId="2" fillId="0" borderId="0" applyFont="0" applyFill="0" applyBorder="0" applyProtection="0">
      <alignment horizontal="right"/>
    </xf>
    <xf numFmtId="204" fontId="2" fillId="0" borderId="0" applyFont="0" applyFill="0" applyBorder="0" applyProtection="0">
      <alignment horizontal="right"/>
    </xf>
    <xf numFmtId="204" fontId="2" fillId="0" borderId="0" applyFont="0" applyFill="0" applyBorder="0" applyProtection="0">
      <alignment horizontal="right"/>
    </xf>
    <xf numFmtId="204" fontId="2" fillId="0" borderId="0" applyFont="0" applyFill="0" applyBorder="0" applyProtection="0">
      <alignment horizontal="right"/>
    </xf>
    <xf numFmtId="0" fontId="81" fillId="0" borderId="0" applyFont="0" applyFill="0" applyBorder="0" applyAlignment="0" applyProtection="0"/>
    <xf numFmtId="204" fontId="2" fillId="0" borderId="0" applyFont="0" applyFill="0" applyBorder="0" applyProtection="0">
      <alignment horizontal="right"/>
    </xf>
    <xf numFmtId="204" fontId="2" fillId="0" borderId="0" applyFont="0" applyFill="0" applyBorder="0" applyProtection="0">
      <alignment horizontal="right"/>
    </xf>
    <xf numFmtId="204" fontId="2" fillId="0" borderId="0" applyFont="0" applyFill="0" applyBorder="0" applyProtection="0">
      <alignment horizontal="right"/>
    </xf>
    <xf numFmtId="231" fontId="140" fillId="0" borderId="0" applyFont="0" applyFill="0" applyBorder="0" applyAlignment="0" applyProtection="0"/>
    <xf numFmtId="204" fontId="2" fillId="0" borderId="0" applyFont="0" applyFill="0" applyBorder="0" applyProtection="0">
      <alignment horizontal="right"/>
    </xf>
    <xf numFmtId="231" fontId="140" fillId="0" borderId="0" applyFont="0" applyFill="0" applyBorder="0" applyAlignment="0" applyProtection="0"/>
    <xf numFmtId="204" fontId="2" fillId="0" borderId="0" applyFont="0" applyFill="0" applyBorder="0" applyProtection="0">
      <alignment horizontal="right"/>
    </xf>
    <xf numFmtId="231" fontId="140" fillId="0" borderId="0" applyFont="0" applyFill="0" applyBorder="0" applyAlignment="0" applyProtection="0"/>
    <xf numFmtId="232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0" fontId="81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Alignment="0" applyProtection="0"/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Alignment="0" applyProtection="0"/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Protection="0">
      <alignment vertical="top"/>
    </xf>
    <xf numFmtId="0" fontId="83" fillId="0" borderId="0" applyNumberFormat="0" applyFill="0" applyBorder="0" applyAlignment="0" applyProtection="0"/>
    <xf numFmtId="0" fontId="62" fillId="0" borderId="41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62" fillId="0" borderId="41" applyNumberFormat="0" applyFill="0" applyAlignment="0" applyProtection="0"/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2" fillId="0" borderId="24" applyNumberFormat="0" applyFont="0" applyFill="0" applyAlignment="0" applyProtection="0"/>
    <xf numFmtId="0" fontId="2" fillId="0" borderId="24" applyNumberFormat="0" applyFont="0" applyFill="0" applyAlignment="0" applyProtection="0"/>
    <xf numFmtId="0" fontId="2" fillId="0" borderId="24" applyNumberFormat="0" applyFont="0" applyFill="0" applyAlignment="0" applyProtection="0"/>
    <xf numFmtId="0" fontId="2" fillId="0" borderId="24" applyNumberFormat="0" applyFont="0" applyFill="0" applyAlignment="0" applyProtection="0"/>
    <xf numFmtId="0" fontId="2" fillId="0" borderId="24" applyNumberFormat="0" applyFont="0" applyFill="0" applyAlignment="0" applyProtection="0"/>
    <xf numFmtId="0" fontId="2" fillId="0" borderId="24" applyNumberFormat="0" applyFont="0" applyFill="0" applyAlignment="0" applyProtection="0"/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4" fillId="0" borderId="0" applyNumberFormat="0" applyFill="0" applyBorder="0" applyProtection="0">
      <alignment horizontal="left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Protection="0">
      <alignment horizontal="centerContinuous"/>
    </xf>
    <xf numFmtId="0" fontId="85" fillId="0" borderId="0" applyNumberFormat="0" applyFill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85" fillId="0" borderId="0" applyNumberFormat="0" applyFill="0" applyBorder="0" applyProtection="0">
      <alignment horizontal="centerContinuous"/>
    </xf>
    <xf numFmtId="0" fontId="62" fillId="0" borderId="0" applyNumberFormat="0" applyFill="0" applyBorder="0" applyAlignment="0" applyProtection="0"/>
    <xf numFmtId="18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" fontId="56" fillId="0" borderId="0"/>
    <xf numFmtId="208" fontId="90" fillId="0" borderId="0"/>
    <xf numFmtId="238" fontId="2" fillId="0" borderId="0">
      <alignment horizontal="left"/>
      <protection locked="0"/>
    </xf>
    <xf numFmtId="40" fontId="90" fillId="0" borderId="0"/>
    <xf numFmtId="207" fontId="81" fillId="0" borderId="0"/>
    <xf numFmtId="38" fontId="89" fillId="0" borderId="43"/>
    <xf numFmtId="39" fontId="141" fillId="0" borderId="0">
      <alignment horizontal="center"/>
    </xf>
    <xf numFmtId="39" fontId="141" fillId="0" borderId="0">
      <alignment horizontal="center"/>
    </xf>
    <xf numFmtId="39" fontId="142" fillId="0" borderId="0">
      <alignment horizontal="center"/>
    </xf>
    <xf numFmtId="39" fontId="141" fillId="0" borderId="0">
      <alignment horizontal="center"/>
    </xf>
    <xf numFmtId="39" fontId="142" fillId="0" borderId="0">
      <alignment horizontal="center"/>
    </xf>
    <xf numFmtId="39" fontId="141" fillId="0" borderId="0">
      <alignment horizontal="center"/>
    </xf>
    <xf numFmtId="39" fontId="141" fillId="0" borderId="0">
      <alignment horizontal="center"/>
    </xf>
    <xf numFmtId="39" fontId="142" fillId="0" borderId="0">
      <alignment horizontal="center"/>
    </xf>
    <xf numFmtId="39" fontId="142" fillId="0" borderId="0">
      <alignment horizontal="center"/>
    </xf>
    <xf numFmtId="39" fontId="141" fillId="0" borderId="0">
      <alignment horizontal="center"/>
    </xf>
    <xf numFmtId="39" fontId="141" fillId="0" borderId="0">
      <alignment horizontal="center"/>
    </xf>
    <xf numFmtId="39" fontId="141" fillId="0" borderId="0">
      <alignment horizontal="center"/>
    </xf>
    <xf numFmtId="39" fontId="142" fillId="0" borderId="0">
      <alignment horizontal="center"/>
    </xf>
    <xf numFmtId="39" fontId="142" fillId="0" borderId="0">
      <alignment horizontal="center"/>
    </xf>
    <xf numFmtId="39" fontId="141" fillId="0" borderId="0">
      <alignment horizontal="center"/>
    </xf>
    <xf numFmtId="39" fontId="142" fillId="0" borderId="0">
      <alignment horizontal="center"/>
    </xf>
    <xf numFmtId="39" fontId="142" fillId="0" borderId="0">
      <alignment horizontal="center"/>
    </xf>
    <xf numFmtId="39" fontId="141" fillId="0" borderId="0">
      <alignment horizontal="center"/>
    </xf>
    <xf numFmtId="39" fontId="141" fillId="0" borderId="0">
      <alignment horizontal="center"/>
    </xf>
    <xf numFmtId="39" fontId="142" fillId="0" borderId="0">
      <alignment horizontal="center"/>
    </xf>
    <xf numFmtId="39" fontId="142" fillId="0" borderId="0">
      <alignment horizontal="center"/>
    </xf>
    <xf numFmtId="0" fontId="141" fillId="0" borderId="0">
      <alignment horizontal="center"/>
    </xf>
    <xf numFmtId="0" fontId="141" fillId="0" borderId="0">
      <alignment horizontal="center"/>
    </xf>
    <xf numFmtId="0" fontId="142" fillId="0" borderId="0">
      <alignment horizontal="center"/>
    </xf>
    <xf numFmtId="0" fontId="141" fillId="0" borderId="0">
      <alignment horizontal="center"/>
    </xf>
    <xf numFmtId="0" fontId="142" fillId="0" borderId="0">
      <alignment horizontal="center"/>
    </xf>
    <xf numFmtId="0" fontId="141" fillId="0" borderId="0">
      <alignment horizontal="center"/>
    </xf>
    <xf numFmtId="0" fontId="141" fillId="0" borderId="0">
      <alignment horizontal="center"/>
    </xf>
    <xf numFmtId="0" fontId="142" fillId="0" borderId="0">
      <alignment horizontal="center"/>
    </xf>
    <xf numFmtId="0" fontId="142" fillId="0" borderId="0">
      <alignment horizontal="center"/>
    </xf>
    <xf numFmtId="0" fontId="141" fillId="0" borderId="0">
      <alignment horizontal="center"/>
    </xf>
    <xf numFmtId="0" fontId="141" fillId="0" borderId="0">
      <alignment horizontal="center"/>
    </xf>
    <xf numFmtId="0" fontId="141" fillId="0" borderId="0">
      <alignment horizontal="center"/>
    </xf>
    <xf numFmtId="0" fontId="142" fillId="0" borderId="0">
      <alignment horizontal="center"/>
    </xf>
    <xf numFmtId="0" fontId="142" fillId="0" borderId="0">
      <alignment horizontal="center"/>
    </xf>
    <xf numFmtId="0" fontId="141" fillId="0" borderId="0">
      <alignment horizontal="center"/>
    </xf>
    <xf numFmtId="0" fontId="142" fillId="0" borderId="0">
      <alignment horizontal="center"/>
    </xf>
    <xf numFmtId="0" fontId="142" fillId="0" borderId="0">
      <alignment horizontal="center"/>
    </xf>
    <xf numFmtId="0" fontId="141" fillId="0" borderId="0">
      <alignment horizontal="center"/>
    </xf>
    <xf numFmtId="0" fontId="141" fillId="0" borderId="0">
      <alignment horizontal="center"/>
    </xf>
    <xf numFmtId="0" fontId="142" fillId="0" borderId="0">
      <alignment horizontal="center"/>
    </xf>
    <xf numFmtId="0" fontId="142" fillId="0" borderId="0">
      <alignment horizontal="center"/>
    </xf>
    <xf numFmtId="0" fontId="141" fillId="0" borderId="0">
      <alignment horizontal="center"/>
    </xf>
    <xf numFmtId="0" fontId="142" fillId="0" borderId="0">
      <alignment horizontal="center"/>
    </xf>
    <xf numFmtId="0" fontId="142" fillId="0" borderId="0">
      <alignment horizontal="center"/>
    </xf>
    <xf numFmtId="0" fontId="141" fillId="0" borderId="0">
      <alignment horizontal="center"/>
    </xf>
    <xf numFmtId="0" fontId="142" fillId="0" borderId="0">
      <alignment horizontal="center"/>
    </xf>
    <xf numFmtId="0" fontId="141" fillId="0" borderId="0">
      <alignment horizontal="center"/>
    </xf>
    <xf numFmtId="0" fontId="141" fillId="0" borderId="0">
      <alignment horizontal="center"/>
    </xf>
    <xf numFmtId="0" fontId="142" fillId="0" borderId="0">
      <alignment horizontal="center"/>
    </xf>
    <xf numFmtId="0" fontId="141" fillId="0" borderId="0">
      <alignment horizontal="center"/>
    </xf>
    <xf numFmtId="0" fontId="142" fillId="0" borderId="0">
      <alignment horizontal="center"/>
    </xf>
    <xf numFmtId="0" fontId="141" fillId="0" borderId="0">
      <alignment horizontal="center"/>
    </xf>
    <xf numFmtId="0" fontId="141" fillId="0" borderId="0">
      <alignment horizontal="center"/>
    </xf>
    <xf numFmtId="0" fontId="142" fillId="0" borderId="0">
      <alignment horizontal="center"/>
    </xf>
    <xf numFmtId="0" fontId="142" fillId="0" borderId="0">
      <alignment horizontal="center"/>
    </xf>
    <xf numFmtId="0" fontId="141" fillId="0" borderId="0">
      <alignment horizontal="center"/>
    </xf>
    <xf numFmtId="0" fontId="141" fillId="0" borderId="0">
      <alignment horizontal="center"/>
    </xf>
    <xf numFmtId="0" fontId="141" fillId="0" borderId="0">
      <alignment horizontal="center"/>
    </xf>
    <xf numFmtId="0" fontId="142" fillId="0" borderId="0">
      <alignment horizontal="center"/>
    </xf>
    <xf numFmtId="0" fontId="142" fillId="0" borderId="0">
      <alignment horizontal="center"/>
    </xf>
    <xf numFmtId="0" fontId="141" fillId="0" borderId="0">
      <alignment horizontal="center"/>
    </xf>
    <xf numFmtId="0" fontId="142" fillId="0" borderId="0">
      <alignment horizontal="center"/>
    </xf>
    <xf numFmtId="0" fontId="142" fillId="0" borderId="0">
      <alignment horizontal="center"/>
    </xf>
    <xf numFmtId="0" fontId="141" fillId="0" borderId="0">
      <alignment horizontal="center"/>
    </xf>
    <xf numFmtId="0" fontId="141" fillId="0" borderId="0">
      <alignment horizontal="center"/>
    </xf>
    <xf numFmtId="0" fontId="142" fillId="0" borderId="0">
      <alignment horizontal="center"/>
    </xf>
    <xf numFmtId="0" fontId="142" fillId="0" borderId="0">
      <alignment horizontal="center"/>
    </xf>
    <xf numFmtId="0" fontId="141" fillId="0" borderId="0">
      <alignment horizontal="center"/>
    </xf>
    <xf numFmtId="0" fontId="142" fillId="0" borderId="0">
      <alignment horizontal="center"/>
    </xf>
    <xf numFmtId="0" fontId="142" fillId="0" borderId="0">
      <alignment horizontal="center"/>
    </xf>
    <xf numFmtId="0" fontId="141" fillId="0" borderId="0">
      <alignment horizontal="center"/>
    </xf>
    <xf numFmtId="0" fontId="142" fillId="0" borderId="0">
      <alignment horizontal="center"/>
    </xf>
    <xf numFmtId="39" fontId="141" fillId="0" borderId="0">
      <alignment horizontal="center"/>
    </xf>
    <xf numFmtId="39" fontId="142" fillId="0" borderId="0">
      <alignment horizontal="center"/>
    </xf>
    <xf numFmtId="39" fontId="142" fillId="0" borderId="0">
      <alignment horizontal="center"/>
    </xf>
    <xf numFmtId="39" fontId="141" fillId="0" borderId="0">
      <alignment horizontal="center"/>
    </xf>
    <xf numFmtId="39" fontId="142" fillId="0" borderId="0">
      <alignment horizontal="center"/>
    </xf>
    <xf numFmtId="0" fontId="143" fillId="0" borderId="0">
      <alignment horizontal="center"/>
    </xf>
    <xf numFmtId="0" fontId="143" fillId="0" borderId="0">
      <alignment horizontal="center"/>
    </xf>
    <xf numFmtId="0" fontId="144" fillId="0" borderId="0">
      <alignment horizontal="center"/>
    </xf>
    <xf numFmtId="0" fontId="143" fillId="0" borderId="0">
      <alignment horizontal="center"/>
    </xf>
    <xf numFmtId="0" fontId="144" fillId="0" borderId="0">
      <alignment horizontal="center"/>
    </xf>
    <xf numFmtId="0" fontId="143" fillId="0" borderId="0">
      <alignment horizontal="center"/>
    </xf>
    <xf numFmtId="0" fontId="143" fillId="0" borderId="0">
      <alignment horizontal="center"/>
    </xf>
    <xf numFmtId="0" fontId="144" fillId="0" borderId="0">
      <alignment horizontal="center"/>
    </xf>
    <xf numFmtId="0" fontId="144" fillId="0" borderId="0">
      <alignment horizontal="center"/>
    </xf>
    <xf numFmtId="0" fontId="143" fillId="0" borderId="0">
      <alignment horizontal="center"/>
    </xf>
    <xf numFmtId="0" fontId="143" fillId="0" borderId="0">
      <alignment horizontal="center"/>
    </xf>
    <xf numFmtId="0" fontId="143" fillId="0" borderId="0">
      <alignment horizontal="center"/>
    </xf>
    <xf numFmtId="0" fontId="144" fillId="0" borderId="0">
      <alignment horizontal="center"/>
    </xf>
    <xf numFmtId="0" fontId="144" fillId="0" borderId="0">
      <alignment horizontal="center"/>
    </xf>
    <xf numFmtId="0" fontId="143" fillId="0" borderId="0">
      <alignment horizontal="center"/>
    </xf>
    <xf numFmtId="0" fontId="144" fillId="0" borderId="0">
      <alignment horizontal="center"/>
    </xf>
    <xf numFmtId="0" fontId="144" fillId="0" borderId="0">
      <alignment horizontal="center"/>
    </xf>
    <xf numFmtId="0" fontId="143" fillId="0" borderId="0">
      <alignment horizontal="center"/>
    </xf>
    <xf numFmtId="0" fontId="143" fillId="0" borderId="0">
      <alignment horizontal="center"/>
    </xf>
    <xf numFmtId="0" fontId="144" fillId="0" borderId="0">
      <alignment horizontal="center"/>
    </xf>
    <xf numFmtId="0" fontId="144" fillId="0" borderId="0">
      <alignment horizontal="center"/>
    </xf>
    <xf numFmtId="0" fontId="143" fillId="0" borderId="0">
      <alignment horizontal="center"/>
    </xf>
    <xf numFmtId="0" fontId="143" fillId="0" borderId="0">
      <alignment horizontal="center"/>
    </xf>
    <xf numFmtId="0" fontId="144" fillId="0" borderId="0">
      <alignment horizontal="center"/>
    </xf>
    <xf numFmtId="0" fontId="143" fillId="0" borderId="0">
      <alignment horizontal="center"/>
    </xf>
    <xf numFmtId="0" fontId="144" fillId="0" borderId="0">
      <alignment horizontal="center"/>
    </xf>
    <xf numFmtId="0" fontId="143" fillId="0" borderId="0">
      <alignment horizontal="center"/>
    </xf>
    <xf numFmtId="0" fontId="143" fillId="0" borderId="0">
      <alignment horizontal="center"/>
    </xf>
    <xf numFmtId="0" fontId="144" fillId="0" borderId="0">
      <alignment horizontal="center"/>
    </xf>
    <xf numFmtId="0" fontId="144" fillId="0" borderId="0">
      <alignment horizontal="center"/>
    </xf>
    <xf numFmtId="0" fontId="143" fillId="0" borderId="0">
      <alignment horizontal="center"/>
    </xf>
    <xf numFmtId="0" fontId="143" fillId="0" borderId="0">
      <alignment horizontal="center"/>
    </xf>
    <xf numFmtId="0" fontId="143" fillId="0" borderId="0">
      <alignment horizontal="center"/>
    </xf>
    <xf numFmtId="0" fontId="144" fillId="0" borderId="0">
      <alignment horizontal="center"/>
    </xf>
    <xf numFmtId="0" fontId="144" fillId="0" borderId="0">
      <alignment horizontal="center"/>
    </xf>
    <xf numFmtId="0" fontId="143" fillId="0" borderId="0">
      <alignment horizontal="center"/>
    </xf>
    <xf numFmtId="0" fontId="144" fillId="0" borderId="0">
      <alignment horizontal="center"/>
    </xf>
    <xf numFmtId="0" fontId="144" fillId="0" borderId="0">
      <alignment horizontal="center"/>
    </xf>
    <xf numFmtId="0" fontId="143" fillId="0" borderId="0">
      <alignment horizontal="center"/>
    </xf>
    <xf numFmtId="0" fontId="143" fillId="0" borderId="0">
      <alignment horizontal="center"/>
    </xf>
    <xf numFmtId="0" fontId="144" fillId="0" borderId="0">
      <alignment horizontal="center"/>
    </xf>
    <xf numFmtId="0" fontId="144" fillId="0" borderId="0">
      <alignment horizontal="center"/>
    </xf>
    <xf numFmtId="0" fontId="143" fillId="0" borderId="0">
      <alignment horizontal="center"/>
    </xf>
    <xf numFmtId="0" fontId="144" fillId="0" borderId="0">
      <alignment horizontal="center"/>
    </xf>
    <xf numFmtId="0" fontId="144" fillId="0" borderId="0">
      <alignment horizontal="center"/>
    </xf>
    <xf numFmtId="0" fontId="143" fillId="0" borderId="0">
      <alignment horizontal="center"/>
    </xf>
    <xf numFmtId="0" fontId="144" fillId="0" borderId="0">
      <alignment horizontal="center"/>
    </xf>
    <xf numFmtId="0" fontId="143" fillId="0" borderId="0">
      <alignment horizontal="center"/>
    </xf>
    <xf numFmtId="0" fontId="144" fillId="0" borderId="0">
      <alignment horizontal="center"/>
    </xf>
    <xf numFmtId="0" fontId="144" fillId="0" borderId="0">
      <alignment horizontal="center"/>
    </xf>
    <xf numFmtId="0" fontId="143" fillId="0" borderId="0">
      <alignment horizontal="center"/>
    </xf>
    <xf numFmtId="0" fontId="144" fillId="0" borderId="0">
      <alignment horizontal="center"/>
    </xf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20" borderId="0" applyNumberFormat="0" applyBorder="0" applyAlignment="0" applyProtection="0"/>
    <xf numFmtId="0" fontId="59" fillId="20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21" borderId="0" applyNumberFormat="0" applyBorder="0" applyAlignment="0" applyProtection="0"/>
    <xf numFmtId="0" fontId="59" fillId="21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59" fillId="35" borderId="0" applyNumberFormat="0" applyBorder="0" applyAlignment="0" applyProtection="0"/>
    <xf numFmtId="0" fontId="59" fillId="35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9" borderId="0" applyNumberFormat="0" applyBorder="0" applyAlignment="0" applyProtection="0"/>
    <xf numFmtId="0" fontId="59" fillId="19" borderId="0" applyNumberFormat="0" applyBorder="0" applyAlignment="0" applyProtection="0"/>
    <xf numFmtId="0" fontId="59" fillId="18" borderId="0" applyNumberFormat="0" applyBorder="0" applyAlignment="0" applyProtection="0"/>
    <xf numFmtId="0" fontId="59" fillId="18" borderId="0" applyNumberFormat="0" applyBorder="0" applyAlignment="0" applyProtection="0"/>
    <xf numFmtId="0" fontId="59" fillId="18" borderId="0" applyNumberFormat="0" applyBorder="0" applyAlignment="0" applyProtection="0"/>
    <xf numFmtId="0" fontId="59" fillId="18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19" borderId="0" applyNumberFormat="0" applyBorder="0" applyAlignment="0" applyProtection="0"/>
    <xf numFmtId="0" fontId="59" fillId="19" borderId="0" applyNumberFormat="0" applyBorder="0" applyAlignment="0" applyProtection="0"/>
    <xf numFmtId="0" fontId="59" fillId="35" borderId="0" applyNumberFormat="0" applyBorder="0" applyAlignment="0" applyProtection="0"/>
    <xf numFmtId="0" fontId="59" fillId="35" borderId="0" applyNumberFormat="0" applyBorder="0" applyAlignment="0" applyProtection="0"/>
    <xf numFmtId="39" fontId="145" fillId="0" borderId="0">
      <alignment horizontal="center"/>
    </xf>
    <xf numFmtId="188" fontId="2" fillId="0" borderId="0">
      <protection locked="0"/>
    </xf>
    <xf numFmtId="39" fontId="145" fillId="0" borderId="0">
      <alignment horizontal="center"/>
    </xf>
    <xf numFmtId="39" fontId="146" fillId="0" borderId="0">
      <alignment horizontal="center"/>
    </xf>
    <xf numFmtId="39" fontId="145" fillId="0" borderId="0">
      <alignment horizontal="center"/>
    </xf>
    <xf numFmtId="39" fontId="146" fillId="0" borderId="0">
      <alignment horizontal="center"/>
    </xf>
    <xf numFmtId="39" fontId="145" fillId="0" borderId="0">
      <alignment horizontal="center"/>
    </xf>
    <xf numFmtId="39" fontId="145" fillId="0" borderId="0">
      <alignment horizontal="center"/>
    </xf>
    <xf numFmtId="39" fontId="146" fillId="0" borderId="0">
      <alignment horizontal="center"/>
    </xf>
    <xf numFmtId="39" fontId="146" fillId="0" borderId="0">
      <alignment horizontal="center"/>
    </xf>
    <xf numFmtId="39" fontId="145" fillId="0" borderId="0">
      <alignment horizontal="center"/>
    </xf>
    <xf numFmtId="39" fontId="145" fillId="0" borderId="0">
      <alignment horizontal="center"/>
    </xf>
    <xf numFmtId="39" fontId="145" fillId="0" borderId="0">
      <alignment horizontal="center"/>
    </xf>
    <xf numFmtId="39" fontId="146" fillId="0" borderId="0">
      <alignment horizontal="center"/>
    </xf>
    <xf numFmtId="39" fontId="146" fillId="0" borderId="0">
      <alignment horizontal="center"/>
    </xf>
    <xf numFmtId="39" fontId="145" fillId="0" borderId="0">
      <alignment horizontal="center"/>
    </xf>
    <xf numFmtId="39" fontId="146" fillId="0" borderId="0">
      <alignment horizontal="center"/>
    </xf>
    <xf numFmtId="39" fontId="146" fillId="0" borderId="0">
      <alignment horizontal="center"/>
    </xf>
    <xf numFmtId="39" fontId="145" fillId="0" borderId="0">
      <alignment horizontal="center"/>
    </xf>
    <xf numFmtId="39" fontId="145" fillId="0" borderId="0">
      <alignment horizontal="center"/>
    </xf>
    <xf numFmtId="39" fontId="146" fillId="0" borderId="0">
      <alignment horizontal="center"/>
    </xf>
    <xf numFmtId="39" fontId="146" fillId="0" borderId="0">
      <alignment horizontal="center"/>
    </xf>
    <xf numFmtId="39" fontId="145" fillId="0" borderId="0">
      <alignment horizontal="center"/>
    </xf>
    <xf numFmtId="39" fontId="146" fillId="0" borderId="0">
      <alignment horizontal="center"/>
    </xf>
    <xf numFmtId="39" fontId="146" fillId="0" borderId="0">
      <alignment horizontal="center"/>
    </xf>
    <xf numFmtId="39" fontId="145" fillId="0" borderId="0">
      <alignment horizontal="center"/>
    </xf>
    <xf numFmtId="39" fontId="146" fillId="0" borderId="0">
      <alignment horizontal="center"/>
    </xf>
    <xf numFmtId="0" fontId="59" fillId="20" borderId="0" applyNumberFormat="0" applyBorder="0" applyAlignment="0" applyProtection="0"/>
    <xf numFmtId="0" fontId="59" fillId="20" borderId="0" applyNumberFormat="0" applyBorder="0" applyAlignment="0" applyProtection="0"/>
    <xf numFmtId="0" fontId="59" fillId="20" borderId="0" applyNumberFormat="0" applyBorder="0" applyAlignment="0" applyProtection="0"/>
    <xf numFmtId="0" fontId="59" fillId="18" borderId="0" applyNumberFormat="0" applyBorder="0" applyAlignment="0" applyProtection="0"/>
    <xf numFmtId="0" fontId="59" fillId="18" borderId="0" applyNumberFormat="0" applyBorder="0" applyAlignment="0" applyProtection="0"/>
    <xf numFmtId="0" fontId="59" fillId="21" borderId="0" applyNumberFormat="0" applyBorder="0" applyAlignment="0" applyProtection="0"/>
    <xf numFmtId="0" fontId="59" fillId="21" borderId="0" applyNumberFormat="0" applyBorder="0" applyAlignment="0" applyProtection="0"/>
    <xf numFmtId="0" fontId="59" fillId="21" borderId="0" applyNumberFormat="0" applyBorder="0" applyAlignment="0" applyProtection="0"/>
    <xf numFmtId="0" fontId="59" fillId="21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2" borderId="0" applyNumberFormat="0" applyBorder="0" applyAlignment="0" applyProtection="0"/>
    <xf numFmtId="0" fontId="59" fillId="22" borderId="0" applyNumberFormat="0" applyBorder="0" applyAlignment="0" applyProtection="0"/>
    <xf numFmtId="0" fontId="59" fillId="34" borderId="0" applyNumberFormat="0" applyBorder="0" applyAlignment="0" applyProtection="0"/>
    <xf numFmtId="0" fontId="59" fillId="34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20" borderId="0" applyNumberFormat="0" applyBorder="0" applyAlignment="0" applyProtection="0"/>
    <xf numFmtId="0" fontId="59" fillId="20" borderId="0" applyNumberFormat="0" applyBorder="0" applyAlignment="0" applyProtection="0"/>
    <xf numFmtId="0" fontId="59" fillId="20" borderId="0" applyNumberFormat="0" applyBorder="0" applyAlignment="0" applyProtection="0"/>
    <xf numFmtId="0" fontId="59" fillId="18" borderId="0" applyNumberFormat="0" applyBorder="0" applyAlignment="0" applyProtection="0"/>
    <xf numFmtId="0" fontId="59" fillId="18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9" fillId="35" borderId="0" applyNumberFormat="0" applyBorder="0" applyAlignment="0" applyProtection="0"/>
    <xf numFmtId="0" fontId="59" fillId="35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21" borderId="0" applyNumberFormat="0" applyBorder="0" applyAlignment="0" applyProtection="0"/>
    <xf numFmtId="0" fontId="64" fillId="21" borderId="0" applyNumberFormat="0" applyBorder="0" applyAlignment="0" applyProtection="0"/>
    <xf numFmtId="0" fontId="64" fillId="2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22" borderId="0" applyNumberFormat="0" applyBorder="0" applyAlignment="0" applyProtection="0"/>
    <xf numFmtId="0" fontId="64" fillId="22" borderId="0" applyNumberFormat="0" applyBorder="0" applyAlignment="0" applyProtection="0"/>
    <xf numFmtId="0" fontId="64" fillId="22" borderId="0" applyNumberFormat="0" applyBorder="0" applyAlignment="0" applyProtection="0"/>
    <xf numFmtId="0" fontId="64" fillId="23" borderId="0" applyNumberFormat="0" applyBorder="0" applyAlignment="0" applyProtection="0"/>
    <xf numFmtId="0" fontId="64" fillId="23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26" borderId="0" applyNumberFormat="0" applyBorder="0" applyAlignment="0" applyProtection="0"/>
    <xf numFmtId="0" fontId="64" fillId="26" borderId="0" applyNumberFormat="0" applyBorder="0" applyAlignment="0" applyProtection="0"/>
    <xf numFmtId="0" fontId="64" fillId="26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27" borderId="0" applyNumberFormat="0" applyBorder="0" applyAlignment="0" applyProtection="0"/>
    <xf numFmtId="0" fontId="64" fillId="27" borderId="0" applyNumberFormat="0" applyBorder="0" applyAlignment="0" applyProtection="0"/>
    <xf numFmtId="0" fontId="64" fillId="27" borderId="0" applyNumberFormat="0" applyBorder="0" applyAlignment="0" applyProtection="0"/>
    <xf numFmtId="0" fontId="64" fillId="21" borderId="0" applyNumberFormat="0" applyBorder="0" applyAlignment="0" applyProtection="0"/>
    <xf numFmtId="0" fontId="64" fillId="21" borderId="0" applyNumberFormat="0" applyBorder="0" applyAlignment="0" applyProtection="0"/>
    <xf numFmtId="10" fontId="31" fillId="0" borderId="1" applyNumberFormat="0" applyFill="0" applyBorder="0" applyAlignment="0" applyProtection="0"/>
    <xf numFmtId="0" fontId="2" fillId="0" borderId="0" applyNumberFormat="0" applyFill="0" applyBorder="0" applyAlignment="0">
      <alignment vertical="center"/>
    </xf>
    <xf numFmtId="0" fontId="2" fillId="0" borderId="0" applyNumberFormat="0" applyFill="0" applyBorder="0" applyAlignment="0">
      <alignment vertical="center"/>
    </xf>
    <xf numFmtId="0" fontId="64" fillId="28" borderId="0" applyNumberFormat="0" applyBorder="0" applyAlignment="0" applyProtection="0"/>
    <xf numFmtId="0" fontId="64" fillId="28" borderId="0" applyNumberFormat="0" applyBorder="0" applyAlignment="0" applyProtection="0"/>
    <xf numFmtId="0" fontId="64" fillId="28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0" borderId="0" applyNumberFormat="0" applyBorder="0" applyAlignment="0" applyProtection="0"/>
    <xf numFmtId="0" fontId="64" fillId="30" borderId="0" applyNumberFormat="0" applyBorder="0" applyAlignment="0" applyProtection="0"/>
    <xf numFmtId="0" fontId="64" fillId="30" borderId="0" applyNumberFormat="0" applyBorder="0" applyAlignment="0" applyProtection="0"/>
    <xf numFmtId="0" fontId="64" fillId="23" borderId="0" applyNumberFormat="0" applyBorder="0" applyAlignment="0" applyProtection="0"/>
    <xf numFmtId="0" fontId="64" fillId="23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4" fillId="26" borderId="0" applyNumberFormat="0" applyBorder="0" applyAlignment="0" applyProtection="0"/>
    <xf numFmtId="0" fontId="64" fillId="26" borderId="0" applyNumberFormat="0" applyBorder="0" applyAlignment="0" applyProtection="0"/>
    <xf numFmtId="0" fontId="64" fillId="26" borderId="0" applyNumberFormat="0" applyBorder="0" applyAlignment="0" applyProtection="0"/>
    <xf numFmtId="0" fontId="64" fillId="26" borderId="0" applyNumberFormat="0" applyBorder="0" applyAlignment="0" applyProtection="0"/>
    <xf numFmtId="0" fontId="64" fillId="26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234" fontId="93" fillId="0" borderId="0">
      <alignment horizontal="center"/>
    </xf>
    <xf numFmtId="0" fontId="2" fillId="0" borderId="0" applyNumberFormat="0" applyFont="0" applyFill="0" applyBorder="0" applyAlignment="0" applyProtection="0"/>
    <xf numFmtId="0" fontId="55" fillId="0" borderId="0"/>
    <xf numFmtId="37" fontId="147" fillId="0" borderId="0" applyFont="0" applyAlignment="0">
      <alignment horizontal="centerContinuous" vertical="top"/>
    </xf>
    <xf numFmtId="37" fontId="94" fillId="8" borderId="16" applyBorder="0" applyProtection="0">
      <alignment vertical="center"/>
    </xf>
    <xf numFmtId="235" fontId="30" fillId="0" borderId="0">
      <alignment horizontal="center"/>
    </xf>
    <xf numFmtId="0" fontId="131" fillId="0" borderId="0">
      <alignment horizontal="center" wrapText="1"/>
      <protection locked="0"/>
    </xf>
    <xf numFmtId="0" fontId="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236" fontId="95" fillId="0" borderId="0">
      <alignment horizontal="center"/>
    </xf>
    <xf numFmtId="237" fontId="96" fillId="0" borderId="0">
      <alignment horizontal="center"/>
    </xf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7" borderId="0" applyNumberFormat="0" applyBorder="0" applyAlignment="0" applyProtection="0"/>
    <xf numFmtId="0" fontId="65" fillId="17" borderId="0" applyNumberFormat="0" applyBorder="0" applyAlignment="0" applyProtection="0"/>
    <xf numFmtId="0" fontId="2" fillId="0" borderId="0" applyNumberFormat="0" applyFill="0" applyBorder="0" applyAlignment="0" applyProtection="0"/>
    <xf numFmtId="239" fontId="2" fillId="0" borderId="0" applyFont="0" applyFill="0" applyBorder="0" applyAlignment="0"/>
    <xf numFmtId="240" fontId="2" fillId="0" borderId="0" applyFont="0" applyFill="0" applyBorder="0" applyAlignment="0">
      <alignment horizontal="right"/>
    </xf>
    <xf numFmtId="0" fontId="97" fillId="0" borderId="0" applyNumberFormat="0" applyFill="0" applyBorder="0" applyAlignment="0" applyProtection="0"/>
    <xf numFmtId="0" fontId="148" fillId="0" borderId="0">
      <protection locked="0"/>
    </xf>
    <xf numFmtId="241" fontId="2" fillId="0" borderId="0">
      <alignment horizontal="right"/>
      <protection locked="0"/>
    </xf>
    <xf numFmtId="7" fontId="149" fillId="0" borderId="0">
      <alignment horizontal="right"/>
      <protection locked="0"/>
    </xf>
    <xf numFmtId="194" fontId="148" fillId="0" borderId="0">
      <alignment horizontal="right"/>
      <protection locked="0"/>
    </xf>
    <xf numFmtId="0" fontId="150" fillId="0" borderId="0" applyNumberFormat="0" applyFill="0" applyBorder="0" applyAlignment="0" applyProtection="0"/>
    <xf numFmtId="0" fontId="98" fillId="41" borderId="0" applyBorder="0">
      <alignment horizontal="left" vertical="center" indent="1"/>
    </xf>
    <xf numFmtId="0" fontId="34" fillId="0" borderId="25" applyNumberFormat="0" applyFill="0" applyAlignment="0" applyProtection="0"/>
    <xf numFmtId="0" fontId="151" fillId="0" borderId="44"/>
    <xf numFmtId="0" fontId="152" fillId="13" borderId="45" applyAlignment="0">
      <alignment horizontal="center"/>
    </xf>
    <xf numFmtId="0" fontId="153" fillId="0" borderId="46"/>
    <xf numFmtId="0" fontId="99" fillId="0" borderId="43"/>
    <xf numFmtId="0" fontId="131" fillId="0" borderId="2" applyNumberFormat="0" applyFont="0" applyFill="0" applyAlignment="0" applyProtection="0"/>
    <xf numFmtId="194" fontId="89" fillId="0" borderId="47" applyNumberFormat="0" applyFont="0" applyAlignment="0" applyProtection="0"/>
    <xf numFmtId="7" fontId="57" fillId="0" borderId="24"/>
    <xf numFmtId="0" fontId="154" fillId="0" borderId="48"/>
    <xf numFmtId="0" fontId="154" fillId="0" borderId="49"/>
    <xf numFmtId="0" fontId="155" fillId="0" borderId="0"/>
    <xf numFmtId="0" fontId="100" fillId="0" borderId="0" applyNumberFormat="0">
      <alignment horizontal="center"/>
      <protection hidden="1"/>
    </xf>
    <xf numFmtId="0" fontId="15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66" fillId="32" borderId="32" applyNumberFormat="0" applyAlignment="0" applyProtection="0"/>
    <xf numFmtId="0" fontId="66" fillId="32" borderId="32" applyNumberFormat="0" applyAlignment="0" applyProtection="0"/>
    <xf numFmtId="0" fontId="66" fillId="32" borderId="32" applyNumberFormat="0" applyAlignment="0" applyProtection="0"/>
    <xf numFmtId="0" fontId="157" fillId="42" borderId="32" applyNumberFormat="0" applyAlignment="0" applyProtection="0"/>
    <xf numFmtId="0" fontId="157" fillId="42" borderId="32" applyNumberFormat="0" applyAlignment="0" applyProtection="0"/>
    <xf numFmtId="242" fontId="2" fillId="0" borderId="12" applyFill="0" applyBorder="0" applyAlignment="0" applyProtection="0">
      <alignment horizontal="right"/>
    </xf>
    <xf numFmtId="0" fontId="2" fillId="0" borderId="0" applyFont="0" applyFill="0"/>
    <xf numFmtId="39" fontId="131" fillId="43" borderId="0" applyNumberFormat="0" applyFont="0" applyBorder="0" applyAlignment="0"/>
    <xf numFmtId="0" fontId="34" fillId="0" borderId="25" applyNumberFormat="0" applyFont="0" applyFill="0" applyProtection="0">
      <alignment horizontal="centerContinuous" vertical="center"/>
    </xf>
    <xf numFmtId="0" fontId="67" fillId="33" borderId="33" applyNumberFormat="0" applyAlignment="0" applyProtection="0"/>
    <xf numFmtId="0" fontId="67" fillId="33" borderId="33" applyNumberFormat="0" applyAlignment="0" applyProtection="0"/>
    <xf numFmtId="0" fontId="67" fillId="33" borderId="33" applyNumberFormat="0" applyAlignment="0" applyProtection="0"/>
    <xf numFmtId="0" fontId="67" fillId="33" borderId="33" applyNumberFormat="0" applyAlignment="0" applyProtection="0"/>
    <xf numFmtId="0" fontId="67" fillId="33" borderId="33" applyNumberFormat="0" applyAlignment="0" applyProtection="0"/>
    <xf numFmtId="0" fontId="101" fillId="0" borderId="0">
      <alignment horizontal="center"/>
      <protection hidden="1"/>
    </xf>
    <xf numFmtId="0" fontId="158" fillId="0" borderId="50" applyNumberFormat="0" applyFill="0" applyProtection="0">
      <alignment horizontal="center" vertical="center"/>
    </xf>
    <xf numFmtId="0" fontId="159" fillId="0" borderId="25" applyNumberFormat="0" applyFill="0" applyBorder="0" applyProtection="0">
      <alignment horizontal="right" vertical="center"/>
    </xf>
    <xf numFmtId="0" fontId="34" fillId="0" borderId="0" applyNumberFormat="0" applyFill="0" applyBorder="0" applyProtection="0">
      <alignment horizontal="center" vertical="center"/>
    </xf>
    <xf numFmtId="43" fontId="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43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60" fillId="0" borderId="0" applyFont="0" applyFill="0" applyBorder="0" applyAlignment="0" applyProtection="0">
      <alignment horizontal="right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0" fillId="0" borderId="0" applyFont="0" applyFill="0" applyBorder="0" applyAlignment="0" applyProtection="0">
      <alignment horizontal="right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103" fillId="0" borderId="0" applyFont="0" applyFill="0" applyBorder="0" applyAlignment="0" applyProtection="0"/>
    <xf numFmtId="0" fontId="161" fillId="0" borderId="0"/>
    <xf numFmtId="0" fontId="106" fillId="0" borderId="0"/>
    <xf numFmtId="275" fontId="162" fillId="0" borderId="0">
      <protection locked="0"/>
    </xf>
    <xf numFmtId="0" fontId="161" fillId="0" borderId="0"/>
    <xf numFmtId="41" fontId="152" fillId="0" borderId="51">
      <alignment horizontal="center"/>
      <protection locked="0" hidden="1"/>
    </xf>
    <xf numFmtId="41" fontId="152" fillId="0" borderId="52">
      <alignment horizontal="center"/>
      <protection locked="0"/>
    </xf>
    <xf numFmtId="41" fontId="163" fillId="0" borderId="44">
      <protection hidden="1"/>
    </xf>
    <xf numFmtId="39" fontId="2" fillId="0" borderId="0" applyNumberFormat="0" applyFont="0" applyAlignment="0"/>
    <xf numFmtId="41" fontId="164" fillId="0" borderId="44"/>
    <xf numFmtId="41" fontId="152" fillId="0" borderId="44">
      <alignment horizontal="right"/>
    </xf>
    <xf numFmtId="0" fontId="104" fillId="0" borderId="14" applyProtection="0">
      <alignment horizontal="center" vertical="top" wrapText="1"/>
      <protection hidden="1"/>
    </xf>
    <xf numFmtId="0" fontId="165" fillId="0" borderId="0" applyNumberFormat="0" applyAlignment="0">
      <alignment horizontal="left"/>
    </xf>
    <xf numFmtId="0" fontId="57" fillId="0" borderId="0" applyNumberFormat="0" applyAlignment="0"/>
    <xf numFmtId="0" fontId="161" fillId="0" borderId="0"/>
    <xf numFmtId="0" fontId="161" fillId="0" borderId="0"/>
    <xf numFmtId="44" fontId="2" fillId="0" borderId="0" applyFont="0" applyFill="0" applyBorder="0" applyAlignment="0" applyProtection="0"/>
    <xf numFmtId="208" fontId="81" fillId="0" borderId="0"/>
    <xf numFmtId="44" fontId="102" fillId="0" borderId="0" applyFont="0" applyFill="0" applyBorder="0" applyAlignment="0" applyProtection="0"/>
    <xf numFmtId="42" fontId="10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8" fontId="166" fillId="0" borderId="0" applyBorder="0"/>
    <xf numFmtId="0" fontId="160" fillId="0" borderId="0" applyFont="0" applyFill="0" applyBorder="0" applyAlignment="0" applyProtection="0">
      <alignment horizontal="right"/>
    </xf>
    <xf numFmtId="238" fontId="105" fillId="0" borderId="18" applyBorder="0"/>
    <xf numFmtId="273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43" fontId="2" fillId="0" borderId="0" applyFont="0" applyFill="0" applyBorder="0" applyAlignment="0" applyProtection="0">
      <alignment horizontal="right"/>
    </xf>
    <xf numFmtId="243" fontId="2" fillId="0" borderId="0" applyFont="0" applyFill="0" applyBorder="0" applyAlignment="0" applyProtection="0">
      <alignment horizontal="right"/>
    </xf>
    <xf numFmtId="243" fontId="2" fillId="0" borderId="0" applyFont="0" applyFill="0" applyBorder="0" applyAlignment="0" applyProtection="0">
      <alignment horizontal="right"/>
    </xf>
    <xf numFmtId="243" fontId="2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2" fillId="0" borderId="0" applyFont="0" applyFill="0" applyBorder="0" applyAlignment="0" applyProtection="0"/>
    <xf numFmtId="273" fontId="2" fillId="0" borderId="0" applyFont="0" applyFill="0" applyBorder="0" applyAlignment="0" applyProtection="0"/>
    <xf numFmtId="188" fontId="103" fillId="0" borderId="0" applyFont="0" applyFill="0" applyBorder="0" applyAlignment="0" applyProtection="0"/>
    <xf numFmtId="0" fontId="2" fillId="0" borderId="0"/>
    <xf numFmtId="44" fontId="163" fillId="0" borderId="44">
      <alignment horizontal="center"/>
      <protection hidden="1"/>
    </xf>
    <xf numFmtId="6" fontId="167" fillId="0" borderId="0" applyFont="0" applyFill="0" applyBorder="0" applyAlignment="0" applyProtection="0"/>
    <xf numFmtId="0" fontId="2" fillId="0" borderId="0" applyFont="0" applyFill="0" applyBorder="0" applyAlignment="0" applyProtection="0"/>
    <xf numFmtId="14" fontId="90" fillId="0" borderId="0"/>
    <xf numFmtId="15" fontId="106" fillId="0" borderId="53" applyFont="0" applyFill="0" applyBorder="0" applyProtection="0">
      <alignment horizontal="center"/>
      <protection locked="0"/>
    </xf>
    <xf numFmtId="14" fontId="90" fillId="0" borderId="0"/>
    <xf numFmtId="14" fontId="90" fillId="0" borderId="0"/>
    <xf numFmtId="14" fontId="90" fillId="0" borderId="0"/>
    <xf numFmtId="14" fontId="90" fillId="0" borderId="0"/>
    <xf numFmtId="15" fontId="106" fillId="0" borderId="53" applyFont="0" applyFill="0" applyBorder="0" applyProtection="0">
      <alignment horizontal="center"/>
      <protection locked="0"/>
    </xf>
    <xf numFmtId="15" fontId="106" fillId="0" borderId="53" applyFont="0" applyFill="0" applyBorder="0" applyProtection="0">
      <alignment horizontal="center"/>
      <protection locked="0"/>
    </xf>
    <xf numFmtId="15" fontId="106" fillId="0" borderId="53" applyFont="0" applyFill="0" applyBorder="0" applyProtection="0">
      <alignment horizontal="center"/>
      <protection locked="0"/>
    </xf>
    <xf numFmtId="15" fontId="106" fillId="0" borderId="53" applyFont="0" applyFill="0" applyBorder="0" applyProtection="0">
      <alignment horizontal="center"/>
      <protection locked="0"/>
    </xf>
    <xf numFmtId="15" fontId="106" fillId="0" borderId="53" applyFont="0" applyFill="0" applyBorder="0" applyProtection="0">
      <alignment horizontal="center"/>
      <protection locked="0"/>
    </xf>
    <xf numFmtId="15" fontId="106" fillId="0" borderId="53" applyFont="0" applyFill="0" applyBorder="0" applyProtection="0">
      <alignment horizontal="center"/>
      <protection locked="0"/>
    </xf>
    <xf numFmtId="0" fontId="160" fillId="0" borderId="0" applyFont="0" applyFill="0" applyBorder="0" applyAlignment="0" applyProtection="0"/>
    <xf numFmtId="271" fontId="2" fillId="0" borderId="0">
      <alignment horizontal="right"/>
    </xf>
    <xf numFmtId="14" fontId="38" fillId="0" borderId="0" applyFill="0" applyBorder="0" applyAlignment="0"/>
    <xf numFmtId="14" fontId="168" fillId="0" borderId="0">
      <alignment horizontal="right"/>
      <protection locked="0"/>
    </xf>
    <xf numFmtId="244" fontId="2" fillId="0" borderId="0">
      <alignment horizontal="right"/>
    </xf>
    <xf numFmtId="245" fontId="2" fillId="0" borderId="0">
      <alignment horizontal="right"/>
    </xf>
    <xf numFmtId="194" fontId="2" fillId="0" borderId="0">
      <alignment horizontal="right"/>
    </xf>
    <xf numFmtId="239" fontId="107" fillId="0" borderId="12"/>
    <xf numFmtId="240" fontId="95" fillId="0" borderId="7">
      <alignment horizontal="left"/>
    </xf>
    <xf numFmtId="37" fontId="57" fillId="0" borderId="30"/>
    <xf numFmtId="246" fontId="2" fillId="0" borderId="0"/>
    <xf numFmtId="246" fontId="2" fillId="0" borderId="0">
      <protection locked="0"/>
    </xf>
    <xf numFmtId="7" fontId="131" fillId="0" borderId="0"/>
    <xf numFmtId="241" fontId="93" fillId="0" borderId="0">
      <alignment horizontal="center"/>
    </xf>
    <xf numFmtId="0" fontId="108" fillId="0" borderId="25" applyNumberFormat="0" applyFont="0" applyAlignment="0" applyProtection="0">
      <protection locked="0"/>
    </xf>
    <xf numFmtId="0" fontId="160" fillId="0" borderId="54" applyNumberFormat="0" applyFont="0" applyFill="0" applyAlignment="0" applyProtection="0"/>
    <xf numFmtId="42" fontId="169" fillId="0" borderId="0" applyFill="0" applyBorder="0" applyAlignment="0" applyProtection="0"/>
    <xf numFmtId="0" fontId="109" fillId="0" borderId="0"/>
    <xf numFmtId="170" fontId="89" fillId="44" borderId="0">
      <alignment vertical="center"/>
    </xf>
    <xf numFmtId="170" fontId="88" fillId="0" borderId="0">
      <alignment vertical="center"/>
    </xf>
    <xf numFmtId="170" fontId="88" fillId="0" borderId="0">
      <alignment vertical="center"/>
    </xf>
    <xf numFmtId="170" fontId="170" fillId="8" borderId="55" applyNumberFormat="0" applyAlignment="0">
      <alignment horizontal="center" vertical="center"/>
    </xf>
    <xf numFmtId="170" fontId="130" fillId="8" borderId="0">
      <alignment horizontal="center" vertical="center"/>
    </xf>
    <xf numFmtId="14" fontId="89" fillId="8" borderId="0">
      <alignment horizontal="center" vertical="center"/>
    </xf>
    <xf numFmtId="17" fontId="171" fillId="8" borderId="0">
      <alignment horizontal="center" vertical="center"/>
    </xf>
    <xf numFmtId="170" fontId="172" fillId="0" borderId="0">
      <alignment vertical="center"/>
    </xf>
    <xf numFmtId="170" fontId="173" fillId="8" borderId="0">
      <alignment vertical="center"/>
    </xf>
    <xf numFmtId="170" fontId="174" fillId="8" borderId="0">
      <alignment vertical="center"/>
    </xf>
    <xf numFmtId="167" fontId="175" fillId="8" borderId="56">
      <alignment vertical="center"/>
    </xf>
    <xf numFmtId="0" fontId="89" fillId="8" borderId="56">
      <alignment vertical="center"/>
    </xf>
    <xf numFmtId="37" fontId="171" fillId="8" borderId="0">
      <alignment horizontal="left" vertical="center"/>
    </xf>
    <xf numFmtId="170" fontId="171" fillId="8" borderId="0">
      <alignment horizontal="center" vertical="center"/>
    </xf>
    <xf numFmtId="247" fontId="2" fillId="8" borderId="0">
      <alignment horizontal="right" vertical="center"/>
    </xf>
    <xf numFmtId="182" fontId="176" fillId="8" borderId="0">
      <alignment horizontal="right" vertical="center"/>
    </xf>
    <xf numFmtId="167" fontId="177" fillId="8" borderId="0">
      <alignment horizontal="right" vertical="center"/>
    </xf>
    <xf numFmtId="167" fontId="177" fillId="8" borderId="8">
      <alignment horizontal="right" vertical="center"/>
    </xf>
    <xf numFmtId="182" fontId="178" fillId="8" borderId="56">
      <alignment horizontal="right" vertical="center"/>
    </xf>
    <xf numFmtId="186" fontId="62" fillId="8" borderId="0">
      <alignment horizontal="right" vertical="center"/>
    </xf>
    <xf numFmtId="4" fontId="176" fillId="8" borderId="0">
      <alignment horizontal="right" vertical="center"/>
    </xf>
    <xf numFmtId="186" fontId="171" fillId="8" borderId="25">
      <alignment horizontal="right" vertical="center"/>
    </xf>
    <xf numFmtId="182" fontId="171" fillId="8" borderId="25">
      <alignment horizontal="right" vertical="center"/>
    </xf>
    <xf numFmtId="182" fontId="178" fillId="8" borderId="0">
      <alignment horizontal="right" vertical="center"/>
    </xf>
    <xf numFmtId="271" fontId="171" fillId="8" borderId="0">
      <alignment horizontal="right" vertical="center"/>
    </xf>
    <xf numFmtId="170" fontId="89" fillId="0" borderId="0">
      <alignment vertical="center"/>
    </xf>
    <xf numFmtId="170" fontId="172" fillId="8" borderId="25" applyBorder="0">
      <alignment horizontal="left" vertical="center"/>
    </xf>
    <xf numFmtId="170" fontId="179" fillId="8" borderId="0">
      <alignment horizontal="left" vertical="center"/>
    </xf>
    <xf numFmtId="170" fontId="172" fillId="8" borderId="57">
      <alignment horizontal="left"/>
    </xf>
    <xf numFmtId="170" fontId="131" fillId="8" borderId="58">
      <alignment vertical="center"/>
    </xf>
    <xf numFmtId="170" fontId="131" fillId="8" borderId="59">
      <alignment vertical="center"/>
    </xf>
    <xf numFmtId="170" fontId="131" fillId="8" borderId="8">
      <alignment vertical="center"/>
    </xf>
    <xf numFmtId="170" fontId="88" fillId="8" borderId="60">
      <alignment horizontal="center" vertical="center"/>
    </xf>
    <xf numFmtId="170" fontId="88" fillId="0" borderId="0">
      <alignment vertical="center"/>
    </xf>
    <xf numFmtId="170" fontId="88" fillId="0" borderId="0">
      <alignment vertical="center"/>
    </xf>
    <xf numFmtId="170" fontId="88" fillId="0" borderId="0">
      <alignment vertical="center"/>
    </xf>
    <xf numFmtId="167" fontId="180" fillId="0" borderId="61" applyNumberFormat="0" applyAlignment="0" applyProtection="0">
      <alignment vertical="top"/>
    </xf>
    <xf numFmtId="0" fontId="110" fillId="0" borderId="1" applyFill="0" applyBorder="0" applyAlignment="0"/>
    <xf numFmtId="41" fontId="181" fillId="0" borderId="0" applyFont="0" applyFill="0" applyBorder="0" applyAlignment="0" applyProtection="0"/>
    <xf numFmtId="43" fontId="181" fillId="0" borderId="0" applyFont="0" applyFill="0" applyBorder="0" applyAlignment="0" applyProtection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182" fillId="0" borderId="0" applyNumberFormat="0" applyAlignment="0">
      <alignment horizontal="left"/>
    </xf>
    <xf numFmtId="242" fontId="111" fillId="0" borderId="0">
      <alignment horizontal="right"/>
    </xf>
    <xf numFmtId="0" fontId="2" fillId="0" borderId="62" applyNumberFormat="0" applyFont="0" applyFill="0" applyAlignment="0" applyProtection="0"/>
    <xf numFmtId="0" fontId="95" fillId="0" borderId="0">
      <alignment horizontal="center"/>
    </xf>
    <xf numFmtId="0" fontId="96" fillId="0" borderId="0">
      <alignment horizontal="center"/>
    </xf>
    <xf numFmtId="0" fontId="96" fillId="0" borderId="0">
      <alignment horizontal="center"/>
    </xf>
    <xf numFmtId="243" fontId="96" fillId="0" borderId="0">
      <alignment horizontal="center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95" fillId="0" borderId="0">
      <alignment horizontal="center"/>
    </xf>
    <xf numFmtId="0" fontId="95" fillId="0" borderId="0">
      <alignment horizontal="center"/>
    </xf>
    <xf numFmtId="244" fontId="112" fillId="0" borderId="0">
      <protection locked="0"/>
    </xf>
    <xf numFmtId="244" fontId="112" fillId="0" borderId="0">
      <protection locked="0"/>
    </xf>
    <xf numFmtId="244" fontId="113" fillId="0" borderId="0">
      <protection locked="0"/>
    </xf>
    <xf numFmtId="244" fontId="112" fillId="0" borderId="0">
      <protection locked="0"/>
    </xf>
    <xf numFmtId="244" fontId="112" fillId="0" borderId="0">
      <protection locked="0"/>
    </xf>
    <xf numFmtId="244" fontId="112" fillId="0" borderId="0">
      <protection locked="0"/>
    </xf>
    <xf numFmtId="244" fontId="113" fillId="0" borderId="0">
      <protection locked="0"/>
    </xf>
    <xf numFmtId="245" fontId="95" fillId="0" borderId="5">
      <alignment horizontal="left"/>
    </xf>
    <xf numFmtId="2" fontId="103" fillId="0" borderId="0" applyFont="0" applyFill="0" applyBorder="0" applyAlignment="0" applyProtection="0"/>
    <xf numFmtId="0" fontId="106" fillId="0" borderId="0"/>
    <xf numFmtId="0" fontId="184" fillId="0" borderId="0" applyFill="0" applyBorder="0" applyProtection="0">
      <alignment horizontal="left"/>
    </xf>
    <xf numFmtId="38" fontId="106" fillId="0" borderId="0" applyFill="0" applyBorder="0" applyAlignment="0" applyProtection="0"/>
    <xf numFmtId="194" fontId="114" fillId="0" borderId="63" applyNumberFormat="0" applyAlignment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8" borderId="0" applyNumberFormat="0" applyBorder="0" applyAlignment="0" applyProtection="0"/>
    <xf numFmtId="0" fontId="69" fillId="18" borderId="0" applyNumberFormat="0" applyBorder="0" applyAlignment="0" applyProtection="0"/>
    <xf numFmtId="246" fontId="46" fillId="0" borderId="28">
      <alignment horizontal="center"/>
    </xf>
    <xf numFmtId="0" fontId="160" fillId="0" borderId="0" applyFont="0" applyFill="0" applyBorder="0" applyAlignment="0" applyProtection="0">
      <alignment horizontal="right"/>
    </xf>
    <xf numFmtId="0" fontId="185" fillId="45" borderId="0"/>
    <xf numFmtId="0" fontId="186" fillId="46" borderId="0" applyNumberFormat="0" applyBorder="0" applyProtection="0">
      <alignment horizontal="left" vertical="center"/>
    </xf>
    <xf numFmtId="0" fontId="187" fillId="1" borderId="0" applyNumberFormat="0" applyBorder="0" applyProtection="0">
      <alignment horizontal="left" vertical="center"/>
    </xf>
    <xf numFmtId="37" fontId="115" fillId="47" borderId="12" applyBorder="0">
      <alignment horizontal="left" vertical="center" indent="1"/>
    </xf>
    <xf numFmtId="37" fontId="116" fillId="7" borderId="10" applyFill="0">
      <alignment vertical="center"/>
    </xf>
    <xf numFmtId="0" fontId="188" fillId="0" borderId="0"/>
    <xf numFmtId="0" fontId="116" fillId="48" borderId="2" applyNumberFormat="0">
      <alignment horizontal="left" vertical="top" indent="1"/>
    </xf>
    <xf numFmtId="0" fontId="116" fillId="8" borderId="0" applyBorder="0">
      <alignment horizontal="left" vertical="center" indent="1"/>
    </xf>
    <xf numFmtId="0" fontId="116" fillId="0" borderId="2" applyNumberFormat="0" applyFill="0">
      <alignment horizontal="centerContinuous" vertical="top"/>
    </xf>
    <xf numFmtId="0" fontId="117" fillId="8" borderId="64" applyNumberFormat="0" applyBorder="0">
      <alignment horizontal="left" vertical="center" indent="1"/>
    </xf>
    <xf numFmtId="8" fontId="141" fillId="0" borderId="0" applyProtection="0">
      <alignment horizontal="center"/>
    </xf>
    <xf numFmtId="0" fontId="70" fillId="0" borderId="34" applyNumberFormat="0" applyFill="0" applyAlignment="0" applyProtection="0"/>
    <xf numFmtId="0" fontId="118" fillId="0" borderId="0">
      <alignment horizontal="center"/>
    </xf>
    <xf numFmtId="0" fontId="118" fillId="0" borderId="0">
      <alignment horizontal="center"/>
    </xf>
    <xf numFmtId="0" fontId="70" fillId="0" borderId="34" applyNumberFormat="0" applyFill="0" applyAlignment="0" applyProtection="0"/>
    <xf numFmtId="0" fontId="70" fillId="0" borderId="34" applyNumberFormat="0" applyFill="0" applyAlignment="0" applyProtection="0"/>
    <xf numFmtId="0" fontId="71" fillId="0" borderId="35" applyNumberFormat="0" applyFill="0" applyAlignment="0" applyProtection="0"/>
    <xf numFmtId="0" fontId="119" fillId="0" borderId="0">
      <alignment horizontal="center"/>
    </xf>
    <xf numFmtId="0" fontId="119" fillId="0" borderId="0">
      <alignment horizontal="center"/>
    </xf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2" fillId="0" borderId="36" applyNumberFormat="0" applyFill="0" applyAlignment="0" applyProtection="0"/>
    <xf numFmtId="0" fontId="72" fillId="0" borderId="36" applyNumberFormat="0" applyFill="0" applyAlignment="0" applyProtection="0"/>
    <xf numFmtId="0" fontId="72" fillId="0" borderId="36" applyNumberFormat="0" applyFill="0" applyAlignment="0" applyProtection="0"/>
    <xf numFmtId="0" fontId="189" fillId="0" borderId="65" applyNumberFormat="0" applyFill="0" applyAlignment="0" applyProtection="0"/>
    <xf numFmtId="0" fontId="189" fillId="0" borderId="65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88" fillId="0" borderId="0">
      <alignment horizontal="right"/>
    </xf>
    <xf numFmtId="0" fontId="188" fillId="0" borderId="0">
      <alignment horizontal="left"/>
    </xf>
    <xf numFmtId="0" fontId="190" fillId="0" borderId="66" applyNumberFormat="0" applyFill="0" applyBorder="0" applyAlignment="0" applyProtection="0">
      <alignment horizontal="left"/>
    </xf>
    <xf numFmtId="0" fontId="191" fillId="0" borderId="0">
      <alignment horizontal="center"/>
    </xf>
    <xf numFmtId="37" fontId="120" fillId="0" borderId="15" applyNumberFormat="0" applyFont="0" applyFill="0" applyBorder="0">
      <alignment horizontal="centerContinuous"/>
    </xf>
    <xf numFmtId="37" fontId="120" fillId="0" borderId="15" applyNumberFormat="0" applyFont="0" applyFill="0" applyBorder="0">
      <alignment horizontal="centerContinuous"/>
    </xf>
    <xf numFmtId="37" fontId="120" fillId="0" borderId="15" applyNumberFormat="0" applyFont="0" applyFill="0" applyBorder="0">
      <alignment horizontal="centerContinuous"/>
    </xf>
    <xf numFmtId="37" fontId="120" fillId="0" borderId="15" applyNumberFormat="0" applyFont="0" applyFill="0" applyBorder="0">
      <alignment horizontal="centerContinuous"/>
    </xf>
    <xf numFmtId="37" fontId="120" fillId="0" borderId="15" applyNumberFormat="0" applyFont="0" applyFill="0" applyBorder="0">
      <alignment horizontal="centerContinuous"/>
    </xf>
    <xf numFmtId="0" fontId="2" fillId="13" borderId="6" applyNumberFormat="0" applyFont="0" applyBorder="0" applyAlignment="0" applyProtection="0"/>
    <xf numFmtId="3" fontId="155" fillId="0" borderId="0" applyNumberFormat="0" applyFill="0" applyBorder="0" applyAlignment="0" applyProtection="0"/>
    <xf numFmtId="247" fontId="121" fillId="0" borderId="0" applyFill="0" applyBorder="0" applyAlignment="0" applyProtection="0">
      <alignment horizontal="right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73" fillId="19" borderId="32" applyNumberFormat="0" applyAlignment="0" applyProtection="0"/>
    <xf numFmtId="10" fontId="31" fillId="38" borderId="14" applyNumberFormat="0" applyBorder="0" applyAlignment="0" applyProtection="0"/>
    <xf numFmtId="0" fontId="73" fillId="19" borderId="32" applyNumberFormat="0" applyAlignment="0" applyProtection="0"/>
    <xf numFmtId="0" fontId="73" fillId="19" borderId="32" applyNumberFormat="0" applyAlignment="0" applyProtection="0"/>
    <xf numFmtId="0" fontId="73" fillId="34" borderId="32" applyNumberFormat="0" applyAlignment="0" applyProtection="0"/>
    <xf numFmtId="0" fontId="73" fillId="34" borderId="32" applyNumberFormat="0" applyAlignment="0" applyProtection="0"/>
    <xf numFmtId="5" fontId="22" fillId="10" borderId="31" applyNumberFormat="0">
      <alignment horizontal="left" vertical="center"/>
      <protection locked="0"/>
    </xf>
    <xf numFmtId="0" fontId="149" fillId="0" borderId="0" applyNumberFormat="0" applyFill="0" applyBorder="0" applyAlignment="0">
      <protection locked="0"/>
    </xf>
    <xf numFmtId="38" fontId="149" fillId="0" borderId="0" applyNumberFormat="0" applyFill="0" applyBorder="0" applyAlignment="0">
      <protection locked="0"/>
    </xf>
    <xf numFmtId="41" fontId="89" fillId="0" borderId="67" applyNumberFormat="0" applyBorder="0" applyAlignment="0"/>
    <xf numFmtId="248" fontId="122" fillId="0" borderId="0">
      <alignment horizontal="right"/>
    </xf>
    <xf numFmtId="40" fontId="89" fillId="0" borderId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6" fontId="131" fillId="0" borderId="0">
      <alignment horizontal="left"/>
    </xf>
    <xf numFmtId="0" fontId="96" fillId="0" borderId="0">
      <alignment horizontal="center"/>
    </xf>
    <xf numFmtId="0" fontId="96" fillId="0" borderId="0">
      <alignment horizontal="center"/>
    </xf>
    <xf numFmtId="0" fontId="96" fillId="0" borderId="0">
      <alignment horizontal="center"/>
    </xf>
    <xf numFmtId="0" fontId="96" fillId="0" borderId="0">
      <alignment horizontal="center"/>
    </xf>
    <xf numFmtId="249" fontId="96" fillId="0" borderId="0">
      <alignment horizontal="center"/>
    </xf>
    <xf numFmtId="0" fontId="96" fillId="0" borderId="0">
      <alignment horizontal="center"/>
    </xf>
    <xf numFmtId="0" fontId="2" fillId="0" borderId="51"/>
    <xf numFmtId="0" fontId="31" fillId="7" borderId="0"/>
    <xf numFmtId="37" fontId="123" fillId="0" borderId="53" applyNumberFormat="0" applyFont="0" applyFill="0" applyAlignment="0" applyProtection="0">
      <alignment horizontal="center" vertical="center"/>
    </xf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7" fontId="123" fillId="0" borderId="53" applyNumberFormat="0" applyFont="0" applyFill="0" applyAlignment="0" applyProtection="0">
      <alignment horizontal="center" vertical="center"/>
    </xf>
    <xf numFmtId="37" fontId="192" fillId="0" borderId="0" applyNumberFormat="0" applyFill="0" applyBorder="0" applyAlignment="0" applyProtection="0">
      <alignment horizontal="right"/>
    </xf>
    <xf numFmtId="0" fontId="74" fillId="0" borderId="37" applyNumberFormat="0" applyFill="0" applyAlignment="0" applyProtection="0"/>
    <xf numFmtId="0" fontId="74" fillId="0" borderId="37" applyNumberFormat="0" applyFill="0" applyAlignment="0" applyProtection="0"/>
    <xf numFmtId="0" fontId="74" fillId="0" borderId="37" applyNumberFormat="0" applyFill="0" applyAlignment="0" applyProtection="0"/>
    <xf numFmtId="0" fontId="79" fillId="0" borderId="68" applyNumberFormat="0" applyFill="0" applyAlignment="0" applyProtection="0"/>
    <xf numFmtId="0" fontId="79" fillId="0" borderId="68" applyNumberFormat="0" applyFill="0" applyAlignment="0" applyProtection="0"/>
    <xf numFmtId="38" fontId="89" fillId="0" borderId="0"/>
    <xf numFmtId="38" fontId="88" fillId="1" borderId="25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9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3" fillId="49" borderId="0" applyNumberFormat="0" applyBorder="0"/>
    <xf numFmtId="250" fontId="95" fillId="0" borderId="0"/>
    <xf numFmtId="0" fontId="96" fillId="0" borderId="0">
      <alignment horizontal="center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51" fontId="124" fillId="0" borderId="0"/>
    <xf numFmtId="252" fontId="125" fillId="0" borderId="18">
      <alignment horizontal="center"/>
    </xf>
    <xf numFmtId="0" fontId="194" fillId="0" borderId="0"/>
    <xf numFmtId="253" fontId="81" fillId="0" borderId="0"/>
    <xf numFmtId="276" fontId="131" fillId="0" borderId="0" applyFont="0" applyFill="0" applyBorder="0" applyAlignment="0" applyProtection="0"/>
    <xf numFmtId="277" fontId="131" fillId="0" borderId="0" applyFont="0" applyFill="0" applyBorder="0" applyAlignment="0" applyProtection="0"/>
    <xf numFmtId="0" fontId="160" fillId="0" borderId="0" applyFont="0" applyFill="0" applyBorder="0" applyAlignment="0" applyProtection="0">
      <alignment horizontal="right"/>
    </xf>
    <xf numFmtId="38" fontId="61" fillId="0" borderId="0"/>
    <xf numFmtId="41" fontId="195" fillId="37" borderId="69" applyNumberFormat="0" applyBorder="0" applyAlignment="0">
      <protection locked="0"/>
    </xf>
    <xf numFmtId="0" fontId="75" fillId="34" borderId="0" applyNumberFormat="0" applyBorder="0" applyAlignment="0" applyProtection="0"/>
    <xf numFmtId="0" fontId="75" fillId="34" borderId="0" applyNumberFormat="0" applyBorder="0" applyAlignment="0" applyProtection="0"/>
    <xf numFmtId="0" fontId="75" fillId="34" borderId="0" applyNumberFormat="0" applyBorder="0" applyAlignment="0" applyProtection="0"/>
    <xf numFmtId="0" fontId="196" fillId="34" borderId="0" applyNumberFormat="0" applyBorder="0" applyAlignment="0" applyProtection="0"/>
    <xf numFmtId="0" fontId="196" fillId="34" borderId="0" applyNumberFormat="0" applyBorder="0" applyAlignment="0" applyProtection="0"/>
    <xf numFmtId="0" fontId="96" fillId="0" borderId="0"/>
    <xf numFmtId="254" fontId="96" fillId="0" borderId="0"/>
    <xf numFmtId="37" fontId="90" fillId="0" borderId="0" applyFill="0" applyBorder="0" applyAlignment="0"/>
    <xf numFmtId="37" fontId="90" fillId="0" borderId="0" applyFill="0" applyBorder="0" applyAlignment="0"/>
    <xf numFmtId="37" fontId="90" fillId="0" borderId="0" applyFill="0" applyBorder="0" applyAlignment="0"/>
    <xf numFmtId="37" fontId="90" fillId="0" borderId="0" applyFill="0" applyBorder="0" applyAlignment="0"/>
    <xf numFmtId="37" fontId="90" fillId="0" borderId="0" applyFill="0" applyBorder="0" applyAlignment="0"/>
    <xf numFmtId="37" fontId="91" fillId="0" borderId="0" applyFill="0" applyBorder="0" applyAlignment="0"/>
    <xf numFmtId="37" fontId="91" fillId="0" borderId="0" applyFill="0" applyBorder="0" applyAlignment="0"/>
    <xf numFmtId="37" fontId="91" fillId="0" borderId="0" applyFill="0" applyBorder="0" applyAlignment="0"/>
    <xf numFmtId="37" fontId="91" fillId="0" borderId="0" applyFill="0" applyBorder="0" applyAlignment="0"/>
    <xf numFmtId="37" fontId="91" fillId="0" borderId="0" applyFill="0" applyBorder="0" applyAlignment="0"/>
    <xf numFmtId="37" fontId="197" fillId="0" borderId="0"/>
    <xf numFmtId="38" fontId="140" fillId="0" borderId="14"/>
    <xf numFmtId="0" fontId="126" fillId="7" borderId="0">
      <alignment horizontal="left" indent="1"/>
    </xf>
    <xf numFmtId="0" fontId="2" fillId="0" borderId="0"/>
    <xf numFmtId="196" fontId="127" fillId="0" borderId="0"/>
    <xf numFmtId="170" fontId="105" fillId="0" borderId="18" applyBorder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59" fillId="0" borderId="0"/>
    <xf numFmtId="0" fontId="2" fillId="0" borderId="0" applyBorder="0"/>
    <xf numFmtId="0" fontId="2" fillId="0" borderId="0" applyBorder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5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2" fillId="0" borderId="0" applyBorder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 applyBorder="0"/>
    <xf numFmtId="0" fontId="2" fillId="0" borderId="0" applyBorder="0"/>
    <xf numFmtId="41" fontId="8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2" fillId="0" borderId="0" applyBorder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 applyBorder="0"/>
    <xf numFmtId="0" fontId="2" fillId="0" borderId="0" applyBorder="0"/>
    <xf numFmtId="0" fontId="59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8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163" fillId="13" borderId="70"/>
    <xf numFmtId="17" fontId="163" fillId="0" borderId="52">
      <alignment horizontal="center"/>
    </xf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154" fillId="0" borderId="52"/>
    <xf numFmtId="0" fontId="2" fillId="8" borderId="0" applyBorder="0">
      <alignment vertical="center"/>
    </xf>
    <xf numFmtId="0" fontId="47" fillId="0" borderId="0"/>
    <xf numFmtId="0" fontId="2" fillId="0" borderId="0"/>
    <xf numFmtId="3" fontId="152" fillId="0" borderId="71">
      <protection locked="0"/>
    </xf>
    <xf numFmtId="9" fontId="152" fillId="0" borderId="71"/>
    <xf numFmtId="0" fontId="30" fillId="35" borderId="38" applyNumberFormat="0" applyFont="0" applyAlignment="0" applyProtection="0"/>
    <xf numFmtId="0" fontId="2" fillId="35" borderId="38" applyNumberFormat="0" applyFont="0" applyAlignment="0" applyProtection="0"/>
    <xf numFmtId="0" fontId="2" fillId="35" borderId="38" applyNumberFormat="0" applyFont="0" applyAlignment="0" applyProtection="0"/>
    <xf numFmtId="0" fontId="2" fillId="35" borderId="38" applyNumberFormat="0" applyFont="0" applyAlignment="0" applyProtection="0"/>
    <xf numFmtId="0" fontId="2" fillId="35" borderId="38" applyNumberFormat="0" applyFont="0" applyAlignment="0" applyProtection="0"/>
    <xf numFmtId="0" fontId="2" fillId="35" borderId="38" applyNumberFormat="0" applyFont="0" applyAlignment="0" applyProtection="0"/>
    <xf numFmtId="0" fontId="2" fillId="35" borderId="38" applyNumberFormat="0" applyFont="0" applyAlignment="0" applyProtection="0"/>
    <xf numFmtId="230" fontId="2" fillId="0" borderId="43"/>
    <xf numFmtId="3" fontId="89" fillId="0" borderId="14"/>
    <xf numFmtId="230" fontId="2" fillId="10" borderId="14"/>
    <xf numFmtId="195" fontId="199" fillId="0" borderId="0"/>
    <xf numFmtId="3" fontId="140" fillId="0" borderId="67"/>
    <xf numFmtId="0" fontId="140" fillId="0" borderId="14"/>
    <xf numFmtId="1" fontId="200" fillId="0" borderId="0">
      <alignment horizontal="right"/>
      <protection locked="0"/>
    </xf>
    <xf numFmtId="170" fontId="173" fillId="0" borderId="0">
      <alignment horizontal="right"/>
      <protection locked="0"/>
    </xf>
    <xf numFmtId="0" fontId="200" fillId="0" borderId="0">
      <protection locked="0"/>
    </xf>
    <xf numFmtId="2" fontId="173" fillId="0" borderId="0">
      <alignment horizontal="right"/>
      <protection locked="0"/>
    </xf>
    <xf numFmtId="2" fontId="200" fillId="0" borderId="0">
      <alignment horizontal="right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201" fillId="8" borderId="72">
      <alignment horizontal="right" vertical="center"/>
      <protection hidden="1"/>
    </xf>
    <xf numFmtId="0" fontId="202" fillId="38" borderId="72">
      <alignment horizontal="left" vertical="center"/>
      <protection hidden="1"/>
    </xf>
    <xf numFmtId="0" fontId="202" fillId="38" borderId="72">
      <alignment horizontal="center" vertical="center" wrapText="1"/>
      <protection hidden="1"/>
    </xf>
    <xf numFmtId="0" fontId="2" fillId="0" borderId="62" applyNumberFormat="0" applyFont="0" applyFill="0" applyAlignment="0" applyProtection="0"/>
    <xf numFmtId="40" fontId="203" fillId="0" borderId="0" applyFont="0" applyFill="0" applyBorder="0" applyAlignment="0" applyProtection="0"/>
    <xf numFmtId="38" fontId="203" fillId="0" borderId="0" applyFont="0" applyFill="0" applyBorder="0" applyAlignment="0" applyProtection="0"/>
    <xf numFmtId="0" fontId="95" fillId="0" borderId="0">
      <alignment horizontal="center"/>
    </xf>
    <xf numFmtId="0" fontId="96" fillId="0" borderId="0">
      <alignment horizontal="center"/>
    </xf>
    <xf numFmtId="0" fontId="128" fillId="50" borderId="14" applyNumberFormat="0" applyAlignment="0">
      <protection locked="0"/>
    </xf>
    <xf numFmtId="0" fontId="153" fillId="0" borderId="73">
      <alignment horizontal="left" wrapText="1"/>
    </xf>
    <xf numFmtId="0" fontId="76" fillId="32" borderId="39" applyNumberFormat="0" applyAlignment="0" applyProtection="0"/>
    <xf numFmtId="0" fontId="76" fillId="32" borderId="39" applyNumberFormat="0" applyAlignment="0" applyProtection="0"/>
    <xf numFmtId="0" fontId="76" fillId="32" borderId="39" applyNumberFormat="0" applyAlignment="0" applyProtection="0"/>
    <xf numFmtId="0" fontId="76" fillId="42" borderId="39" applyNumberFormat="0" applyAlignment="0" applyProtection="0"/>
    <xf numFmtId="0" fontId="76" fillId="42" borderId="39" applyNumberFormat="0" applyAlignment="0" applyProtection="0"/>
    <xf numFmtId="4" fontId="38" fillId="8" borderId="0">
      <alignment horizontal="right"/>
    </xf>
    <xf numFmtId="0" fontId="204" fillId="8" borderId="0">
      <alignment horizontal="center" vertical="center"/>
    </xf>
    <xf numFmtId="0" fontId="80" fillId="8" borderId="1"/>
    <xf numFmtId="0" fontId="204" fillId="8" borderId="0" applyBorder="0">
      <alignment horizontal="centerContinuous"/>
    </xf>
    <xf numFmtId="0" fontId="205" fillId="8" borderId="0" applyBorder="0">
      <alignment horizontal="centerContinuous"/>
    </xf>
    <xf numFmtId="37" fontId="129" fillId="0" borderId="0" applyFill="0" applyBorder="0" applyAlignment="0" applyProtection="0"/>
    <xf numFmtId="0" fontId="206" fillId="0" borderId="0" applyProtection="0">
      <alignment horizontal="left"/>
    </xf>
    <xf numFmtId="0" fontId="206" fillId="0" borderId="0" applyFill="0" applyBorder="0" applyProtection="0">
      <alignment horizontal="left"/>
    </xf>
    <xf numFmtId="0" fontId="207" fillId="0" borderId="0" applyFill="0" applyBorder="0" applyProtection="0">
      <alignment horizontal="left"/>
    </xf>
    <xf numFmtId="1" fontId="208" fillId="0" borderId="0" applyProtection="0">
      <alignment horizontal="right" vertical="center"/>
    </xf>
    <xf numFmtId="0" fontId="209" fillId="51" borderId="74"/>
    <xf numFmtId="5" fontId="2" fillId="0" borderId="0"/>
    <xf numFmtId="5" fontId="2" fillId="0" borderId="0"/>
    <xf numFmtId="0" fontId="130" fillId="52" borderId="14" applyNumberFormat="0" applyProtection="0">
      <alignment horizontal="center" vertical="top" wrapText="1"/>
      <protection hidden="1"/>
    </xf>
    <xf numFmtId="37" fontId="131" fillId="53" borderId="0" applyNumberFormat="0" applyFont="0" applyBorder="0" applyAlignment="0" applyProtection="0"/>
    <xf numFmtId="170" fontId="2" fillId="0" borderId="0" applyFill="0"/>
    <xf numFmtId="0" fontId="88" fillId="0" borderId="75" applyNumberFormat="0" applyAlignment="0" applyProtection="0"/>
    <xf numFmtId="0" fontId="89" fillId="10" borderId="0" applyNumberFormat="0" applyFont="0" applyBorder="0" applyAlignment="0" applyProtection="0"/>
    <xf numFmtId="0" fontId="31" fillId="6" borderId="18" applyNumberFormat="0" applyFont="0" applyBorder="0" applyAlignment="0" applyProtection="0">
      <alignment horizontal="center"/>
    </xf>
    <xf numFmtId="0" fontId="31" fillId="13" borderId="18" applyNumberFormat="0" applyFont="0" applyBorder="0" applyAlignment="0" applyProtection="0">
      <alignment horizontal="center"/>
    </xf>
    <xf numFmtId="0" fontId="89" fillId="0" borderId="76" applyNumberFormat="0" applyAlignment="0" applyProtection="0"/>
    <xf numFmtId="0" fontId="89" fillId="0" borderId="77" applyNumberFormat="0" applyAlignment="0" applyProtection="0"/>
    <xf numFmtId="0" fontId="88" fillId="0" borderId="78" applyNumberFormat="0" applyAlignment="0" applyProtection="0"/>
    <xf numFmtId="255" fontId="93" fillId="0" borderId="0">
      <alignment horizontal="center"/>
    </xf>
    <xf numFmtId="14" fontId="131" fillId="0" borderId="0">
      <alignment horizontal="center" wrapText="1"/>
      <protection locked="0"/>
    </xf>
    <xf numFmtId="0" fontId="131" fillId="0" borderId="0">
      <alignment horizontal="right"/>
    </xf>
    <xf numFmtId="0" fontId="106" fillId="0" borderId="0"/>
    <xf numFmtId="0" fontId="161" fillId="0" borderId="0"/>
    <xf numFmtId="256" fontId="131" fillId="0" borderId="0" applyFont="0" applyFill="0" applyBorder="0" applyAlignment="0" applyProtection="0"/>
    <xf numFmtId="9" fontId="89" fillId="0" borderId="0" applyFont="0" applyFill="0" applyBorder="0" applyAlignment="0" applyProtection="0"/>
    <xf numFmtId="10" fontId="8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57" fontId="2" fillId="0" borderId="0" applyFont="0" applyFill="0" applyBorder="0" applyAlignment="0" applyProtection="0"/>
    <xf numFmtId="25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67" fontId="131" fillId="0" borderId="0">
      <alignment horizontal="right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10" fontId="131" fillId="0" borderId="0">
      <alignment horizontal="right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50" fontId="2" fillId="0" borderId="0" applyFont="0" applyFill="0" applyBorder="0" applyProtection="0">
      <alignment horizontal="right"/>
    </xf>
    <xf numFmtId="9" fontId="131" fillId="0" borderId="0">
      <alignment horizontal="right"/>
    </xf>
    <xf numFmtId="9" fontId="163" fillId="0" borderId="44">
      <alignment horizontal="center"/>
    </xf>
    <xf numFmtId="167" fontId="131" fillId="0" borderId="0"/>
    <xf numFmtId="167" fontId="200" fillId="0" borderId="0"/>
    <xf numFmtId="10" fontId="131" fillId="0" borderId="0"/>
    <xf numFmtId="10" fontId="200" fillId="0" borderId="0">
      <protection locked="0"/>
    </xf>
    <xf numFmtId="9" fontId="163" fillId="0" borderId="44">
      <alignment horizontal="right"/>
    </xf>
    <xf numFmtId="258" fontId="2" fillId="0" borderId="0"/>
    <xf numFmtId="258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251" fontId="2" fillId="0" borderId="0" applyProtection="0">
      <alignment horizontal="right"/>
    </xf>
    <xf numFmtId="251" fontId="2" fillId="0" borderId="0">
      <alignment horizontal="right"/>
      <protection locked="0"/>
    </xf>
    <xf numFmtId="5" fontId="211" fillId="0" borderId="0"/>
    <xf numFmtId="9" fontId="47" fillId="0" borderId="0" applyFont="0" applyFill="0" applyProtection="0"/>
    <xf numFmtId="0" fontId="132" fillId="41" borderId="0">
      <alignment horizontal="left" indent="1"/>
    </xf>
    <xf numFmtId="0" fontId="56" fillId="0" borderId="0" applyNumberFormat="0" applyFont="0" applyFill="0" applyBorder="0" applyAlignment="0" applyProtection="0">
      <alignment horizontal="left"/>
    </xf>
    <xf numFmtId="15" fontId="56" fillId="0" borderId="0" applyFont="0" applyFill="0" applyBorder="0" applyAlignment="0" applyProtection="0"/>
    <xf numFmtId="4" fontId="56" fillId="0" borderId="0" applyFont="0" applyFill="0" applyBorder="0" applyAlignment="0" applyProtection="0"/>
    <xf numFmtId="0" fontId="51" fillId="0" borderId="2">
      <alignment horizontal="center"/>
    </xf>
    <xf numFmtId="3" fontId="56" fillId="0" borderId="0" applyFont="0" applyFill="0" applyBorder="0" applyAlignment="0" applyProtection="0"/>
    <xf numFmtId="0" fontId="56" fillId="54" borderId="0" applyNumberFormat="0" applyFont="0" applyBorder="0" applyAlignment="0" applyProtection="0"/>
    <xf numFmtId="259" fontId="30" fillId="0" borderId="5">
      <alignment horizontal="center"/>
    </xf>
    <xf numFmtId="260" fontId="122" fillId="0" borderId="0">
      <alignment horizontal="center"/>
    </xf>
    <xf numFmtId="261" fontId="133" fillId="55" borderId="79">
      <alignment vertical="center"/>
    </xf>
    <xf numFmtId="0" fontId="198" fillId="0" borderId="0" applyNumberFormat="0" applyBorder="0"/>
    <xf numFmtId="0" fontId="212" fillId="56" borderId="0" applyNumberFormat="0" applyBorder="0"/>
    <xf numFmtId="0" fontId="213" fillId="57" borderId="0" applyNumberFormat="0" applyFont="0" applyBorder="0" applyAlignment="0">
      <alignment horizontal="center"/>
    </xf>
    <xf numFmtId="262" fontId="122" fillId="0" borderId="11">
      <alignment horizontal="left"/>
    </xf>
    <xf numFmtId="263" fontId="95" fillId="0" borderId="0">
      <alignment horizontal="center"/>
    </xf>
    <xf numFmtId="0" fontId="96" fillId="0" borderId="0">
      <alignment horizontal="center"/>
    </xf>
    <xf numFmtId="272" fontId="105" fillId="0" borderId="0" applyNumberFormat="0" applyFill="0" applyBorder="0" applyAlignment="0" applyProtection="0">
      <alignment horizontal="left"/>
    </xf>
    <xf numFmtId="0" fontId="214" fillId="0" borderId="0" applyNumberFormat="0" applyFill="0" applyBorder="0" applyProtection="0">
      <alignment horizontal="right" vertical="center"/>
    </xf>
    <xf numFmtId="0" fontId="57" fillId="0" borderId="0"/>
    <xf numFmtId="0" fontId="2" fillId="0" borderId="0"/>
    <xf numFmtId="0" fontId="2" fillId="0" borderId="0"/>
    <xf numFmtId="0" fontId="57" fillId="0" borderId="0"/>
    <xf numFmtId="3" fontId="50" fillId="0" borderId="25"/>
    <xf numFmtId="0" fontId="198" fillId="58" borderId="0" applyNumberFormat="0" applyBorder="0"/>
    <xf numFmtId="0" fontId="212" fillId="37" borderId="0" applyNumberFormat="0" applyBorder="0"/>
    <xf numFmtId="0" fontId="212" fillId="59" borderId="0" applyNumberFormat="0" applyBorder="0"/>
    <xf numFmtId="0" fontId="211" fillId="0" borderId="80"/>
    <xf numFmtId="0" fontId="96" fillId="0" borderId="0">
      <alignment horizontal="center"/>
    </xf>
    <xf numFmtId="264" fontId="96" fillId="0" borderId="0">
      <alignment horizontal="center"/>
    </xf>
    <xf numFmtId="0" fontId="96" fillId="0" borderId="0">
      <alignment horizontal="center"/>
    </xf>
    <xf numFmtId="265" fontId="96" fillId="0" borderId="0">
      <alignment horizontal="center"/>
    </xf>
    <xf numFmtId="0" fontId="96" fillId="0" borderId="0">
      <alignment horizontal="center"/>
    </xf>
    <xf numFmtId="0" fontId="96" fillId="0" borderId="0">
      <alignment horizontal="center"/>
    </xf>
    <xf numFmtId="170" fontId="2" fillId="0" borderId="0" applyProtection="0">
      <alignment horizontal="center"/>
    </xf>
    <xf numFmtId="0" fontId="61" fillId="0" borderId="0">
      <alignment horizontal="left"/>
    </xf>
    <xf numFmtId="231" fontId="2" fillId="0" borderId="0" applyFont="0" applyFill="0" applyBorder="0" applyAlignment="0" applyProtection="0"/>
    <xf numFmtId="0" fontId="89" fillId="60" borderId="0" applyNumberFormat="0" applyFont="0" applyBorder="0" applyAlignment="0" applyProtection="0"/>
    <xf numFmtId="0" fontId="213" fillId="1" borderId="15" applyNumberFormat="0" applyFont="0" applyAlignment="0">
      <alignment horizontal="center"/>
    </xf>
    <xf numFmtId="0" fontId="2" fillId="61" borderId="0"/>
    <xf numFmtId="0" fontId="38" fillId="47" borderId="0">
      <protection hidden="1"/>
    </xf>
    <xf numFmtId="0" fontId="215" fillId="36" borderId="0">
      <alignment vertical="center"/>
      <protection hidden="1"/>
    </xf>
    <xf numFmtId="1" fontId="2" fillId="0" borderId="0"/>
    <xf numFmtId="1" fontId="2" fillId="0" borderId="0"/>
    <xf numFmtId="1" fontId="2" fillId="0" borderId="0"/>
    <xf numFmtId="1" fontId="2" fillId="0" borderId="0"/>
    <xf numFmtId="1" fontId="2" fillId="0" borderId="0"/>
    <xf numFmtId="1" fontId="2" fillId="0" borderId="0"/>
    <xf numFmtId="1" fontId="2" fillId="0" borderId="0"/>
    <xf numFmtId="1" fontId="2" fillId="0" borderId="0"/>
    <xf numFmtId="42" fontId="156" fillId="0" borderId="0" applyFill="0" applyBorder="0" applyAlignment="0" applyProtection="0"/>
    <xf numFmtId="0" fontId="216" fillId="0" borderId="0" applyNumberFormat="0" applyFill="0" applyBorder="0" applyAlignment="0">
      <alignment horizontal="center"/>
    </xf>
    <xf numFmtId="0" fontId="47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17" fillId="0" borderId="81"/>
    <xf numFmtId="0" fontId="89" fillId="0" borderId="0"/>
    <xf numFmtId="0" fontId="89" fillId="0" borderId="0"/>
    <xf numFmtId="0" fontId="89" fillId="0" borderId="0"/>
    <xf numFmtId="0" fontId="89" fillId="0" borderId="0"/>
    <xf numFmtId="0" fontId="207" fillId="0" borderId="0"/>
    <xf numFmtId="38" fontId="89" fillId="0" borderId="8"/>
    <xf numFmtId="0" fontId="134" fillId="0" borderId="0" applyNumberFormat="0" applyFill="0" applyBorder="0" applyAlignment="0" applyProtection="0"/>
    <xf numFmtId="0" fontId="95" fillId="0" borderId="0">
      <alignment horizontal="center"/>
    </xf>
    <xf numFmtId="0" fontId="96" fillId="0" borderId="0">
      <alignment horizontal="center"/>
    </xf>
    <xf numFmtId="0" fontId="96" fillId="0" borderId="0">
      <alignment horizontal="center"/>
    </xf>
    <xf numFmtId="0" fontId="96" fillId="0" borderId="0">
      <alignment horizontal="center"/>
    </xf>
    <xf numFmtId="0" fontId="96" fillId="0" borderId="0">
      <alignment horizontal="center"/>
    </xf>
    <xf numFmtId="266" fontId="96" fillId="0" borderId="0">
      <alignment horizontal="center"/>
    </xf>
    <xf numFmtId="0" fontId="89" fillId="0" borderId="0" applyNumberFormat="0" applyFill="0" applyBorder="0" applyAlignment="0">
      <alignment vertical="center"/>
    </xf>
    <xf numFmtId="0" fontId="218" fillId="0" borderId="0" applyFill="0" applyBorder="0" applyProtection="0">
      <alignment horizontal="center" vertical="center"/>
    </xf>
    <xf numFmtId="0" fontId="219" fillId="0" borderId="0" applyBorder="0" applyProtection="0">
      <alignment vertical="center"/>
    </xf>
    <xf numFmtId="0" fontId="219" fillId="0" borderId="25" applyBorder="0" applyProtection="0">
      <alignment horizontal="right" vertical="center"/>
    </xf>
    <xf numFmtId="0" fontId="220" fillId="62" borderId="0" applyBorder="0" applyProtection="0">
      <alignment horizontal="centerContinuous" vertical="center"/>
    </xf>
    <xf numFmtId="0" fontId="220" fillId="47" borderId="25" applyBorder="0" applyProtection="0">
      <alignment horizontal="centerContinuous" vertical="center"/>
    </xf>
    <xf numFmtId="0" fontId="221" fillId="0" borderId="29"/>
    <xf numFmtId="0" fontId="218" fillId="0" borderId="0" applyFill="0" applyBorder="0" applyProtection="0"/>
    <xf numFmtId="0" fontId="222" fillId="0" borderId="0" applyFill="0" applyBorder="0" applyProtection="0">
      <alignment horizontal="left"/>
    </xf>
    <xf numFmtId="0" fontId="184" fillId="0" borderId="12" applyFill="0" applyBorder="0" applyProtection="0">
      <alignment horizontal="left" vertical="top"/>
    </xf>
    <xf numFmtId="0" fontId="135" fillId="41" borderId="0" applyBorder="0">
      <alignment horizontal="left" vertical="center" indent="1"/>
    </xf>
    <xf numFmtId="0" fontId="200" fillId="0" borderId="0">
      <alignment horizontal="left"/>
      <protection locked="0"/>
    </xf>
    <xf numFmtId="49" fontId="38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267" fontId="131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40" fontId="136" fillId="0" borderId="0"/>
    <xf numFmtId="0" fontId="34" fillId="0" borderId="0" applyNumberFormat="0" applyFont="0" applyBorder="0" applyAlignment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23" fillId="0" borderId="0" applyNumberFormat="0" applyFill="0" applyBorder="0" applyAlignment="0" applyProtection="0"/>
    <xf numFmtId="0" fontId="223" fillId="0" borderId="0" applyNumberFormat="0" applyFill="0" applyBorder="0" applyAlignment="0" applyProtection="0"/>
    <xf numFmtId="0" fontId="224" fillId="0" borderId="82"/>
    <xf numFmtId="196" fontId="88" fillId="0" borderId="0">
      <alignment horizontal="centerContinuous"/>
    </xf>
    <xf numFmtId="196" fontId="225" fillId="0" borderId="29">
      <alignment horizontal="centerContinuous"/>
    </xf>
    <xf numFmtId="196" fontId="226" fillId="0" borderId="0">
      <alignment horizontal="centerContinuous"/>
      <protection locked="0"/>
    </xf>
    <xf numFmtId="196" fontId="226" fillId="0" borderId="0">
      <alignment horizontal="left"/>
    </xf>
    <xf numFmtId="0" fontId="145" fillId="0" borderId="0">
      <alignment horizontal="center"/>
    </xf>
    <xf numFmtId="0" fontId="145" fillId="0" borderId="0">
      <alignment horizontal="left"/>
    </xf>
    <xf numFmtId="39" fontId="227" fillId="0" borderId="0">
      <alignment vertical="center"/>
    </xf>
    <xf numFmtId="39" fontId="227" fillId="0" borderId="0">
      <alignment vertical="center"/>
    </xf>
    <xf numFmtId="39" fontId="228" fillId="0" borderId="0">
      <alignment vertical="center"/>
    </xf>
    <xf numFmtId="0" fontId="57" fillId="0" borderId="30"/>
    <xf numFmtId="0" fontId="229" fillId="0" borderId="0"/>
    <xf numFmtId="44" fontId="163" fillId="0" borderId="44"/>
    <xf numFmtId="0" fontId="78" fillId="0" borderId="40" applyNumberFormat="0" applyFill="0" applyAlignment="0" applyProtection="0"/>
    <xf numFmtId="0" fontId="137" fillId="0" borderId="0">
      <alignment horizontal="center"/>
    </xf>
    <xf numFmtId="0" fontId="137" fillId="0" borderId="0">
      <alignment horizontal="center"/>
    </xf>
    <xf numFmtId="0" fontId="78" fillId="0" borderId="40" applyNumberFormat="0" applyFill="0" applyAlignment="0" applyProtection="0"/>
    <xf numFmtId="0" fontId="78" fillId="0" borderId="40" applyNumberFormat="0" applyFill="0" applyAlignment="0" applyProtection="0"/>
    <xf numFmtId="268" fontId="138" fillId="0" borderId="0">
      <alignment horizontal="center"/>
    </xf>
    <xf numFmtId="44" fontId="230" fillId="0" borderId="44"/>
    <xf numFmtId="37" fontId="163" fillId="0" borderId="44"/>
    <xf numFmtId="0" fontId="2" fillId="13" borderId="0" applyNumberFormat="0" applyFont="0" applyBorder="0" applyAlignment="0" applyProtection="0"/>
    <xf numFmtId="234" fontId="2" fillId="0" borderId="0">
      <alignment horizontal="right"/>
    </xf>
    <xf numFmtId="194" fontId="231" fillId="0" borderId="0">
      <alignment horizontal="left"/>
      <protection locked="0"/>
    </xf>
    <xf numFmtId="0" fontId="57" fillId="0" borderId="0"/>
    <xf numFmtId="245" fontId="2" fillId="0" borderId="0">
      <alignment horizontal="right"/>
    </xf>
    <xf numFmtId="194" fontId="2" fillId="0" borderId="0">
      <alignment horizontal="right"/>
    </xf>
    <xf numFmtId="1" fontId="225" fillId="0" borderId="0">
      <alignment horizontal="left"/>
    </xf>
    <xf numFmtId="244" fontId="2" fillId="0" borderId="0">
      <alignment horizontal="right"/>
    </xf>
    <xf numFmtId="23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4" fontId="167" fillId="0" borderId="0" applyFont="0" applyFill="0" applyBorder="0" applyAlignment="0" applyProtection="0"/>
    <xf numFmtId="0" fontId="61" fillId="7" borderId="0">
      <alignment horizontal="center"/>
    </xf>
    <xf numFmtId="42" fontId="181" fillId="0" borderId="0" applyFont="0" applyFill="0" applyBorder="0" applyAlignment="0" applyProtection="0"/>
    <xf numFmtId="44" fontId="181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95" fontId="232" fillId="0" borderId="0"/>
    <xf numFmtId="196" fontId="81" fillId="0" borderId="0"/>
    <xf numFmtId="0" fontId="233" fillId="63" borderId="0">
      <alignment horizontal="right"/>
    </xf>
    <xf numFmtId="0" fontId="233" fillId="63" borderId="0">
      <alignment horizontal="right"/>
    </xf>
    <xf numFmtId="195" fontId="233" fillId="63" borderId="0">
      <alignment horizontal="right"/>
    </xf>
    <xf numFmtId="195" fontId="233" fillId="63" borderId="0">
      <alignment horizontal="right"/>
    </xf>
    <xf numFmtId="195" fontId="233" fillId="63" borderId="0">
      <alignment horizontal="right"/>
    </xf>
    <xf numFmtId="195" fontId="233" fillId="63" borderId="0">
      <alignment horizontal="right"/>
    </xf>
    <xf numFmtId="0" fontId="233" fillId="63" borderId="0">
      <alignment horizontal="right"/>
    </xf>
    <xf numFmtId="0" fontId="233" fillId="63" borderId="0">
      <alignment horizontal="right"/>
    </xf>
    <xf numFmtId="195" fontId="233" fillId="63" borderId="0">
      <alignment horizontal="right"/>
    </xf>
    <xf numFmtId="195" fontId="233" fillId="63" borderId="0">
      <alignment horizontal="right"/>
    </xf>
    <xf numFmtId="195" fontId="233" fillId="63" borderId="0">
      <alignment horizontal="right"/>
    </xf>
    <xf numFmtId="195" fontId="233" fillId="63" borderId="0">
      <alignment horizontal="right"/>
    </xf>
    <xf numFmtId="1" fontId="139" fillId="0" borderId="0">
      <alignment horizontal="right"/>
    </xf>
    <xf numFmtId="269" fontId="30" fillId="0" borderId="27">
      <alignment horizontal="center"/>
    </xf>
    <xf numFmtId="0" fontId="14" fillId="0" borderId="0" applyFont="0" applyFill="0" applyBorder="0" applyAlignment="0" applyProtection="0">
      <alignment horizontal="center"/>
    </xf>
    <xf numFmtId="270" fontId="125" fillId="0" borderId="18"/>
    <xf numFmtId="0" fontId="156" fillId="0" borderId="0" applyFont="0" applyFill="0" applyBorder="0" applyAlignment="0" applyProtection="0"/>
    <xf numFmtId="196" fontId="2" fillId="0" borderId="18">
      <alignment horizontal="center"/>
    </xf>
    <xf numFmtId="0" fontId="234" fillId="0" borderId="0"/>
    <xf numFmtId="0" fontId="235" fillId="0" borderId="0">
      <alignment vertical="center"/>
    </xf>
    <xf numFmtId="40" fontId="56" fillId="0" borderId="0" applyFont="0" applyFill="0" applyBorder="0" applyAlignment="0" applyProtection="0"/>
    <xf numFmtId="41" fontId="236" fillId="0" borderId="0" applyFont="0" applyFill="0" applyBorder="0" applyAlignment="0" applyProtection="0"/>
    <xf numFmtId="0" fontId="140" fillId="0" borderId="0"/>
    <xf numFmtId="8" fontId="56" fillId="0" borderId="0" applyFont="0" applyFill="0" applyBorder="0" applyAlignment="0" applyProtection="0"/>
    <xf numFmtId="6" fontId="56" fillId="0" borderId="0" applyFont="0" applyFill="0" applyBorder="0" applyAlignment="0" applyProtection="0"/>
    <xf numFmtId="0" fontId="2" fillId="0" borderId="0"/>
    <xf numFmtId="0" fontId="78" fillId="0" borderId="40" applyNumberFormat="0" applyFill="0" applyAlignment="0" applyProtection="0"/>
    <xf numFmtId="0" fontId="78" fillId="0" borderId="40" applyNumberFormat="0" applyFill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3" fillId="19" borderId="32" applyNumberFormat="0" applyAlignment="0" applyProtection="0"/>
    <xf numFmtId="0" fontId="73" fillId="19" borderId="32" applyNumberFormat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3" fillId="19" borderId="32" applyNumberFormat="0" applyAlignment="0" applyProtection="0"/>
    <xf numFmtId="0" fontId="73" fillId="19" borderId="3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8" fillId="0" borderId="40" applyNumberFormat="0" applyFill="0" applyAlignment="0" applyProtection="0"/>
    <xf numFmtId="0" fontId="78" fillId="0" borderId="40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3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59" fillId="0" borderId="0"/>
    <xf numFmtId="0" fontId="3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4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187" fontId="36" fillId="0" borderId="0"/>
    <xf numFmtId="187" fontId="36" fillId="0" borderId="0"/>
    <xf numFmtId="187" fontId="36" fillId="0" borderId="0"/>
    <xf numFmtId="187" fontId="36" fillId="0" borderId="0"/>
    <xf numFmtId="187" fontId="36" fillId="0" borderId="0"/>
    <xf numFmtId="187" fontId="36" fillId="0" borderId="0"/>
    <xf numFmtId="187" fontId="36" fillId="0" borderId="0"/>
    <xf numFmtId="187" fontId="36" fillId="0" borderId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" fontId="39" fillId="0" borderId="0" applyFont="0" applyFill="0" applyBorder="0" applyAlignment="0" applyProtection="0"/>
    <xf numFmtId="3" fontId="40" fillId="0" borderId="0" applyFont="0" applyFill="0" applyBorder="0" applyAlignment="0" applyProtection="0"/>
    <xf numFmtId="44" fontId="43" fillId="0" borderId="0" applyFont="0" applyFill="0" applyBorder="0" applyAlignment="0" applyProtection="0"/>
    <xf numFmtId="8" fontId="39" fillId="0" borderId="0" applyFont="0" applyFill="0" applyBorder="0" applyAlignment="0" applyProtection="0"/>
    <xf numFmtId="188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2" fontId="40" fillId="0" borderId="0" applyFont="0" applyFill="0" applyBorder="0" applyAlignment="0" applyProtection="0"/>
    <xf numFmtId="3" fontId="46" fillId="0" borderId="0" applyNumberFormat="0" applyProtection="0"/>
    <xf numFmtId="0" fontId="33" fillId="0" borderId="10" applyNumberFormat="0" applyAlignment="0" applyProtection="0">
      <alignment horizontal="left" vertical="center"/>
    </xf>
    <xf numFmtId="0" fontId="33" fillId="0" borderId="15">
      <alignment horizontal="left" vertical="center"/>
    </xf>
    <xf numFmtId="190" fontId="32" fillId="0" borderId="0"/>
    <xf numFmtId="0" fontId="2" fillId="0" borderId="0"/>
    <xf numFmtId="0" fontId="38" fillId="0" borderId="0">
      <alignment vertical="top"/>
    </xf>
    <xf numFmtId="0" fontId="47" fillId="0" borderId="0"/>
    <xf numFmtId="0" fontId="47" fillId="0" borderId="0"/>
    <xf numFmtId="0" fontId="47" fillId="0" borderId="0"/>
    <xf numFmtId="0" fontId="47" fillId="0" borderId="0"/>
    <xf numFmtId="0" fontId="39" fillId="0" borderId="0"/>
    <xf numFmtId="9" fontId="39" fillId="0" borderId="0" applyFont="0" applyFill="0" applyBorder="0" applyAlignment="0" applyProtection="0"/>
    <xf numFmtId="3" fontId="52" fillId="0" borderId="15"/>
    <xf numFmtId="49" fontId="2" fillId="0" borderId="0" applyFont="0" applyFill="0" applyBorder="0" applyAlignment="0" applyProtection="0"/>
    <xf numFmtId="44" fontId="2" fillId="0" borderId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4" fontId="2" fillId="0" borderId="0" applyFill="0" applyBorder="0" applyAlignment="0" applyProtection="0"/>
    <xf numFmtId="0" fontId="30" fillId="0" borderId="0"/>
    <xf numFmtId="0" fontId="55" fillId="0" borderId="0"/>
    <xf numFmtId="0" fontId="30" fillId="0" borderId="0"/>
    <xf numFmtId="0" fontId="2" fillId="0" borderId="0"/>
    <xf numFmtId="40" fontId="5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56" fillId="0" borderId="0" applyFont="0" applyFill="0" applyBorder="0" applyAlignment="0" applyProtection="0"/>
    <xf numFmtId="8" fontId="56" fillId="0" borderId="0" applyFont="0" applyFill="0" applyBorder="0" applyAlignment="0" applyProtection="0"/>
    <xf numFmtId="37" fontId="2" fillId="0" borderId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1" fillId="0" borderId="0"/>
    <xf numFmtId="43" fontId="59" fillId="0" borderId="0" applyFont="0" applyFill="0" applyBorder="0" applyAlignment="0" applyProtection="0"/>
    <xf numFmtId="0" fontId="3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0" fillId="0" borderId="0"/>
    <xf numFmtId="3" fontId="52" fillId="0" borderId="85"/>
    <xf numFmtId="5" fontId="22" fillId="10" borderId="86" applyNumberFormat="0">
      <alignment horizontal="left" vertical="center"/>
      <protection locked="0"/>
    </xf>
    <xf numFmtId="3" fontId="30" fillId="0" borderId="84"/>
    <xf numFmtId="0" fontId="33" fillId="0" borderId="85">
      <alignment horizontal="left" vertical="center"/>
    </xf>
    <xf numFmtId="3" fontId="50" fillId="0" borderId="25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0" fillId="0" borderId="0"/>
    <xf numFmtId="3" fontId="30" fillId="0" borderId="84"/>
    <xf numFmtId="3" fontId="52" fillId="0" borderId="85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4" fillId="0" borderId="25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5" fontId="22" fillId="10" borderId="86" applyNumberFormat="0">
      <alignment horizontal="left" vertical="center"/>
      <protection locked="0"/>
    </xf>
    <xf numFmtId="0" fontId="33" fillId="0" borderId="85">
      <alignment horizontal="left" vertical="center"/>
    </xf>
    <xf numFmtId="0" fontId="1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33" fillId="8" borderId="4">
      <alignment horizontal="left"/>
    </xf>
    <xf numFmtId="3" fontId="42" fillId="0" borderId="4" applyNumberFormat="0" applyProtection="0"/>
    <xf numFmtId="0" fontId="46" fillId="0" borderId="2" applyNumberFormat="0" applyFill="0" applyAlignment="0"/>
    <xf numFmtId="0" fontId="46" fillId="0" borderId="4"/>
    <xf numFmtId="44" fontId="49" fillId="0" borderId="4">
      <alignment horizontal="centerContinuous"/>
    </xf>
    <xf numFmtId="7" fontId="91" fillId="0" borderId="87" applyFill="0" applyBorder="0" applyAlignment="0"/>
    <xf numFmtId="3" fontId="33" fillId="0" borderId="4" applyNumberFormat="0" applyFill="0" applyProtection="0"/>
    <xf numFmtId="9" fontId="53" fillId="0" borderId="4" applyNumberFormat="0" applyFont="0" applyBorder="0" applyAlignment="0"/>
    <xf numFmtId="0" fontId="12" fillId="7" borderId="23">
      <alignment horizontal="center" wrapText="1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96" fontId="225" fillId="0" borderId="89">
      <alignment horizontal="centerContinuous"/>
    </xf>
    <xf numFmtId="5" fontId="90" fillId="0" borderId="83" applyFill="0" applyBorder="0" applyAlignment="0"/>
    <xf numFmtId="5" fontId="90" fillId="0" borderId="83" applyFill="0" applyBorder="0" applyAlignment="0"/>
    <xf numFmtId="5" fontId="90" fillId="0" borderId="83" applyFill="0" applyBorder="0" applyAlignment="0"/>
    <xf numFmtId="5" fontId="90" fillId="0" borderId="83" applyFill="0" applyBorder="0" applyAlignment="0"/>
    <xf numFmtId="5" fontId="90" fillId="0" borderId="83" applyFill="0" applyBorder="0" applyAlignment="0"/>
    <xf numFmtId="5" fontId="91" fillId="0" borderId="83" applyFill="0" applyBorder="0" applyAlignment="0"/>
    <xf numFmtId="5" fontId="91" fillId="0" borderId="83" applyFill="0" applyBorder="0" applyAlignment="0"/>
    <xf numFmtId="0" fontId="1" fillId="0" borderId="0"/>
    <xf numFmtId="5" fontId="91" fillId="0" borderId="83" applyFill="0" applyBorder="0" applyAlignment="0"/>
    <xf numFmtId="5" fontId="91" fillId="0" borderId="83" applyFill="0" applyBorder="0" applyAlignment="0"/>
    <xf numFmtId="5" fontId="91" fillId="0" borderId="83" applyFill="0" applyBorder="0" applyAlignment="0"/>
    <xf numFmtId="7" fontId="91" fillId="0" borderId="83" applyFill="0" applyBorder="0" applyAlignment="0"/>
    <xf numFmtId="7" fontId="91" fillId="0" borderId="83" applyFill="0" applyBorder="0" applyAlignment="0"/>
    <xf numFmtId="7" fontId="91" fillId="0" borderId="83" applyFill="0" applyBorder="0" applyAlignment="0"/>
    <xf numFmtId="7" fontId="91" fillId="0" borderId="83" applyFill="0" applyBorder="0" applyAlignment="0"/>
    <xf numFmtId="7" fontId="91" fillId="0" borderId="83" applyFill="0" applyBorder="0" applyAlignment="0"/>
    <xf numFmtId="0" fontId="221" fillId="0" borderId="89"/>
    <xf numFmtId="0" fontId="51" fillId="0" borderId="100">
      <alignment horizontal="center"/>
    </xf>
    <xf numFmtId="0" fontId="130" fillId="52" borderId="87" applyNumberFormat="0" applyProtection="0">
      <alignment horizontal="center" vertical="top" wrapText="1"/>
      <protection hidden="1"/>
    </xf>
    <xf numFmtId="0" fontId="128" fillId="50" borderId="87" applyNumberFormat="0" applyAlignment="0">
      <protection locked="0"/>
    </xf>
    <xf numFmtId="0" fontId="140" fillId="0" borderId="87"/>
    <xf numFmtId="230" fontId="2" fillId="10" borderId="87"/>
    <xf numFmtId="3" fontId="89" fillId="0" borderId="87"/>
    <xf numFmtId="38" fontId="140" fillId="0" borderId="87"/>
    <xf numFmtId="10" fontId="31" fillId="38" borderId="87" applyNumberFormat="0" applyBorder="0" applyAlignment="0" applyProtection="0"/>
    <xf numFmtId="0" fontId="116" fillId="0" borderId="100" applyNumberFormat="0" applyFill="0">
      <alignment horizontal="centerContinuous" vertical="top"/>
    </xf>
    <xf numFmtId="0" fontId="116" fillId="48" borderId="100" applyNumberFormat="0">
      <alignment horizontal="left" vertical="top" indent="1"/>
    </xf>
    <xf numFmtId="37" fontId="57" fillId="0" borderId="90"/>
    <xf numFmtId="0" fontId="104" fillId="0" borderId="87" applyProtection="0">
      <alignment horizontal="center" vertical="top" wrapText="1"/>
      <protection hidden="1"/>
    </xf>
    <xf numFmtId="0" fontId="131" fillId="0" borderId="100" applyNumberFormat="0" applyFont="0" applyFill="0" applyAlignment="0" applyProtection="0"/>
    <xf numFmtId="0" fontId="62" fillId="0" borderId="90" applyNumberFormat="0" applyFill="0" applyAlignment="0" applyProtection="0"/>
    <xf numFmtId="0" fontId="62" fillId="0" borderId="90" applyNumberFormat="0" applyFill="0" applyAlignment="0" applyProtection="0"/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84" fillId="0" borderId="42" applyNumberFormat="0" applyFill="0" applyProtection="0">
      <alignment horizontal="center"/>
    </xf>
    <xf numFmtId="0" fontId="2" fillId="0" borderId="24" applyNumberFormat="0" applyFont="0" applyFill="0" applyAlignment="0" applyProtection="0"/>
    <xf numFmtId="0" fontId="2" fillId="0" borderId="24" applyNumberFormat="0" applyFont="0" applyFill="0" applyAlignment="0" applyProtection="0"/>
    <xf numFmtId="0" fontId="2" fillId="0" borderId="24" applyNumberFormat="0" applyFont="0" applyFill="0" applyAlignment="0" applyProtection="0"/>
    <xf numFmtId="0" fontId="2" fillId="0" borderId="24" applyNumberFormat="0" applyFont="0" applyFill="0" applyAlignment="0" applyProtection="0"/>
    <xf numFmtId="0" fontId="2" fillId="0" borderId="24" applyNumberFormat="0" applyFont="0" applyFill="0" applyAlignment="0" applyProtection="0"/>
    <xf numFmtId="0" fontId="2" fillId="0" borderId="24" applyNumberFormat="0" applyFont="0" applyFill="0" applyAlignment="0" applyProtection="0"/>
    <xf numFmtId="0" fontId="34" fillId="0" borderId="25" applyNumberFormat="0" applyFill="0" applyAlignment="0" applyProtection="0"/>
    <xf numFmtId="0" fontId="62" fillId="0" borderId="90" applyNumberFormat="0" applyFill="0" applyAlignment="0" applyProtection="0"/>
    <xf numFmtId="0" fontId="131" fillId="0" borderId="2" applyNumberFormat="0" applyFont="0" applyFill="0" applyAlignment="0" applyProtection="0"/>
    <xf numFmtId="0" fontId="62" fillId="0" borderId="90" applyNumberFormat="0" applyFill="0" applyAlignment="0" applyProtection="0"/>
    <xf numFmtId="7" fontId="57" fillId="0" borderId="24"/>
    <xf numFmtId="0" fontId="34" fillId="0" borderId="25" applyNumberFormat="0" applyFont="0" applyFill="0" applyProtection="0">
      <alignment horizontal="centerContinuous" vertical="center"/>
    </xf>
    <xf numFmtId="0" fontId="159" fillId="0" borderId="25" applyNumberFormat="0" applyFill="0" applyBorder="0" applyProtection="0">
      <alignment horizontal="right" vertical="center"/>
    </xf>
    <xf numFmtId="0" fontId="104" fillId="0" borderId="83" applyProtection="0">
      <alignment horizontal="center" vertical="top" wrapText="1"/>
      <protection hidden="1"/>
    </xf>
    <xf numFmtId="240" fontId="95" fillId="0" borderId="88">
      <alignment horizontal="left"/>
    </xf>
    <xf numFmtId="37" fontId="57" fillId="0" borderId="90"/>
    <xf numFmtId="0" fontId="108" fillId="0" borderId="25" applyNumberFormat="0" applyFont="0" applyAlignment="0" applyProtection="0">
      <protection locked="0"/>
    </xf>
    <xf numFmtId="170" fontId="170" fillId="8" borderId="55" applyNumberFormat="0" applyAlignment="0">
      <alignment horizontal="center" vertical="center"/>
    </xf>
    <xf numFmtId="186" fontId="171" fillId="8" borderId="25">
      <alignment horizontal="right" vertical="center"/>
    </xf>
    <xf numFmtId="182" fontId="171" fillId="8" borderId="25">
      <alignment horizontal="right" vertical="center"/>
    </xf>
    <xf numFmtId="170" fontId="172" fillId="8" borderId="25" applyBorder="0">
      <alignment horizontal="left" vertical="center"/>
    </xf>
    <xf numFmtId="0" fontId="116" fillId="48" borderId="2" applyNumberFormat="0">
      <alignment horizontal="left" vertical="top" indent="1"/>
    </xf>
    <xf numFmtId="0" fontId="116" fillId="0" borderId="2" applyNumberFormat="0" applyFill="0">
      <alignment horizontal="centerContinuous" vertical="top"/>
    </xf>
    <xf numFmtId="0" fontId="72" fillId="0" borderId="36" applyNumberFormat="0" applyFill="0" applyAlignment="0" applyProtection="0"/>
    <xf numFmtId="0" fontId="72" fillId="0" borderId="36" applyNumberFormat="0" applyFill="0" applyAlignment="0" applyProtection="0"/>
    <xf numFmtId="0" fontId="72" fillId="0" borderId="36" applyNumberFormat="0" applyFill="0" applyAlignment="0" applyProtection="0"/>
    <xf numFmtId="0" fontId="189" fillId="0" borderId="65" applyNumberFormat="0" applyFill="0" applyAlignment="0" applyProtection="0"/>
    <xf numFmtId="0" fontId="189" fillId="0" borderId="65" applyNumberFormat="0" applyFill="0" applyAlignment="0" applyProtection="0"/>
    <xf numFmtId="10" fontId="31" fillId="38" borderId="83" applyNumberFormat="0" applyBorder="0" applyAlignment="0" applyProtection="0"/>
    <xf numFmtId="38" fontId="88" fillId="1" borderId="25"/>
    <xf numFmtId="38" fontId="140" fillId="0" borderId="83"/>
    <xf numFmtId="3" fontId="89" fillId="0" borderId="83"/>
    <xf numFmtId="230" fontId="2" fillId="10" borderId="83"/>
    <xf numFmtId="0" fontId="140" fillId="0" borderId="83"/>
    <xf numFmtId="0" fontId="128" fillId="50" borderId="83" applyNumberFormat="0" applyAlignment="0">
      <protection locked="0"/>
    </xf>
    <xf numFmtId="0" fontId="209" fillId="51" borderId="92"/>
    <xf numFmtId="0" fontId="130" fillId="52" borderId="83" applyNumberFormat="0" applyProtection="0">
      <alignment horizontal="center" vertical="top" wrapText="1"/>
      <protection hidden="1"/>
    </xf>
    <xf numFmtId="0" fontId="88" fillId="0" borderId="75" applyNumberFormat="0" applyAlignment="0" applyProtection="0"/>
    <xf numFmtId="0" fontId="89" fillId="0" borderId="93" applyNumberFormat="0" applyAlignment="0" applyProtection="0"/>
    <xf numFmtId="0" fontId="51" fillId="0" borderId="2">
      <alignment horizontal="center"/>
    </xf>
    <xf numFmtId="7" fontId="91" fillId="0" borderId="87" applyFill="0" applyBorder="0" applyAlignment="0"/>
    <xf numFmtId="3" fontId="50" fillId="0" borderId="25"/>
    <xf numFmtId="7" fontId="91" fillId="0" borderId="87" applyFill="0" applyBorder="0" applyAlignment="0"/>
    <xf numFmtId="7" fontId="91" fillId="0" borderId="87" applyFill="0" applyBorder="0" applyAlignment="0"/>
    <xf numFmtId="5" fontId="91" fillId="0" borderId="87" applyFill="0" applyBorder="0" applyAlignment="0"/>
    <xf numFmtId="5" fontId="91" fillId="0" borderId="87" applyFill="0" applyBorder="0" applyAlignment="0"/>
    <xf numFmtId="5" fontId="91" fillId="0" borderId="87" applyFill="0" applyBorder="0" applyAlignment="0"/>
    <xf numFmtId="5" fontId="91" fillId="0" borderId="87" applyFill="0" applyBorder="0" applyAlignment="0"/>
    <xf numFmtId="5" fontId="91" fillId="0" borderId="87" applyFill="0" applyBorder="0" applyAlignment="0"/>
    <xf numFmtId="5" fontId="90" fillId="0" borderId="87" applyFill="0" applyBorder="0" applyAlignment="0"/>
    <xf numFmtId="5" fontId="90" fillId="0" borderId="87" applyFill="0" applyBorder="0" applyAlignment="0"/>
    <xf numFmtId="5" fontId="90" fillId="0" borderId="87" applyFill="0" applyBorder="0" applyAlignment="0"/>
    <xf numFmtId="5" fontId="90" fillId="0" borderId="87" applyFill="0" applyBorder="0" applyAlignment="0"/>
    <xf numFmtId="5" fontId="90" fillId="0" borderId="87" applyFill="0" applyBorder="0" applyAlignment="0"/>
    <xf numFmtId="0" fontId="219" fillId="0" borderId="25" applyBorder="0" applyProtection="0">
      <alignment horizontal="right" vertical="center"/>
    </xf>
    <xf numFmtId="0" fontId="220" fillId="47" borderId="25" applyBorder="0" applyProtection="0">
      <alignment horizontal="centerContinuous" vertical="center"/>
    </xf>
    <xf numFmtId="0" fontId="221" fillId="0" borderId="89"/>
    <xf numFmtId="196" fontId="225" fillId="0" borderId="89">
      <alignment horizontal="centerContinuous"/>
    </xf>
    <xf numFmtId="0" fontId="57" fillId="0" borderId="90"/>
    <xf numFmtId="0" fontId="46" fillId="0" borderId="100" applyNumberFormat="0" applyFill="0" applyAlignment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3" fontId="52" fillId="0" borderId="15"/>
    <xf numFmtId="5" fontId="22" fillId="10" borderId="31" applyNumberFormat="0">
      <alignment horizontal="left" vertical="center"/>
      <protection locked="0"/>
    </xf>
    <xf numFmtId="3" fontId="30" fillId="0" borderId="8"/>
    <xf numFmtId="0" fontId="33" fillId="0" borderId="15">
      <alignment horizontal="left" vertical="center"/>
    </xf>
    <xf numFmtId="7" fontId="91" fillId="0" borderId="87" applyFill="0" applyBorder="0" applyAlignment="0"/>
    <xf numFmtId="3" fontId="30" fillId="0" borderId="8"/>
    <xf numFmtId="3" fontId="52" fillId="0" borderId="15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5" fontId="22" fillId="10" borderId="31" applyNumberFormat="0">
      <alignment horizontal="left" vertical="center"/>
      <protection locked="0"/>
    </xf>
    <xf numFmtId="0" fontId="33" fillId="0" borderId="15">
      <alignment horizontal="left" vertical="center"/>
    </xf>
    <xf numFmtId="0" fontId="1" fillId="0" borderId="0"/>
    <xf numFmtId="0" fontId="1" fillId="0" borderId="0"/>
    <xf numFmtId="0" fontId="1" fillId="0" borderId="0"/>
    <xf numFmtId="0" fontId="2" fillId="0" borderId="0"/>
    <xf numFmtId="0" fontId="66" fillId="32" borderId="94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30" fillId="0" borderId="0" applyFont="0" applyFill="0" applyBorder="0" applyAlignment="0" applyProtection="0"/>
    <xf numFmtId="8" fontId="5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3" fillId="19" borderId="94" applyNumberFormat="0" applyAlignment="0" applyProtection="0"/>
    <xf numFmtId="0" fontId="30" fillId="0" borderId="0"/>
    <xf numFmtId="0" fontId="2" fillId="0" borderId="0"/>
    <xf numFmtId="0" fontId="30" fillId="35" borderId="95" applyNumberFormat="0" applyFont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2" fillId="0" borderId="0"/>
    <xf numFmtId="0" fontId="2" fillId="0" borderId="0"/>
    <xf numFmtId="9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59" fillId="42" borderId="0" applyNumberFormat="0" applyBorder="0" applyAlignment="0" applyProtection="0"/>
    <xf numFmtId="0" fontId="59" fillId="14" borderId="0" applyNumberFormat="0" applyBorder="0" applyAlignment="0" applyProtection="0"/>
    <xf numFmtId="0" fontId="59" fillId="19" borderId="0" applyNumberFormat="0" applyBorder="0" applyAlignment="0" applyProtection="0"/>
    <xf numFmtId="0" fontId="59" fillId="15" borderId="0" applyNumberFormat="0" applyBorder="0" applyAlignment="0" applyProtection="0"/>
    <xf numFmtId="0" fontId="59" fillId="35" borderId="0" applyNumberFormat="0" applyBorder="0" applyAlignment="0" applyProtection="0"/>
    <xf numFmtId="0" fontId="59" fillId="16" borderId="0" applyNumberFormat="0" applyBorder="0" applyAlignment="0" applyProtection="0"/>
    <xf numFmtId="0" fontId="59" fillId="42" borderId="0" applyNumberFormat="0" applyBorder="0" applyAlignment="0" applyProtection="0"/>
    <xf numFmtId="0" fontId="59" fillId="17" borderId="0" applyNumberFormat="0" applyBorder="0" applyAlignment="0" applyProtection="0"/>
    <xf numFmtId="0" fontId="59" fillId="32" borderId="0" applyNumberFormat="0" applyBorder="0" applyAlignment="0" applyProtection="0"/>
    <xf numFmtId="0" fontId="59" fillId="20" borderId="0" applyNumberFormat="0" applyBorder="0" applyAlignment="0" applyProtection="0"/>
    <xf numFmtId="0" fontId="59" fillId="34" borderId="0" applyNumberFormat="0" applyBorder="0" applyAlignment="0" applyProtection="0"/>
    <xf numFmtId="0" fontId="59" fillId="22" borderId="0" applyNumberFormat="0" applyBorder="0" applyAlignment="0" applyProtection="0"/>
    <xf numFmtId="0" fontId="59" fillId="32" borderId="0" applyNumberFormat="0" applyBorder="0" applyAlignment="0" applyProtection="0"/>
    <xf numFmtId="0" fontId="59" fillId="17" borderId="0" applyNumberFormat="0" applyBorder="0" applyAlignment="0" applyProtection="0"/>
    <xf numFmtId="0" fontId="59" fillId="19" borderId="0" applyNumberFormat="0" applyBorder="0" applyAlignment="0" applyProtection="0"/>
    <xf numFmtId="0" fontId="59" fillId="23" borderId="0" applyNumberFormat="0" applyBorder="0" applyAlignment="0" applyProtection="0"/>
    <xf numFmtId="0" fontId="64" fillId="26" borderId="0" applyNumberFormat="0" applyBorder="0" applyAlignment="0" applyProtection="0"/>
    <xf numFmtId="0" fontId="64" fillId="24" borderId="0" applyNumberFormat="0" applyBorder="0" applyAlignment="0" applyProtection="0"/>
    <xf numFmtId="0" fontId="64" fillId="34" borderId="0" applyNumberFormat="0" applyBorder="0" applyAlignment="0" applyProtection="0"/>
    <xf numFmtId="0" fontId="64" fillId="22" borderId="0" applyNumberFormat="0" applyBorder="0" applyAlignment="0" applyProtection="0"/>
    <xf numFmtId="0" fontId="64" fillId="32" borderId="0" applyNumberFormat="0" applyBorder="0" applyAlignment="0" applyProtection="0"/>
    <xf numFmtId="0" fontId="64" fillId="25" borderId="0" applyNumberFormat="0" applyBorder="0" applyAlignment="0" applyProtection="0"/>
    <xf numFmtId="0" fontId="64" fillId="19" borderId="0" applyNumberFormat="0" applyBorder="0" applyAlignment="0" applyProtection="0"/>
    <xf numFmtId="0" fontId="64" fillId="27" borderId="0" applyNumberFormat="0" applyBorder="0" applyAlignment="0" applyProtection="0"/>
    <xf numFmtId="0" fontId="64" fillId="26" borderId="0" applyNumberFormat="0" applyBorder="0" applyAlignment="0" applyProtection="0"/>
    <xf numFmtId="0" fontId="64" fillId="28" borderId="0" applyNumberFormat="0" applyBorder="0" applyAlignment="0" applyProtection="0"/>
    <xf numFmtId="0" fontId="64" fillId="64" borderId="0" applyNumberFormat="0" applyBorder="0" applyAlignment="0" applyProtection="0"/>
    <xf numFmtId="0" fontId="64" fillId="29" borderId="0" applyNumberFormat="0" applyBorder="0" applyAlignment="0" applyProtection="0"/>
    <xf numFmtId="0" fontId="64" fillId="64" borderId="0" applyNumberFormat="0" applyBorder="0" applyAlignment="0" applyProtection="0"/>
    <xf numFmtId="0" fontId="64" fillId="30" borderId="0" applyNumberFormat="0" applyBorder="0" applyAlignment="0" applyProtection="0"/>
    <xf numFmtId="0" fontId="64" fillId="40" borderId="0" applyNumberFormat="0" applyBorder="0" applyAlignment="0" applyProtection="0"/>
    <xf numFmtId="0" fontId="64" fillId="25" borderId="0" applyNumberFormat="0" applyBorder="0" applyAlignment="0" applyProtection="0"/>
    <xf numFmtId="0" fontId="237" fillId="15" borderId="0" applyNumberFormat="0" applyBorder="0" applyAlignment="0" applyProtection="0"/>
    <xf numFmtId="0" fontId="65" fillId="15" borderId="0" applyNumberFormat="0" applyBorder="0" applyAlignment="0" applyProtection="0"/>
    <xf numFmtId="0" fontId="66" fillId="42" borderId="94" applyNumberFormat="0" applyAlignment="0" applyProtection="0"/>
    <xf numFmtId="0" fontId="66" fillId="32" borderId="94" applyNumberFormat="0" applyAlignment="0" applyProtection="0"/>
    <xf numFmtId="43" fontId="2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8" fillId="0" borderId="0" applyFont="0" applyFill="0" applyBorder="0" applyAlignment="0" applyProtection="0"/>
    <xf numFmtId="44" fontId="238" fillId="0" borderId="0" applyFont="0" applyFill="0" applyBorder="0" applyAlignment="0" applyProtection="0"/>
    <xf numFmtId="0" fontId="239" fillId="0" borderId="96" applyNumberFormat="0" applyFill="0" applyAlignment="0" applyProtection="0"/>
    <xf numFmtId="0" fontId="70" fillId="0" borderId="34" applyNumberFormat="0" applyFill="0" applyAlignment="0" applyProtection="0"/>
    <xf numFmtId="0" fontId="240" fillId="0" borderId="35" applyNumberFormat="0" applyFill="0" applyAlignment="0" applyProtection="0"/>
    <xf numFmtId="0" fontId="71" fillId="0" borderId="35" applyNumberFormat="0" applyFill="0" applyAlignment="0" applyProtection="0"/>
    <xf numFmtId="0" fontId="189" fillId="0" borderId="97" applyNumberFormat="0" applyFill="0" applyAlignment="0" applyProtection="0"/>
    <xf numFmtId="0" fontId="72" fillId="0" borderId="36" applyNumberFormat="0" applyFill="0" applyAlignment="0" applyProtection="0"/>
    <xf numFmtId="0" fontId="18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19" borderId="94" applyNumberFormat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3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3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2" fillId="0" borderId="0"/>
    <xf numFmtId="0" fontId="30" fillId="35" borderId="95" applyNumberFormat="0" applyFont="0" applyAlignment="0" applyProtection="0"/>
    <xf numFmtId="0" fontId="238" fillId="35" borderId="95" applyNumberFormat="0" applyFont="0" applyAlignment="0" applyProtection="0"/>
    <xf numFmtId="0" fontId="76" fillId="42" borderId="39" applyNumberFormat="0" applyAlignment="0" applyProtection="0"/>
    <xf numFmtId="0" fontId="76" fillId="32" borderId="39" applyNumberFormat="0" applyAlignment="0" applyProtection="0"/>
    <xf numFmtId="9" fontId="23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3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98" applyNumberFormat="0" applyFill="0" applyAlignment="0" applyProtection="0"/>
    <xf numFmtId="0" fontId="78" fillId="0" borderId="40" applyNumberFormat="0" applyFill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30" fillId="0" borderId="0"/>
    <xf numFmtId="44" fontId="2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3" fontId="42" fillId="0" borderId="4" applyNumberFormat="0" applyProtection="0"/>
    <xf numFmtId="37" fontId="33" fillId="8" borderId="4">
      <alignment horizontal="left"/>
    </xf>
    <xf numFmtId="37" fontId="33" fillId="8" borderId="4">
      <alignment horizontal="left"/>
    </xf>
    <xf numFmtId="43" fontId="38" fillId="0" borderId="0" applyFont="0" applyFill="0" applyBorder="0" applyAlignment="0" applyProtection="0"/>
    <xf numFmtId="4" fontId="39" fillId="0" borderId="0" applyFont="0" applyFill="0" applyBorder="0" applyAlignment="0" applyProtection="0"/>
    <xf numFmtId="3" fontId="42" fillId="0" borderId="4" applyNumberFormat="0" applyProtection="0"/>
    <xf numFmtId="44" fontId="43" fillId="0" borderId="0" applyFont="0" applyFill="0" applyBorder="0" applyAlignment="0" applyProtection="0"/>
    <xf numFmtId="8" fontId="39" fillId="0" borderId="0" applyFont="0" applyFill="0" applyBorder="0" applyAlignment="0" applyProtection="0"/>
    <xf numFmtId="0" fontId="33" fillId="0" borderId="15">
      <alignment horizontal="left" vertical="center"/>
    </xf>
    <xf numFmtId="0" fontId="46" fillId="0" borderId="4"/>
    <xf numFmtId="5" fontId="22" fillId="10" borderId="86" applyNumberFormat="0">
      <alignment horizontal="left" vertical="center"/>
      <protection locked="0"/>
    </xf>
    <xf numFmtId="0" fontId="2" fillId="0" borderId="0"/>
    <xf numFmtId="0" fontId="38" fillId="0" borderId="0">
      <alignment vertical="top"/>
    </xf>
    <xf numFmtId="0" fontId="47" fillId="0" borderId="0"/>
    <xf numFmtId="0" fontId="47" fillId="0" borderId="0"/>
    <xf numFmtId="0" fontId="47" fillId="0" borderId="0"/>
    <xf numFmtId="0" fontId="39" fillId="0" borderId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44" fontId="49" fillId="0" borderId="4">
      <alignment horizontal="centerContinuous"/>
    </xf>
    <xf numFmtId="3" fontId="33" fillId="0" borderId="4" applyNumberFormat="0" applyFill="0" applyProtection="0"/>
    <xf numFmtId="3" fontId="52" fillId="0" borderId="15"/>
    <xf numFmtId="9" fontId="53" fillId="0" borderId="4" applyNumberFormat="0" applyFont="0" applyBorder="0" applyAlignment="0"/>
    <xf numFmtId="44" fontId="2" fillId="0" borderId="0" applyFill="0" applyBorder="0" applyAlignment="0" applyProtection="0"/>
    <xf numFmtId="0" fontId="2" fillId="0" borderId="0"/>
    <xf numFmtId="44" fontId="2" fillId="0" borderId="0" applyFill="0" applyBorder="0" applyAlignment="0" applyProtection="0"/>
    <xf numFmtId="0" fontId="30" fillId="0" borderId="0"/>
    <xf numFmtId="0" fontId="3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8" fontId="56" fillId="0" borderId="0" applyFont="0" applyFill="0" applyBorder="0" applyAlignment="0" applyProtection="0"/>
    <xf numFmtId="37" fontId="2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0" borderId="0"/>
    <xf numFmtId="9" fontId="2" fillId="0" borderId="0" applyFont="0" applyFill="0" applyBorder="0" applyAlignment="0" applyProtection="0"/>
    <xf numFmtId="0" fontId="1" fillId="0" borderId="0"/>
    <xf numFmtId="9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1" fillId="0" borderId="0"/>
    <xf numFmtId="0" fontId="2" fillId="0" borderId="0"/>
    <xf numFmtId="0" fontId="62" fillId="0" borderId="90" applyNumberFormat="0" applyFill="0" applyAlignment="0" applyProtection="0"/>
    <xf numFmtId="0" fontId="62" fillId="0" borderId="90" applyNumberFormat="0" applyFill="0" applyAlignment="0" applyProtection="0"/>
    <xf numFmtId="0" fontId="46" fillId="0" borderId="4"/>
    <xf numFmtId="0" fontId="46" fillId="0" borderId="2" applyNumberFormat="0" applyFill="0" applyAlignment="0"/>
    <xf numFmtId="37" fontId="94" fillId="8" borderId="91" applyBorder="0" applyProtection="0">
      <alignment vertical="center"/>
    </xf>
    <xf numFmtId="0" fontId="34" fillId="0" borderId="25" applyNumberFormat="0" applyFill="0" applyAlignment="0" applyProtection="0"/>
    <xf numFmtId="0" fontId="66" fillId="32" borderId="94" applyNumberFormat="0" applyAlignment="0" applyProtection="0"/>
    <xf numFmtId="0" fontId="66" fillId="32" borderId="94" applyNumberFormat="0" applyAlignment="0" applyProtection="0"/>
    <xf numFmtId="0" fontId="157" fillId="42" borderId="94" applyNumberFormat="0" applyAlignment="0" applyProtection="0"/>
    <xf numFmtId="0" fontId="157" fillId="42" borderId="94" applyNumberFormat="0" applyAlignment="0" applyProtection="0"/>
    <xf numFmtId="0" fontId="34" fillId="0" borderId="25" applyNumberFormat="0" applyFont="0" applyFill="0" applyProtection="0">
      <alignment horizontal="centerContinuous" vertical="center"/>
    </xf>
    <xf numFmtId="0" fontId="159" fillId="0" borderId="25" applyNumberFormat="0" applyFill="0" applyBorder="0" applyProtection="0">
      <alignment horizontal="right"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9" fillId="0" borderId="0" applyFont="0" applyFill="0" applyBorder="0" applyAlignment="0" applyProtection="0"/>
    <xf numFmtId="273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243" fontId="2" fillId="0" borderId="0" applyFont="0" applyFill="0" applyBorder="0" applyAlignment="0" applyProtection="0">
      <alignment horizontal="right"/>
    </xf>
    <xf numFmtId="243" fontId="2" fillId="0" borderId="0" applyFont="0" applyFill="0" applyBorder="0" applyAlignment="0" applyProtection="0">
      <alignment horizontal="right"/>
    </xf>
    <xf numFmtId="243" fontId="2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273" fontId="2" fillId="0" borderId="0" applyFont="0" applyFill="0" applyBorder="0" applyAlignment="0" applyProtection="0"/>
    <xf numFmtId="37" fontId="57" fillId="0" borderId="90"/>
    <xf numFmtId="0" fontId="108" fillId="0" borderId="25" applyNumberFormat="0" applyFont="0" applyAlignment="0" applyProtection="0">
      <protection locked="0"/>
    </xf>
    <xf numFmtId="167" fontId="177" fillId="8" borderId="8">
      <alignment horizontal="right" vertical="center"/>
    </xf>
    <xf numFmtId="186" fontId="171" fillId="8" borderId="25">
      <alignment horizontal="right" vertical="center"/>
    </xf>
    <xf numFmtId="182" fontId="171" fillId="8" borderId="25">
      <alignment horizontal="right" vertical="center"/>
    </xf>
    <xf numFmtId="170" fontId="172" fillId="8" borderId="25" applyBorder="0">
      <alignment horizontal="left" vertical="center"/>
    </xf>
    <xf numFmtId="170" fontId="131" fillId="8" borderId="8">
      <alignment vertical="center"/>
    </xf>
    <xf numFmtId="0" fontId="118" fillId="0" borderId="0">
      <alignment horizontal="center"/>
    </xf>
    <xf numFmtId="0" fontId="119" fillId="0" borderId="0">
      <alignment horizontal="center"/>
    </xf>
    <xf numFmtId="37" fontId="120" fillId="0" borderId="15" applyNumberFormat="0" applyFont="0" applyFill="0" applyBorder="0">
      <alignment horizontal="centerContinuous"/>
    </xf>
    <xf numFmtId="37" fontId="120" fillId="0" borderId="15" applyNumberFormat="0" applyFont="0" applyFill="0" applyBorder="0">
      <alignment horizontal="centerContinuous"/>
    </xf>
    <xf numFmtId="37" fontId="120" fillId="0" borderId="15" applyNumberFormat="0" applyFont="0" applyFill="0" applyBorder="0">
      <alignment horizontal="centerContinuous"/>
    </xf>
    <xf numFmtId="37" fontId="120" fillId="0" borderId="15" applyNumberFormat="0" applyFont="0" applyFill="0" applyBorder="0">
      <alignment horizontal="centerContinuous"/>
    </xf>
    <xf numFmtId="37" fontId="120" fillId="0" borderId="15" applyNumberFormat="0" applyFont="0" applyFill="0" applyBorder="0">
      <alignment horizontal="centerContinuous"/>
    </xf>
    <xf numFmtId="0" fontId="73" fillId="19" borderId="94" applyNumberFormat="0" applyAlignment="0" applyProtection="0"/>
    <xf numFmtId="0" fontId="73" fillId="19" borderId="94" applyNumberFormat="0" applyAlignment="0" applyProtection="0"/>
    <xf numFmtId="0" fontId="73" fillId="34" borderId="94" applyNumberFormat="0" applyAlignment="0" applyProtection="0"/>
    <xf numFmtId="0" fontId="73" fillId="34" borderId="94" applyNumberFormat="0" applyAlignment="0" applyProtection="0"/>
    <xf numFmtId="5" fontId="22" fillId="10" borderId="86" applyNumberFormat="0">
      <alignment horizontal="left" vertical="center"/>
      <protection locked="0"/>
    </xf>
    <xf numFmtId="38" fontId="88" fillId="1" borderId="25"/>
    <xf numFmtId="9" fontId="2" fillId="0" borderId="0" applyFont="0" applyFill="0" applyBorder="0" applyAlignment="0" applyProtection="0"/>
    <xf numFmtId="0" fontId="73" fillId="19" borderId="32" applyNumberFormat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30" fillId="35" borderId="95" applyNumberFormat="0" applyFont="0" applyAlignment="0" applyProtection="0"/>
    <xf numFmtId="0" fontId="2" fillId="35" borderId="95" applyNumberFormat="0" applyFont="0" applyAlignment="0" applyProtection="0"/>
    <xf numFmtId="0" fontId="2" fillId="35" borderId="95" applyNumberFormat="0" applyFont="0" applyAlignment="0" applyProtection="0"/>
    <xf numFmtId="0" fontId="2" fillId="35" borderId="95" applyNumberFormat="0" applyFont="0" applyAlignment="0" applyProtection="0"/>
    <xf numFmtId="0" fontId="2" fillId="35" borderId="95" applyNumberFormat="0" applyFont="0" applyAlignment="0" applyProtection="0"/>
    <xf numFmtId="0" fontId="2" fillId="35" borderId="95" applyNumberFormat="0" applyFont="0" applyAlignment="0" applyProtection="0"/>
    <xf numFmtId="0" fontId="2" fillId="35" borderId="95" applyNumberFormat="0" applyFont="0" applyAlignment="0" applyProtection="0"/>
    <xf numFmtId="38" fontId="201" fillId="8" borderId="99">
      <alignment horizontal="right" vertical="center"/>
      <protection hidden="1"/>
    </xf>
    <xf numFmtId="0" fontId="202" fillId="38" borderId="99">
      <alignment horizontal="left" vertical="center"/>
      <protection hidden="1"/>
    </xf>
    <xf numFmtId="0" fontId="202" fillId="38" borderId="99">
      <alignment horizontal="center" vertical="center" wrapText="1"/>
      <protection hidden="1"/>
    </xf>
    <xf numFmtId="0" fontId="78" fillId="0" borderId="98" applyNumberFormat="0" applyFill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59" fillId="0" borderId="0" applyFont="0" applyFill="0" applyBorder="0" applyAlignment="0" applyProtection="0"/>
    <xf numFmtId="3" fontId="50" fillId="0" borderId="25"/>
    <xf numFmtId="0" fontId="213" fillId="1" borderId="15" applyNumberFormat="0" applyFont="0" applyAlignment="0">
      <alignment horizontal="center"/>
    </xf>
    <xf numFmtId="0" fontId="66" fillId="32" borderId="32" applyNumberFormat="0" applyAlignment="0" applyProtection="0"/>
    <xf numFmtId="0" fontId="66" fillId="42" borderId="32" applyNumberFormat="0" applyAlignment="0" applyProtection="0"/>
    <xf numFmtId="38" fontId="89" fillId="0" borderId="8"/>
    <xf numFmtId="0" fontId="219" fillId="0" borderId="25" applyBorder="0" applyProtection="0">
      <alignment horizontal="right" vertical="center"/>
    </xf>
    <xf numFmtId="0" fontId="220" fillId="47" borderId="25" applyBorder="0" applyProtection="0">
      <alignment horizontal="centerContinuous" vertical="center"/>
    </xf>
    <xf numFmtId="0" fontId="221" fillId="0" borderId="89"/>
    <xf numFmtId="9" fontId="2" fillId="0" borderId="0" applyFont="0" applyFill="0" applyBorder="0" applyAlignment="0" applyProtection="0"/>
    <xf numFmtId="196" fontId="225" fillId="0" borderId="89">
      <alignment horizontal="centerContinuous"/>
    </xf>
    <xf numFmtId="9" fontId="2" fillId="0" borderId="0" applyFont="0" applyFill="0" applyBorder="0" applyAlignment="0" applyProtection="0"/>
    <xf numFmtId="0" fontId="57" fillId="0" borderId="90"/>
    <xf numFmtId="0" fontId="137" fillId="0" borderId="0">
      <alignment horizontal="center"/>
    </xf>
    <xf numFmtId="0" fontId="73" fillId="19" borderId="32" applyNumberForma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73" fillId="19" borderId="94" applyNumberFormat="0" applyAlignment="0" applyProtection="0"/>
    <xf numFmtId="0" fontId="73" fillId="19" borderId="94" applyNumberFormat="0" applyAlignment="0" applyProtection="0"/>
    <xf numFmtId="0" fontId="73" fillId="19" borderId="94" applyNumberFormat="0" applyAlignment="0" applyProtection="0"/>
    <xf numFmtId="0" fontId="73" fillId="19" borderId="94" applyNumberFormat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38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33" fillId="0" borderId="15">
      <alignment horizontal="left" vertical="center"/>
    </xf>
    <xf numFmtId="0" fontId="47" fillId="0" borderId="0"/>
    <xf numFmtId="0" fontId="47" fillId="0" borderId="0"/>
    <xf numFmtId="3" fontId="52" fillId="0" borderId="15"/>
    <xf numFmtId="44" fontId="2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8" fontId="56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59" fillId="0" borderId="0" applyFont="0" applyFill="0" applyBorder="0" applyAlignment="0" applyProtection="0"/>
    <xf numFmtId="3" fontId="52" fillId="0" borderId="15"/>
    <xf numFmtId="5" fontId="22" fillId="10" borderId="86" applyNumberFormat="0">
      <alignment horizontal="left" vertical="center"/>
      <protection locked="0"/>
    </xf>
    <xf numFmtId="0" fontId="33" fillId="0" borderId="15">
      <alignment horizontal="left" vertical="center"/>
    </xf>
    <xf numFmtId="3" fontId="30" fillId="0" borderId="8"/>
    <xf numFmtId="3" fontId="52" fillId="0" borderId="15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5" fontId="22" fillId="10" borderId="86" applyNumberFormat="0">
      <alignment horizontal="left" vertical="center"/>
      <protection locked="0"/>
    </xf>
    <xf numFmtId="0" fontId="33" fillId="0" borderId="15">
      <alignment horizontal="left" vertical="center"/>
    </xf>
    <xf numFmtId="0" fontId="1" fillId="0" borderId="0"/>
    <xf numFmtId="0" fontId="1" fillId="0" borderId="0"/>
    <xf numFmtId="0" fontId="1" fillId="0" borderId="0"/>
    <xf numFmtId="44" fontId="49" fillId="0" borderId="4">
      <alignment horizontal="centerContinuous"/>
    </xf>
    <xf numFmtId="3" fontId="33" fillId="0" borderId="4" applyNumberFormat="0" applyFill="0" applyProtection="0"/>
    <xf numFmtId="9" fontId="53" fillId="0" borderId="4" applyNumberFormat="0" applyFont="0" applyBorder="0" applyAlignment="0"/>
    <xf numFmtId="0" fontId="30" fillId="0" borderId="0"/>
    <xf numFmtId="0" fontId="137" fillId="0" borderId="0">
      <alignment horizontal="center"/>
    </xf>
    <xf numFmtId="0" fontId="131" fillId="0" borderId="2" applyNumberFormat="0" applyFont="0" applyFill="0" applyAlignment="0" applyProtection="0"/>
    <xf numFmtId="0" fontId="116" fillId="48" borderId="2" applyNumberFormat="0">
      <alignment horizontal="left" vertical="top" indent="1"/>
    </xf>
    <xf numFmtId="0" fontId="116" fillId="0" borderId="2" applyNumberFormat="0" applyFill="0">
      <alignment horizontal="centerContinuous" vertical="top"/>
    </xf>
    <xf numFmtId="0" fontId="137" fillId="0" borderId="0">
      <alignment horizontal="center"/>
    </xf>
    <xf numFmtId="0" fontId="51" fillId="0" borderId="2">
      <alignment horizontal="center"/>
    </xf>
    <xf numFmtId="0" fontId="137" fillId="0" borderId="0">
      <alignment horizontal="center"/>
    </xf>
    <xf numFmtId="0" fontId="30" fillId="0" borderId="0"/>
    <xf numFmtId="0" fontId="78" fillId="0" borderId="98" applyNumberFormat="0" applyFill="0" applyAlignment="0" applyProtection="0"/>
    <xf numFmtId="0" fontId="73" fillId="19" borderId="32" applyNumberForma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78" fillId="0" borderId="98" applyNumberFormat="0" applyFill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30" fillId="0" borderId="84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34" fillId="0" borderId="25" applyNumberFormat="0" applyFill="0" applyAlignment="0" applyProtection="0"/>
    <xf numFmtId="0" fontId="34" fillId="0" borderId="25" applyNumberFormat="0" applyFont="0" applyFill="0" applyProtection="0">
      <alignment horizontal="centerContinuous" vertical="center"/>
    </xf>
    <xf numFmtId="0" fontId="159" fillId="0" borderId="25" applyNumberFormat="0" applyFill="0" applyBorder="0" applyProtection="0">
      <alignment horizontal="right" vertical="center"/>
    </xf>
    <xf numFmtId="0" fontId="108" fillId="0" borderId="25" applyNumberFormat="0" applyFont="0" applyAlignment="0" applyProtection="0">
      <protection locked="0"/>
    </xf>
    <xf numFmtId="167" fontId="177" fillId="8" borderId="84">
      <alignment horizontal="right" vertical="center"/>
    </xf>
    <xf numFmtId="186" fontId="171" fillId="8" borderId="25">
      <alignment horizontal="right" vertical="center"/>
    </xf>
    <xf numFmtId="182" fontId="171" fillId="8" borderId="25">
      <alignment horizontal="right" vertical="center"/>
    </xf>
    <xf numFmtId="170" fontId="172" fillId="8" borderId="25" applyBorder="0">
      <alignment horizontal="left" vertical="center"/>
    </xf>
    <xf numFmtId="170" fontId="131" fillId="8" borderId="84">
      <alignment vertical="center"/>
    </xf>
    <xf numFmtId="38" fontId="88" fillId="1" borderId="25"/>
    <xf numFmtId="3" fontId="50" fillId="0" borderId="25"/>
    <xf numFmtId="38" fontId="89" fillId="0" borderId="84"/>
    <xf numFmtId="0" fontId="219" fillId="0" borderId="25" applyBorder="0" applyProtection="0">
      <alignment horizontal="right" vertical="center"/>
    </xf>
    <xf numFmtId="0" fontId="220" fillId="47" borderId="25" applyBorder="0" applyProtection="0">
      <alignment horizontal="centerContinuous" vertical="center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5" fontId="22" fillId="10" borderId="86" applyNumberFormat="0">
      <alignment horizontal="left" vertical="center"/>
      <protection locked="0"/>
    </xf>
    <xf numFmtId="3" fontId="30" fillId="0" borderId="84"/>
    <xf numFmtId="3" fontId="30" fillId="0" borderId="84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5" fontId="22" fillId="10" borderId="86" applyNumberFormat="0">
      <alignment horizontal="left" vertical="center"/>
      <protection locked="0"/>
    </xf>
    <xf numFmtId="0" fontId="1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3" fillId="19" borderId="94" applyNumberFormat="0" applyAlignment="0" applyProtection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3" fillId="19" borderId="94" applyNumberFormat="0" applyAlignment="0" applyProtection="0"/>
    <xf numFmtId="242" fontId="2" fillId="0" borderId="12" applyFill="0" applyBorder="0" applyAlignment="0" applyProtection="0">
      <alignment horizontal="right"/>
    </xf>
    <xf numFmtId="238" fontId="105" fillId="0" borderId="18" applyBorder="0"/>
    <xf numFmtId="239" fontId="107" fillId="0" borderId="12"/>
    <xf numFmtId="37" fontId="115" fillId="47" borderId="12" applyBorder="0">
      <alignment horizontal="left" vertical="center" indent="1"/>
    </xf>
    <xf numFmtId="252" fontId="125" fillId="0" borderId="18">
      <alignment horizontal="center"/>
    </xf>
    <xf numFmtId="170" fontId="105" fillId="0" borderId="18" applyBorder="0"/>
    <xf numFmtId="0" fontId="31" fillId="6" borderId="18" applyNumberFormat="0" applyFont="0" applyBorder="0" applyAlignment="0" applyProtection="0">
      <alignment horizontal="center"/>
    </xf>
    <xf numFmtId="0" fontId="31" fillId="13" borderId="18" applyNumberFormat="0" applyFont="0" applyBorder="0" applyAlignment="0" applyProtection="0">
      <alignment horizontal="center"/>
    </xf>
    <xf numFmtId="0" fontId="184" fillId="0" borderId="12" applyFill="0" applyBorder="0" applyProtection="0">
      <alignment horizontal="left" vertical="top"/>
    </xf>
    <xf numFmtId="9" fontId="2" fillId="0" borderId="0" applyFont="0" applyFill="0" applyBorder="0" applyAlignment="0" applyProtection="0"/>
    <xf numFmtId="0" fontId="73" fillId="19" borderId="94" applyNumberFormat="0" applyAlignment="0" applyProtection="0"/>
    <xf numFmtId="43" fontId="2" fillId="0" borderId="0" applyFont="0" applyFill="0" applyBorder="0" applyAlignment="0" applyProtection="0"/>
    <xf numFmtId="270" fontId="125" fillId="0" borderId="18"/>
    <xf numFmtId="196" fontId="2" fillId="0" borderId="18">
      <alignment horizontal="center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3" fontId="30" fillId="0" borderId="84"/>
    <xf numFmtId="3" fontId="50" fillId="0" borderId="25"/>
    <xf numFmtId="3" fontId="30" fillId="0" borderId="84"/>
    <xf numFmtId="0" fontId="1" fillId="0" borderId="0"/>
    <xf numFmtId="43" fontId="1" fillId="0" borderId="0" applyFont="0" applyFill="0" applyBorder="0" applyAlignment="0" applyProtection="0"/>
    <xf numFmtId="0" fontId="34" fillId="0" borderId="25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7" fillId="0" borderId="9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0" fillId="0" borderId="0"/>
    <xf numFmtId="0" fontId="66" fillId="32" borderId="32" applyNumberFormat="0" applyAlignment="0" applyProtection="0"/>
    <xf numFmtId="0" fontId="73" fillId="19" borderId="32" applyNumberFormat="0" applyAlignment="0" applyProtection="0"/>
    <xf numFmtId="0" fontId="30" fillId="35" borderId="38" applyNumberFormat="0" applyFont="0" applyAlignment="0" applyProtection="0"/>
    <xf numFmtId="0" fontId="66" fillId="42" borderId="32" applyNumberFormat="0" applyAlignment="0" applyProtection="0"/>
    <xf numFmtId="0" fontId="189" fillId="0" borderId="97" applyNumberFormat="0" applyFill="0" applyAlignment="0" applyProtection="0"/>
    <xf numFmtId="0" fontId="72" fillId="0" borderId="36" applyNumberFormat="0" applyFill="0" applyAlignment="0" applyProtection="0"/>
    <xf numFmtId="0" fontId="73" fillId="19" borderId="32" applyNumberFormat="0" applyAlignment="0" applyProtection="0"/>
    <xf numFmtId="0" fontId="30" fillId="35" borderId="38" applyNumberFormat="0" applyFont="0" applyAlignment="0" applyProtection="0"/>
    <xf numFmtId="0" fontId="238" fillId="35" borderId="38" applyNumberFormat="0" applyFont="0" applyAlignment="0" applyProtection="0"/>
    <xf numFmtId="0" fontId="78" fillId="0" borderId="98" applyNumberFormat="0" applyFill="0" applyAlignment="0" applyProtection="0"/>
    <xf numFmtId="0" fontId="33" fillId="0" borderId="15">
      <alignment horizontal="left" vertical="center"/>
    </xf>
    <xf numFmtId="5" fontId="22" fillId="10" borderId="31" applyNumberFormat="0">
      <alignment horizontal="left" vertical="center"/>
      <protection locked="0"/>
    </xf>
    <xf numFmtId="3" fontId="52" fillId="0" borderId="15"/>
    <xf numFmtId="0" fontId="62" fillId="0" borderId="90" applyNumberFormat="0" applyFill="0" applyAlignment="0" applyProtection="0"/>
    <xf numFmtId="0" fontId="62" fillId="0" borderId="90" applyNumberFormat="0" applyFill="0" applyAlignment="0" applyProtection="0"/>
    <xf numFmtId="37" fontId="94" fillId="8" borderId="16" applyBorder="0" applyProtection="0">
      <alignment vertical="center"/>
    </xf>
    <xf numFmtId="0" fontId="66" fillId="32" borderId="32" applyNumberFormat="0" applyAlignment="0" applyProtection="0"/>
    <xf numFmtId="0" fontId="66" fillId="32" borderId="32" applyNumberFormat="0" applyAlignment="0" applyProtection="0"/>
    <xf numFmtId="0" fontId="157" fillId="42" borderId="32" applyNumberFormat="0" applyAlignment="0" applyProtection="0"/>
    <xf numFmtId="0" fontId="157" fillId="42" borderId="32" applyNumberFormat="0" applyAlignment="0" applyProtection="0"/>
    <xf numFmtId="37" fontId="57" fillId="0" borderId="90"/>
    <xf numFmtId="37" fontId="120" fillId="0" borderId="15" applyNumberFormat="0" applyFont="0" applyFill="0" applyBorder="0">
      <alignment horizontal="centerContinuous"/>
    </xf>
    <xf numFmtId="37" fontId="120" fillId="0" borderId="15" applyNumberFormat="0" applyFont="0" applyFill="0" applyBorder="0">
      <alignment horizontal="centerContinuous"/>
    </xf>
    <xf numFmtId="37" fontId="120" fillId="0" borderId="15" applyNumberFormat="0" applyFont="0" applyFill="0" applyBorder="0">
      <alignment horizontal="centerContinuous"/>
    </xf>
    <xf numFmtId="37" fontId="120" fillId="0" borderId="15" applyNumberFormat="0" applyFont="0" applyFill="0" applyBorder="0">
      <alignment horizontal="centerContinuous"/>
    </xf>
    <xf numFmtId="37" fontId="120" fillId="0" borderId="15" applyNumberFormat="0" applyFont="0" applyFill="0" applyBorder="0">
      <alignment horizontal="centerContinuous"/>
    </xf>
    <xf numFmtId="0" fontId="73" fillId="19" borderId="32" applyNumberFormat="0" applyAlignment="0" applyProtection="0"/>
    <xf numFmtId="0" fontId="73" fillId="19" borderId="32" applyNumberFormat="0" applyAlignment="0" applyProtection="0"/>
    <xf numFmtId="0" fontId="73" fillId="34" borderId="32" applyNumberFormat="0" applyAlignment="0" applyProtection="0"/>
    <xf numFmtId="0" fontId="73" fillId="34" borderId="32" applyNumberFormat="0" applyAlignment="0" applyProtection="0"/>
    <xf numFmtId="5" fontId="22" fillId="10" borderId="31" applyNumberFormat="0">
      <alignment horizontal="left" vertical="center"/>
      <protection locked="0"/>
    </xf>
    <xf numFmtId="0" fontId="30" fillId="35" borderId="38" applyNumberFormat="0" applyFont="0" applyAlignment="0" applyProtection="0"/>
    <xf numFmtId="0" fontId="2" fillId="35" borderId="38" applyNumberFormat="0" applyFont="0" applyAlignment="0" applyProtection="0"/>
    <xf numFmtId="0" fontId="2" fillId="35" borderId="38" applyNumberFormat="0" applyFont="0" applyAlignment="0" applyProtection="0"/>
    <xf numFmtId="0" fontId="2" fillId="35" borderId="38" applyNumberFormat="0" applyFont="0" applyAlignment="0" applyProtection="0"/>
    <xf numFmtId="0" fontId="2" fillId="35" borderId="38" applyNumberFormat="0" applyFont="0" applyAlignment="0" applyProtection="0"/>
    <xf numFmtId="0" fontId="2" fillId="35" borderId="38" applyNumberFormat="0" applyFont="0" applyAlignment="0" applyProtection="0"/>
    <xf numFmtId="0" fontId="2" fillId="35" borderId="38" applyNumberFormat="0" applyFont="0" applyAlignment="0" applyProtection="0"/>
    <xf numFmtId="38" fontId="201" fillId="8" borderId="72">
      <alignment horizontal="right" vertical="center"/>
      <protection hidden="1"/>
    </xf>
    <xf numFmtId="0" fontId="202" fillId="38" borderId="72">
      <alignment horizontal="left" vertical="center"/>
      <protection hidden="1"/>
    </xf>
    <xf numFmtId="0" fontId="202" fillId="38" borderId="72">
      <alignment horizontal="center" vertical="center" wrapText="1"/>
      <protection hidden="1"/>
    </xf>
    <xf numFmtId="0" fontId="78" fillId="0" borderId="98" applyNumberFormat="0" applyFill="0" applyAlignment="0" applyProtection="0"/>
    <xf numFmtId="0" fontId="213" fillId="1" borderId="15" applyNumberFormat="0" applyFont="0" applyAlignment="0">
      <alignment horizontal="center"/>
    </xf>
    <xf numFmtId="0" fontId="221" fillId="0" borderId="89"/>
    <xf numFmtId="196" fontId="225" fillId="0" borderId="89">
      <alignment horizontal="centerContinuous"/>
    </xf>
    <xf numFmtId="0" fontId="57" fillId="0" borderId="90"/>
    <xf numFmtId="0" fontId="73" fillId="19" borderId="32" applyNumberFormat="0" applyAlignment="0" applyProtection="0"/>
    <xf numFmtId="0" fontId="73" fillId="19" borderId="32" applyNumberFormat="0" applyAlignment="0" applyProtection="0"/>
    <xf numFmtId="0" fontId="73" fillId="19" borderId="32" applyNumberFormat="0" applyAlignment="0" applyProtection="0"/>
    <xf numFmtId="0" fontId="73" fillId="19" borderId="32" applyNumberFormat="0" applyAlignment="0" applyProtection="0"/>
    <xf numFmtId="0" fontId="33" fillId="0" borderId="15">
      <alignment horizontal="left" vertical="center"/>
    </xf>
    <xf numFmtId="3" fontId="52" fillId="0" borderId="15"/>
    <xf numFmtId="3" fontId="52" fillId="0" borderId="15"/>
    <xf numFmtId="5" fontId="22" fillId="10" borderId="31" applyNumberFormat="0">
      <alignment horizontal="left" vertical="center"/>
      <protection locked="0"/>
    </xf>
    <xf numFmtId="0" fontId="33" fillId="0" borderId="15">
      <alignment horizontal="left" vertical="center"/>
    </xf>
    <xf numFmtId="3" fontId="52" fillId="0" borderId="15"/>
    <xf numFmtId="5" fontId="22" fillId="10" borderId="31" applyNumberFormat="0">
      <alignment horizontal="left" vertical="center"/>
      <protection locked="0"/>
    </xf>
    <xf numFmtId="0" fontId="33" fillId="0" borderId="15">
      <alignment horizontal="left" vertical="center"/>
    </xf>
    <xf numFmtId="0" fontId="78" fillId="0" borderId="98" applyNumberFormat="0" applyFill="0" applyAlignment="0" applyProtection="0"/>
    <xf numFmtId="0" fontId="78" fillId="0" borderId="98" applyNumberFormat="0" applyFill="0" applyAlignment="0" applyProtection="0"/>
    <xf numFmtId="3" fontId="30" fillId="0" borderId="8"/>
    <xf numFmtId="167" fontId="177" fillId="8" borderId="8">
      <alignment horizontal="right" vertical="center"/>
    </xf>
    <xf numFmtId="170" fontId="131" fillId="8" borderId="8">
      <alignment vertical="center"/>
    </xf>
    <xf numFmtId="38" fontId="89" fillId="0" borderId="8"/>
    <xf numFmtId="5" fontId="22" fillId="10" borderId="31" applyNumberFormat="0">
      <alignment horizontal="left" vertical="center"/>
      <protection locked="0"/>
    </xf>
    <xf numFmtId="3" fontId="30" fillId="0" borderId="8"/>
    <xf numFmtId="3" fontId="30" fillId="0" borderId="8"/>
    <xf numFmtId="5" fontId="22" fillId="10" borderId="31" applyNumberFormat="0">
      <alignment horizontal="left" vertical="center"/>
      <protection locked="0"/>
    </xf>
    <xf numFmtId="0" fontId="73" fillId="19" borderId="32" applyNumberFormat="0" applyAlignment="0" applyProtection="0"/>
    <xf numFmtId="0" fontId="73" fillId="19" borderId="32" applyNumberFormat="0" applyAlignment="0" applyProtection="0"/>
    <xf numFmtId="0" fontId="73" fillId="19" borderId="32" applyNumberFormat="0" applyAlignment="0" applyProtection="0"/>
    <xf numFmtId="3" fontId="30" fillId="0" borderId="8"/>
    <xf numFmtId="3" fontId="30" fillId="0" borderId="8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3" fillId="0" borderId="0" applyFont="0" applyFill="0" applyBorder="0" applyAlignment="0" applyProtection="0"/>
    <xf numFmtId="0" fontId="242" fillId="0" borderId="0"/>
    <xf numFmtId="0" fontId="242" fillId="0" borderId="0"/>
    <xf numFmtId="0" fontId="242" fillId="0" borderId="0" applyFont="0" applyFill="0" applyBorder="0" applyAlignment="0" applyProtection="0"/>
    <xf numFmtId="0" fontId="24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278" fontId="156" fillId="0" borderId="0" applyFont="0" applyFill="0" applyBorder="0" applyAlignment="0" applyProtection="0"/>
    <xf numFmtId="278" fontId="156" fillId="0" borderId="0" applyFont="0" applyFill="0" applyBorder="0" applyAlignment="0" applyProtection="0"/>
    <xf numFmtId="0" fontId="81" fillId="43" borderId="0" applyNumberFormat="0" applyFont="0" applyBorder="0" applyAlignment="0"/>
    <xf numFmtId="0" fontId="81" fillId="43" borderId="0" applyNumberFormat="0" applyFont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39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44" fillId="0" borderId="0" applyFont="0" applyFill="0" applyBorder="0" applyAlignment="0" applyProtection="0"/>
    <xf numFmtId="0" fontId="2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44" fillId="0" borderId="0" applyFont="0" applyFill="0" applyBorder="0" applyAlignment="0" applyProtection="0"/>
    <xf numFmtId="0" fontId="2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44" fillId="0" borderId="0" applyFont="0" applyFill="0" applyBorder="0" applyAlignment="0" applyProtection="0"/>
    <xf numFmtId="0" fontId="2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2" fontId="169" fillId="0" borderId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245" fillId="0" borderId="0" applyNumberFormat="0" applyFill="0" applyBorder="0" applyAlignment="0" applyProtection="0"/>
    <xf numFmtId="279" fontId="246" fillId="0" borderId="0">
      <protection locked="0"/>
    </xf>
    <xf numFmtId="279" fontId="246" fillId="0" borderId="0">
      <protection locked="0"/>
    </xf>
    <xf numFmtId="0" fontId="247" fillId="0" borderId="103" applyNumberFormat="0" applyFill="0" applyAlignment="0" applyProtection="0"/>
    <xf numFmtId="0" fontId="57" fillId="0" borderId="24">
      <alignment vertical="center"/>
    </xf>
    <xf numFmtId="0" fontId="57" fillId="0" borderId="24">
      <alignment vertical="center"/>
    </xf>
    <xf numFmtId="37" fontId="248" fillId="0" borderId="0" applyBorder="0">
      <alignment vertical="center"/>
    </xf>
    <xf numFmtId="0" fontId="249" fillId="0" borderId="0" applyNumberFormat="0" applyFill="0" applyBorder="0" applyAlignment="0" applyProtection="0">
      <alignment vertical="top"/>
      <protection locked="0"/>
    </xf>
    <xf numFmtId="0" fontId="250" fillId="0" borderId="0" applyNumberFormat="0" applyFill="0" applyBorder="0" applyAlignment="0" applyProtection="0"/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1" fontId="88" fillId="65" borderId="87">
      <alignment horizontal="center"/>
    </xf>
    <xf numFmtId="0" fontId="81" fillId="63" borderId="0" applyNumberFormat="0" applyFont="0" applyBorder="0" applyAlignment="0"/>
    <xf numFmtId="0" fontId="81" fillId="63" borderId="0" applyNumberFormat="0" applyFont="0" applyBorder="0" applyAlignment="0"/>
    <xf numFmtId="0" fontId="81" fillId="63" borderId="0" applyNumberFormat="0" applyFont="0" applyBorder="0" applyAlignment="0"/>
    <xf numFmtId="0" fontId="81" fillId="63" borderId="0" applyNumberFormat="0" applyFont="0" applyBorder="0" applyAlignment="0"/>
    <xf numFmtId="0" fontId="81" fillId="63" borderId="0" applyNumberFormat="0" applyFont="0" applyBorder="0" applyAlignment="0"/>
    <xf numFmtId="0" fontId="81" fillId="63" borderId="0" applyNumberFormat="0" applyFont="0" applyBorder="0" applyAlignment="0"/>
    <xf numFmtId="0" fontId="81" fillId="63" borderId="0" applyNumberFormat="0" applyFont="0" applyBorder="0" applyAlignment="0"/>
    <xf numFmtId="0" fontId="81" fillId="63" borderId="0" applyNumberFormat="0" applyFont="0" applyBorder="0" applyAlignment="0"/>
    <xf numFmtId="0" fontId="81" fillId="63" borderId="0" applyNumberFormat="0" applyFont="0" applyBorder="0" applyAlignment="0"/>
    <xf numFmtId="0" fontId="81" fillId="63" borderId="0" applyNumberFormat="0" applyFont="0" applyBorder="0" applyAlignment="0"/>
    <xf numFmtId="0" fontId="81" fillId="63" borderId="0" applyNumberFormat="0" applyFont="0" applyBorder="0" applyAlignment="0"/>
    <xf numFmtId="0" fontId="81" fillId="63" borderId="0" applyNumberFormat="0" applyFont="0" applyBorder="0" applyAlignment="0"/>
    <xf numFmtId="0" fontId="81" fillId="63" borderId="0" applyNumberFormat="0" applyFont="0" applyBorder="0" applyAlignment="0"/>
    <xf numFmtId="0" fontId="81" fillId="63" borderId="0" applyNumberFormat="0" applyFont="0" applyBorder="0" applyAlignment="0"/>
    <xf numFmtId="0" fontId="81" fillId="63" borderId="0" applyNumberFormat="0" applyFont="0" applyBorder="0" applyAlignment="0"/>
    <xf numFmtId="0" fontId="81" fillId="63" borderId="0" applyNumberFormat="0" applyFont="0" applyBorder="0" applyAlignment="0"/>
    <xf numFmtId="0" fontId="81" fillId="63" borderId="0" applyNumberFormat="0" applyFont="0" applyBorder="0" applyAlignment="0"/>
    <xf numFmtId="37" fontId="251" fillId="0" borderId="0" applyFill="0" applyBorder="0" applyProtection="0">
      <alignment vertical="center"/>
    </xf>
    <xf numFmtId="0" fontId="252" fillId="0" borderId="0"/>
    <xf numFmtId="0" fontId="2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52" fillId="0" borderId="0"/>
    <xf numFmtId="0" fontId="25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53" fillId="0" borderId="0"/>
    <xf numFmtId="0" fontId="2" fillId="0" borderId="0"/>
    <xf numFmtId="0" fontId="25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2" fillId="0" borderId="0"/>
    <xf numFmtId="0" fontId="56" fillId="0" borderId="0"/>
    <xf numFmtId="0" fontId="2" fillId="0" borderId="0"/>
    <xf numFmtId="0" fontId="56" fillId="0" borderId="0"/>
    <xf numFmtId="0" fontId="2" fillId="0" borderId="0"/>
    <xf numFmtId="0" fontId="1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56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>
      <alignment vertical="top"/>
    </xf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14" fontId="89" fillId="66" borderId="101" applyNumberFormat="0" applyFont="0" applyBorder="0" applyAlignment="0" applyProtection="0"/>
    <xf numFmtId="42" fontId="156" fillId="0" borderId="0" applyFill="0" applyBorder="0" applyAlignment="0" applyProtection="0"/>
    <xf numFmtId="0" fontId="2" fillId="0" borderId="0"/>
    <xf numFmtId="0" fontId="2" fillId="0" borderId="0"/>
    <xf numFmtId="0" fontId="254" fillId="0" borderId="0" applyNumberFormat="0" applyFill="0" applyBorder="0" applyAlignment="0"/>
    <xf numFmtId="0" fontId="254" fillId="0" borderId="0" applyNumberFormat="0" applyFill="0" applyBorder="0" applyAlignment="0"/>
    <xf numFmtId="0" fontId="254" fillId="0" borderId="0" applyNumberFormat="0" applyFill="0" applyBorder="0" applyAlignment="0"/>
    <xf numFmtId="0" fontId="254" fillId="0" borderId="0" applyNumberFormat="0" applyFill="0" applyBorder="0" applyAlignment="0"/>
    <xf numFmtId="0" fontId="254" fillId="0" borderId="0" applyNumberFormat="0" applyFill="0" applyBorder="0" applyAlignment="0"/>
    <xf numFmtId="0" fontId="254" fillId="0" borderId="0" applyNumberFormat="0" applyFill="0" applyBorder="0" applyAlignment="0"/>
    <xf numFmtId="0" fontId="254" fillId="0" borderId="0" applyNumberFormat="0" applyFill="0" applyBorder="0" applyAlignment="0"/>
    <xf numFmtId="0" fontId="254" fillId="0" borderId="0" applyNumberFormat="0" applyFill="0" applyBorder="0" applyAlignment="0"/>
    <xf numFmtId="37" fontId="31" fillId="68" borderId="0" applyNumberFormat="0" applyBorder="0" applyAlignment="0" applyProtection="0"/>
    <xf numFmtId="37" fontId="31" fillId="0" borderId="0"/>
    <xf numFmtId="3" fontId="255" fillId="0" borderId="103" applyProtection="0"/>
    <xf numFmtId="280" fontId="156" fillId="0" borderId="0" applyFont="0" applyFill="0" applyBorder="0" applyAlignment="0" applyProtection="0"/>
    <xf numFmtId="280" fontId="1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5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30" fillId="0" borderId="0"/>
    <xf numFmtId="0" fontId="30" fillId="0" borderId="0"/>
    <xf numFmtId="0" fontId="1" fillId="0" borderId="0"/>
    <xf numFmtId="0" fontId="241" fillId="0" borderId="0"/>
    <xf numFmtId="0" fontId="241" fillId="0" borderId="0"/>
    <xf numFmtId="0" fontId="241" fillId="0" borderId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1" fillId="0" borderId="0" applyFont="0" applyFill="0" applyBorder="0" applyAlignment="0" applyProtection="0"/>
    <xf numFmtId="9" fontId="241" fillId="0" borderId="0" applyFont="0" applyFill="0" applyBorder="0" applyAlignment="0" applyProtection="0"/>
    <xf numFmtId="9" fontId="241" fillId="0" borderId="0" applyFont="0" applyFill="0" applyBorder="0" applyAlignment="0" applyProtection="0"/>
    <xf numFmtId="165" fontId="2" fillId="6" borderId="0" applyFont="0" applyBorder="0" applyProtection="0">
      <alignment horizontal="center"/>
      <protection locked="0"/>
    </xf>
    <xf numFmtId="165" fontId="2" fillId="6" borderId="0" applyFont="0" applyBorder="0" applyProtection="0">
      <alignment horizontal="center"/>
      <protection locked="0"/>
    </xf>
    <xf numFmtId="165" fontId="2" fillId="6" borderId="0">
      <alignment horizontal="center"/>
      <protection locked="0"/>
    </xf>
    <xf numFmtId="41" fontId="37" fillId="0" borderId="0" applyFont="0" applyFill="0" applyBorder="0" applyAlignment="0" applyProtection="0"/>
    <xf numFmtId="170" fontId="256" fillId="0" borderId="0" applyNumberFormat="0" applyFill="0" applyBorder="0" applyAlignment="0" applyProtection="0">
      <alignment horizontal="center"/>
    </xf>
    <xf numFmtId="165" fontId="2" fillId="5" borderId="0" applyBorder="0" applyAlignment="0" applyProtection="0"/>
    <xf numFmtId="165" fontId="2" fillId="5" borderId="0" applyBorder="0" applyAlignment="0" applyProtection="0"/>
    <xf numFmtId="17" fontId="37" fillId="69" borderId="0" applyFont="0" applyFill="0" applyBorder="0" applyAlignment="0" applyProtection="0"/>
    <xf numFmtId="9" fontId="2" fillId="6" borderId="0" applyBorder="0" applyProtection="0">
      <alignment horizontal="right"/>
      <protection locked="0"/>
    </xf>
    <xf numFmtId="0" fontId="257" fillId="70" borderId="91" applyBorder="0"/>
    <xf numFmtId="0" fontId="257" fillId="70" borderId="91" applyBorder="0"/>
    <xf numFmtId="0" fontId="257" fillId="70" borderId="91" applyBorder="0"/>
    <xf numFmtId="3" fontId="2" fillId="10" borderId="0" applyBorder="0" applyProtection="0">
      <alignment horizontal="left"/>
    </xf>
    <xf numFmtId="3" fontId="2" fillId="10" borderId="0" applyBorder="0" applyProtection="0">
      <alignment horizontal="left"/>
    </xf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42" fillId="0" borderId="4" applyNumberFormat="0" applyProtection="0"/>
    <xf numFmtId="3" fontId="41" fillId="0" borderId="0">
      <alignment horizontal="left"/>
    </xf>
    <xf numFmtId="183" fontId="44" fillId="38" borderId="0" applyNumberFormat="0" applyBorder="0" applyAlignment="0">
      <protection locked="0"/>
    </xf>
    <xf numFmtId="9" fontId="51" fillId="0" borderId="0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44" fillId="38" borderId="0" applyNumberFormat="0" applyBorder="0" applyAlignment="0">
      <protection locked="0"/>
    </xf>
    <xf numFmtId="0" fontId="3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60" fillId="0" borderId="0"/>
    <xf numFmtId="0" fontId="1" fillId="0" borderId="0"/>
    <xf numFmtId="9" fontId="25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57" fillId="70" borderId="16" applyBorder="0"/>
    <xf numFmtId="0" fontId="257" fillId="70" borderId="16" applyBorder="0"/>
    <xf numFmtId="0" fontId="257" fillId="70" borderId="16" applyBorder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57" fillId="70" borderId="16" applyBorder="0"/>
    <xf numFmtId="0" fontId="257" fillId="70" borderId="16" applyBorder="0"/>
    <xf numFmtId="0" fontId="257" fillId="70" borderId="16" applyBorder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0" fillId="0" borderId="0"/>
    <xf numFmtId="0" fontId="3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0" fillId="0" borderId="0"/>
    <xf numFmtId="9" fontId="2" fillId="0" borderId="0" applyFont="0" applyFill="0" applyBorder="0" applyAlignment="0" applyProtection="0"/>
    <xf numFmtId="0" fontId="3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19" borderId="105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83" fontId="44" fillId="38" borderId="0" applyNumberFormat="0" applyBorder="0" applyAlignment="0">
      <protection locked="0"/>
    </xf>
    <xf numFmtId="0" fontId="66" fillId="32" borderId="32" applyNumberFormat="0" applyAlignment="0" applyProtection="0"/>
    <xf numFmtId="44" fontId="59" fillId="0" borderId="0" applyFont="0" applyFill="0" applyBorder="0" applyAlignment="0" applyProtection="0"/>
    <xf numFmtId="0" fontId="66" fillId="32" borderId="105" applyNumberFormat="0" applyAlignment="0" applyProtection="0"/>
    <xf numFmtId="0" fontId="70" fillId="0" borderId="34" applyNumberFormat="0" applyFill="0" applyAlignment="0" applyProtection="0"/>
    <xf numFmtId="0" fontId="71" fillId="0" borderId="35" applyNumberFormat="0" applyFill="0" applyAlignment="0" applyProtection="0"/>
    <xf numFmtId="0" fontId="73" fillId="19" borderId="32" applyNumberFormat="0" applyAlignment="0" applyProtection="0"/>
    <xf numFmtId="0" fontId="66" fillId="32" borderId="105" applyNumberFormat="0" applyAlignment="0" applyProtection="0"/>
    <xf numFmtId="0" fontId="30" fillId="35" borderId="38" applyNumberFormat="0" applyFont="0" applyAlignment="0" applyProtection="0"/>
    <xf numFmtId="0" fontId="76" fillId="32" borderId="39" applyNumberForma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6" fillId="42" borderId="105" applyNumberFormat="0" applyAlignment="0" applyProtection="0"/>
    <xf numFmtId="0" fontId="76" fillId="32" borderId="107" applyNumberFormat="0" applyAlignment="0" applyProtection="0"/>
    <xf numFmtId="0" fontId="30" fillId="35" borderId="106" applyNumberFormat="0" applyFont="0" applyAlignment="0" applyProtection="0"/>
    <xf numFmtId="0" fontId="73" fillId="19" borderId="105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78" fillId="0" borderId="104" applyNumberFormat="0" applyFill="0" applyAlignment="0" applyProtection="0"/>
    <xf numFmtId="0" fontId="78" fillId="0" borderId="108" applyNumberFormat="0" applyFill="0" applyAlignment="0" applyProtection="0"/>
    <xf numFmtId="0" fontId="78" fillId="0" borderId="40" applyNumberFormat="0" applyFill="0" applyAlignment="0" applyProtection="0"/>
    <xf numFmtId="0" fontId="73" fillId="19" borderId="32" applyNumberFormat="0" applyAlignment="0" applyProtection="0"/>
    <xf numFmtId="0" fontId="30" fillId="35" borderId="38" applyNumberFormat="0" applyFont="0" applyAlignment="0" applyProtection="0"/>
    <xf numFmtId="0" fontId="76" fillId="32" borderId="3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6" fillId="32" borderId="39" applyNumberFormat="0" applyAlignment="0" applyProtection="0"/>
    <xf numFmtId="0" fontId="66" fillId="32" borderId="32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40" applyNumberFormat="0" applyFill="0" applyAlignment="0" applyProtection="0"/>
    <xf numFmtId="0" fontId="1" fillId="0" borderId="0"/>
    <xf numFmtId="0" fontId="30" fillId="35" borderId="38" applyNumberFormat="0" applyFont="0" applyAlignment="0" applyProtection="0"/>
    <xf numFmtId="0" fontId="66" fillId="32" borderId="32" applyNumberFormat="0" applyAlignment="0" applyProtection="0"/>
    <xf numFmtId="0" fontId="1" fillId="0" borderId="0"/>
    <xf numFmtId="0" fontId="73" fillId="19" borderId="32" applyNumberFormat="0" applyAlignment="0" applyProtection="0"/>
    <xf numFmtId="9" fontId="1" fillId="0" borderId="0" applyFont="0" applyFill="0" applyBorder="0" applyAlignment="0" applyProtection="0"/>
    <xf numFmtId="0" fontId="30" fillId="35" borderId="38" applyNumberFormat="0" applyFont="0" applyAlignment="0" applyProtection="0"/>
    <xf numFmtId="0" fontId="238" fillId="35" borderId="38" applyNumberFormat="0" applyFont="0" applyAlignment="0" applyProtection="0"/>
    <xf numFmtId="0" fontId="76" fillId="32" borderId="39" applyNumberFormat="0" applyAlignment="0" applyProtection="0"/>
    <xf numFmtId="0" fontId="78" fillId="0" borderId="40" applyNumberFormat="0" applyFill="0" applyAlignment="0" applyProtection="0"/>
    <xf numFmtId="0" fontId="76" fillId="42" borderId="39" applyNumberFormat="0" applyAlignment="0" applyProtection="0"/>
    <xf numFmtId="0" fontId="78" fillId="0" borderId="104" applyNumberFormat="0" applyFill="0" applyAlignment="0" applyProtection="0"/>
    <xf numFmtId="4" fontId="39" fillId="0" borderId="0" applyFont="0" applyFill="0" applyBorder="0" applyAlignment="0" applyProtection="0"/>
    <xf numFmtId="43" fontId="259" fillId="0" borderId="0" applyFont="0" applyFill="0" applyBorder="0" applyAlignment="0" applyProtection="0"/>
    <xf numFmtId="8" fontId="39" fillId="0" borderId="0" applyFont="0" applyFill="0" applyBorder="0" applyAlignment="0" applyProtection="0"/>
    <xf numFmtId="0" fontId="30" fillId="0" borderId="0"/>
    <xf numFmtId="0" fontId="30" fillId="0" borderId="0"/>
    <xf numFmtId="0" fontId="259" fillId="0" borderId="0"/>
    <xf numFmtId="0" fontId="30" fillId="0" borderId="0"/>
    <xf numFmtId="0" fontId="39" fillId="0" borderId="0"/>
    <xf numFmtId="9" fontId="39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66" fillId="32" borderId="105" applyNumberFormat="0" applyAlignment="0" applyProtection="0"/>
    <xf numFmtId="0" fontId="73" fillId="19" borderId="105" applyNumberFormat="0" applyAlignment="0" applyProtection="0"/>
    <xf numFmtId="0" fontId="30" fillId="35" borderId="106" applyNumberFormat="0" applyFont="0" applyAlignment="0" applyProtection="0"/>
    <xf numFmtId="0" fontId="76" fillId="32" borderId="107" applyNumberFormat="0" applyAlignment="0" applyProtection="0"/>
    <xf numFmtId="0" fontId="78" fillId="0" borderId="108" applyNumberFormat="0" applyFill="0" applyAlignment="0" applyProtection="0"/>
    <xf numFmtId="0" fontId="66" fillId="42" borderId="105" applyNumberFormat="0" applyAlignment="0" applyProtection="0"/>
    <xf numFmtId="0" fontId="66" fillId="32" borderId="105" applyNumberFormat="0" applyAlignment="0" applyProtection="0"/>
    <xf numFmtId="0" fontId="73" fillId="19" borderId="105" applyNumberFormat="0" applyAlignment="0" applyProtection="0"/>
    <xf numFmtId="0" fontId="30" fillId="35" borderId="106" applyNumberFormat="0" applyFont="0" applyAlignment="0" applyProtection="0"/>
    <xf numFmtId="0" fontId="238" fillId="35" borderId="106" applyNumberFormat="0" applyFont="0" applyAlignment="0" applyProtection="0"/>
    <xf numFmtId="0" fontId="76" fillId="42" borderId="107" applyNumberFormat="0" applyAlignment="0" applyProtection="0"/>
    <xf numFmtId="0" fontId="76" fillId="32" borderId="107" applyNumberFormat="0" applyAlignment="0" applyProtection="0"/>
    <xf numFmtId="0" fontId="78" fillId="0" borderId="104" applyNumberFormat="0" applyFill="0" applyAlignment="0" applyProtection="0"/>
    <xf numFmtId="0" fontId="78" fillId="0" borderId="108" applyNumberFormat="0" applyFill="0" applyAlignment="0" applyProtection="0"/>
    <xf numFmtId="0" fontId="78" fillId="0" borderId="108" applyNumberFormat="0" applyFill="0" applyAlignment="0" applyProtection="0"/>
    <xf numFmtId="0" fontId="73" fillId="19" borderId="105" applyNumberFormat="0" applyAlignment="0" applyProtection="0"/>
    <xf numFmtId="0" fontId="73" fillId="19" borderId="105" applyNumberFormat="0" applyAlignment="0" applyProtection="0"/>
    <xf numFmtId="0" fontId="66" fillId="32" borderId="105" applyNumberFormat="0" applyAlignment="0" applyProtection="0"/>
    <xf numFmtId="0" fontId="66" fillId="32" borderId="105" applyNumberFormat="0" applyAlignment="0" applyProtection="0"/>
    <xf numFmtId="0" fontId="66" fillId="42" borderId="105" applyNumberFormat="0" applyAlignment="0" applyProtection="0"/>
    <xf numFmtId="0" fontId="30" fillId="35" borderId="106" applyNumberFormat="0" applyFont="0" applyAlignment="0" applyProtection="0"/>
    <xf numFmtId="0" fontId="76" fillId="32" borderId="107" applyNumberFormat="0" applyAlignment="0" applyProtection="0"/>
    <xf numFmtId="0" fontId="238" fillId="35" borderId="106" applyNumberFormat="0" applyFont="0" applyAlignment="0" applyProtection="0"/>
    <xf numFmtId="0" fontId="66" fillId="42" borderId="105" applyNumberFormat="0" applyAlignment="0" applyProtection="0"/>
    <xf numFmtId="0" fontId="78" fillId="0" borderId="108" applyNumberFormat="0" applyFill="0" applyAlignment="0" applyProtection="0"/>
    <xf numFmtId="0" fontId="76" fillId="32" borderId="107" applyNumberFormat="0" applyAlignment="0" applyProtection="0"/>
    <xf numFmtId="0" fontId="66" fillId="32" borderId="105" applyNumberFormat="0" applyAlignment="0" applyProtection="0"/>
    <xf numFmtId="0" fontId="78" fillId="0" borderId="108" applyNumberFormat="0" applyFill="0" applyAlignment="0" applyProtection="0"/>
    <xf numFmtId="0" fontId="76" fillId="32" borderId="107" applyNumberFormat="0" applyAlignment="0" applyProtection="0"/>
    <xf numFmtId="0" fontId="30" fillId="35" borderId="106" applyNumberFormat="0" applyFont="0" applyAlignment="0" applyProtection="0"/>
    <xf numFmtId="0" fontId="73" fillId="19" borderId="105" applyNumberFormat="0" applyAlignment="0" applyProtection="0"/>
    <xf numFmtId="0" fontId="66" fillId="32" borderId="105" applyNumberFormat="0" applyAlignment="0" applyProtection="0"/>
    <xf numFmtId="0" fontId="73" fillId="19" borderId="105" applyNumberFormat="0" applyAlignment="0" applyProtection="0"/>
    <xf numFmtId="0" fontId="30" fillId="35" borderId="106" applyNumberFormat="0" applyFont="0" applyAlignment="0" applyProtection="0"/>
    <xf numFmtId="0" fontId="238" fillId="35" borderId="106" applyNumberFormat="0" applyFont="0" applyAlignment="0" applyProtection="0"/>
    <xf numFmtId="0" fontId="76" fillId="42" borderId="107" applyNumberFormat="0" applyAlignment="0" applyProtection="0"/>
    <xf numFmtId="0" fontId="76" fillId="32" borderId="107" applyNumberFormat="0" applyAlignment="0" applyProtection="0"/>
    <xf numFmtId="0" fontId="78" fillId="0" borderId="108" applyNumberFormat="0" applyFill="0" applyAlignment="0" applyProtection="0"/>
    <xf numFmtId="0" fontId="30" fillId="35" borderId="106" applyNumberFormat="0" applyFont="0" applyAlignment="0" applyProtection="0"/>
    <xf numFmtId="0" fontId="76" fillId="42" borderId="107" applyNumberFormat="0" applyAlignment="0" applyProtection="0"/>
    <xf numFmtId="0" fontId="78" fillId="0" borderId="104" applyNumberFormat="0" applyFill="0" applyAlignment="0" applyProtection="0"/>
    <xf numFmtId="0" fontId="30" fillId="0" borderId="0"/>
    <xf numFmtId="0" fontId="2" fillId="0" borderId="0"/>
    <xf numFmtId="0" fontId="260" fillId="0" borderId="80">
      <alignment horizontal="center" wrapText="1"/>
    </xf>
    <xf numFmtId="183" fontId="44" fillId="38" borderId="0" applyNumberFormat="0" applyBorder="0" applyAlignment="0">
      <protection locked="0"/>
    </xf>
    <xf numFmtId="3" fontId="42" fillId="0" borderId="102" applyNumberForma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0" fillId="35" borderId="106" applyNumberFormat="0" applyFont="0" applyAlignment="0" applyProtection="0"/>
    <xf numFmtId="0" fontId="238" fillId="35" borderId="106" applyNumberFormat="0" applyFont="0" applyAlignment="0" applyProtection="0"/>
    <xf numFmtId="0" fontId="76" fillId="42" borderId="107" applyNumberFormat="0" applyAlignment="0" applyProtection="0"/>
    <xf numFmtId="0" fontId="76" fillId="32" borderId="107" applyNumberFormat="0" applyAlignment="0" applyProtection="0"/>
    <xf numFmtId="0" fontId="78" fillId="0" borderId="104" applyNumberFormat="0" applyFill="0" applyAlignment="0" applyProtection="0"/>
    <xf numFmtId="0" fontId="78" fillId="0" borderId="108" applyNumberFormat="0" applyFill="0" applyAlignment="0" applyProtection="0"/>
    <xf numFmtId="0" fontId="78" fillId="0" borderId="108" applyNumberFormat="0" applyFill="0" applyAlignment="0" applyProtection="0"/>
    <xf numFmtId="0" fontId="73" fillId="19" borderId="105" applyNumberFormat="0" applyAlignment="0" applyProtection="0"/>
    <xf numFmtId="0" fontId="73" fillId="19" borderId="105" applyNumberFormat="0" applyAlignment="0" applyProtection="0"/>
    <xf numFmtId="0" fontId="66" fillId="32" borderId="105" applyNumberFormat="0" applyAlignment="0" applyProtection="0"/>
    <xf numFmtId="0" fontId="66" fillId="32" borderId="105" applyNumberFormat="0" applyAlignment="0" applyProtection="0"/>
    <xf numFmtId="0" fontId="66" fillId="42" borderId="105" applyNumberFormat="0" applyAlignment="0" applyProtection="0"/>
    <xf numFmtId="0" fontId="30" fillId="35" borderId="106" applyNumberFormat="0" applyFont="0" applyAlignment="0" applyProtection="0"/>
    <xf numFmtId="0" fontId="76" fillId="32" borderId="107" applyNumberFormat="0" applyAlignment="0" applyProtection="0"/>
    <xf numFmtId="0" fontId="238" fillId="35" borderId="106" applyNumberFormat="0" applyFont="0" applyAlignment="0" applyProtection="0"/>
    <xf numFmtId="0" fontId="66" fillId="42" borderId="105" applyNumberFormat="0" applyAlignment="0" applyProtection="0"/>
    <xf numFmtId="0" fontId="78" fillId="0" borderId="108" applyNumberFormat="0" applyFill="0" applyAlignment="0" applyProtection="0"/>
    <xf numFmtId="0" fontId="76" fillId="32" borderId="107" applyNumberFormat="0" applyAlignment="0" applyProtection="0"/>
    <xf numFmtId="0" fontId="66" fillId="32" borderId="105" applyNumberFormat="0" applyAlignment="0" applyProtection="0"/>
    <xf numFmtId="0" fontId="78" fillId="0" borderId="108" applyNumberFormat="0" applyFill="0" applyAlignment="0" applyProtection="0"/>
    <xf numFmtId="0" fontId="76" fillId="32" borderId="107" applyNumberFormat="0" applyAlignment="0" applyProtection="0"/>
    <xf numFmtId="0" fontId="30" fillId="35" borderId="106" applyNumberFormat="0" applyFont="0" applyAlignment="0" applyProtection="0"/>
    <xf numFmtId="0" fontId="73" fillId="19" borderId="105" applyNumberFormat="0" applyAlignment="0" applyProtection="0"/>
    <xf numFmtId="0" fontId="66" fillId="32" borderId="105" applyNumberFormat="0" applyAlignment="0" applyProtection="0"/>
    <xf numFmtId="0" fontId="73" fillId="19" borderId="105" applyNumberFormat="0" applyAlignment="0" applyProtection="0"/>
    <xf numFmtId="0" fontId="30" fillId="35" borderId="106" applyNumberFormat="0" applyFont="0" applyAlignment="0" applyProtection="0"/>
    <xf numFmtId="0" fontId="238" fillId="35" borderId="106" applyNumberFormat="0" applyFont="0" applyAlignment="0" applyProtection="0"/>
    <xf numFmtId="0" fontId="76" fillId="42" borderId="107" applyNumberFormat="0" applyAlignment="0" applyProtection="0"/>
    <xf numFmtId="0" fontId="76" fillId="32" borderId="107" applyNumberFormat="0" applyAlignment="0" applyProtection="0"/>
    <xf numFmtId="0" fontId="78" fillId="0" borderId="108" applyNumberFormat="0" applyFill="0" applyAlignment="0" applyProtection="0"/>
    <xf numFmtId="0" fontId="30" fillId="35" borderId="106" applyNumberFormat="0" applyFont="0" applyAlignment="0" applyProtection="0"/>
    <xf numFmtId="0" fontId="76" fillId="42" borderId="107" applyNumberFormat="0" applyAlignment="0" applyProtection="0"/>
    <xf numFmtId="0" fontId="78" fillId="0" borderId="104" applyNumberFormat="0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6" fillId="32" borderId="105" applyNumberFormat="0" applyAlignment="0" applyProtection="0"/>
    <xf numFmtId="0" fontId="73" fillId="19" borderId="105" applyNumberFormat="0" applyAlignment="0" applyProtection="0"/>
    <xf numFmtId="0" fontId="30" fillId="35" borderId="106" applyNumberFormat="0" applyFont="0" applyAlignment="0" applyProtection="0"/>
    <xf numFmtId="0" fontId="76" fillId="32" borderId="107" applyNumberFormat="0" applyAlignment="0" applyProtection="0"/>
    <xf numFmtId="0" fontId="78" fillId="0" borderId="108" applyNumberFormat="0" applyFill="0" applyAlignment="0" applyProtection="0"/>
    <xf numFmtId="0" fontId="66" fillId="42" borderId="105" applyNumberFormat="0" applyAlignment="0" applyProtection="0"/>
    <xf numFmtId="0" fontId="66" fillId="32" borderId="105" applyNumberFormat="0" applyAlignment="0" applyProtection="0"/>
    <xf numFmtId="0" fontId="73" fillId="19" borderId="105" applyNumberFormat="0" applyAlignment="0" applyProtection="0"/>
    <xf numFmtId="0" fontId="30" fillId="35" borderId="106" applyNumberFormat="0" applyFont="0" applyAlignment="0" applyProtection="0"/>
    <xf numFmtId="0" fontId="238" fillId="35" borderId="106" applyNumberFormat="0" applyFont="0" applyAlignment="0" applyProtection="0"/>
    <xf numFmtId="0" fontId="76" fillId="42" borderId="107" applyNumberFormat="0" applyAlignment="0" applyProtection="0"/>
    <xf numFmtId="0" fontId="76" fillId="32" borderId="107" applyNumberFormat="0" applyAlignment="0" applyProtection="0"/>
    <xf numFmtId="0" fontId="78" fillId="0" borderId="104" applyNumberFormat="0" applyFill="0" applyAlignment="0" applyProtection="0"/>
    <xf numFmtId="0" fontId="78" fillId="0" borderId="108" applyNumberFormat="0" applyFill="0" applyAlignment="0" applyProtection="0"/>
    <xf numFmtId="0" fontId="78" fillId="0" borderId="108" applyNumberFormat="0" applyFill="0" applyAlignment="0" applyProtection="0"/>
    <xf numFmtId="0" fontId="73" fillId="19" borderId="105" applyNumberFormat="0" applyAlignment="0" applyProtection="0"/>
    <xf numFmtId="0" fontId="73" fillId="19" borderId="105" applyNumberFormat="0" applyAlignment="0" applyProtection="0"/>
    <xf numFmtId="0" fontId="66" fillId="32" borderId="105" applyNumberFormat="0" applyAlignment="0" applyProtection="0"/>
    <xf numFmtId="0" fontId="66" fillId="32" borderId="105" applyNumberFormat="0" applyAlignment="0" applyProtection="0"/>
    <xf numFmtId="0" fontId="66" fillId="42" borderId="105" applyNumberFormat="0" applyAlignment="0" applyProtection="0"/>
    <xf numFmtId="0" fontId="30" fillId="35" borderId="106" applyNumberFormat="0" applyFont="0" applyAlignment="0" applyProtection="0"/>
    <xf numFmtId="0" fontId="76" fillId="32" borderId="107" applyNumberFormat="0" applyAlignment="0" applyProtection="0"/>
    <xf numFmtId="0" fontId="238" fillId="35" borderId="106" applyNumberFormat="0" applyFont="0" applyAlignment="0" applyProtection="0"/>
    <xf numFmtId="0" fontId="66" fillId="42" borderId="105" applyNumberFormat="0" applyAlignment="0" applyProtection="0"/>
    <xf numFmtId="0" fontId="78" fillId="0" borderId="108" applyNumberFormat="0" applyFill="0" applyAlignment="0" applyProtection="0"/>
    <xf numFmtId="0" fontId="76" fillId="32" borderId="107" applyNumberFormat="0" applyAlignment="0" applyProtection="0"/>
    <xf numFmtId="0" fontId="66" fillId="32" borderId="105" applyNumberFormat="0" applyAlignment="0" applyProtection="0"/>
    <xf numFmtId="0" fontId="78" fillId="0" borderId="108" applyNumberFormat="0" applyFill="0" applyAlignment="0" applyProtection="0"/>
    <xf numFmtId="0" fontId="76" fillId="32" borderId="107" applyNumberFormat="0" applyAlignment="0" applyProtection="0"/>
    <xf numFmtId="0" fontId="30" fillId="35" borderId="106" applyNumberFormat="0" applyFont="0" applyAlignment="0" applyProtection="0"/>
    <xf numFmtId="0" fontId="73" fillId="19" borderId="105" applyNumberFormat="0" applyAlignment="0" applyProtection="0"/>
    <xf numFmtId="0" fontId="66" fillId="32" borderId="105" applyNumberFormat="0" applyAlignment="0" applyProtection="0"/>
    <xf numFmtId="0" fontId="73" fillId="19" borderId="105" applyNumberFormat="0" applyAlignment="0" applyProtection="0"/>
    <xf numFmtId="0" fontId="30" fillId="35" borderId="106" applyNumberFormat="0" applyFont="0" applyAlignment="0" applyProtection="0"/>
    <xf numFmtId="0" fontId="238" fillId="35" borderId="106" applyNumberFormat="0" applyFont="0" applyAlignment="0" applyProtection="0"/>
    <xf numFmtId="0" fontId="76" fillId="42" borderId="107" applyNumberFormat="0" applyAlignment="0" applyProtection="0"/>
    <xf numFmtId="0" fontId="76" fillId="32" borderId="107" applyNumberFormat="0" applyAlignment="0" applyProtection="0"/>
    <xf numFmtId="0" fontId="78" fillId="0" borderId="108" applyNumberFormat="0" applyFill="0" applyAlignment="0" applyProtection="0"/>
    <xf numFmtId="0" fontId="30" fillId="35" borderId="106" applyNumberFormat="0" applyFont="0" applyAlignment="0" applyProtection="0"/>
    <xf numFmtId="0" fontId="76" fillId="42" borderId="107" applyNumberFormat="0" applyAlignment="0" applyProtection="0"/>
    <xf numFmtId="0" fontId="78" fillId="0" borderId="104" applyNumberFormat="0" applyFill="0" applyAlignment="0" applyProtection="0"/>
    <xf numFmtId="0" fontId="3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0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3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7" fillId="0" borderId="0"/>
    <xf numFmtId="0" fontId="262" fillId="0" borderId="0"/>
    <xf numFmtId="0" fontId="218" fillId="0" borderId="0" applyFill="0" applyBorder="0" applyProtection="0">
      <alignment horizontal="right"/>
    </xf>
    <xf numFmtId="208" fontId="13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200" fontId="183" fillId="0" borderId="0" applyFont="0" applyFill="0" applyBorder="0" applyAlignment="0" applyProtection="0"/>
    <xf numFmtId="0" fontId="34" fillId="0" borderId="119" applyNumberFormat="0" applyFill="0" applyAlignment="0" applyProtection="0"/>
    <xf numFmtId="37" fontId="44" fillId="6" borderId="0" applyNumberFormat="0" applyBorder="0" applyAlignment="0">
      <protection locked="0"/>
    </xf>
    <xf numFmtId="0" fontId="38" fillId="0" borderId="0"/>
    <xf numFmtId="0" fontId="85" fillId="0" borderId="0" applyNumberFormat="0" applyFill="0" applyBorder="0" applyProtection="0">
      <alignment horizontal="centerContinuous"/>
    </xf>
    <xf numFmtId="43" fontId="2" fillId="0" borderId="0" applyFont="0" applyFill="0" applyBorder="0" applyAlignment="0" applyProtection="0"/>
    <xf numFmtId="7" fontId="2" fillId="0" borderId="0" applyFont="0" applyFill="0" applyBorder="0" applyAlignment="0" applyProtection="0"/>
    <xf numFmtId="198" fontId="18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64" fillId="46" borderId="0" applyNumberFormat="0" applyBorder="0" applyProtection="0">
      <alignment horizontal="left" vertical="center"/>
    </xf>
    <xf numFmtId="0" fontId="84" fillId="0" borderId="42" applyNumberFormat="0" applyFill="0" applyProtection="0">
      <alignment horizontal="center"/>
    </xf>
    <xf numFmtId="0" fontId="158" fillId="0" borderId="120" applyNumberFormat="0" applyFill="0" applyProtection="0">
      <alignment horizontal="center" vertical="center"/>
    </xf>
    <xf numFmtId="0" fontId="2" fillId="0" borderId="0" applyFont="0" applyFill="0" applyBorder="0" applyAlignment="0" applyProtection="0"/>
    <xf numFmtId="286" fontId="183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1" fillId="0" borderId="0" applyFont="0" applyFill="0" applyBorder="0" applyAlignment="0" applyProtection="0"/>
    <xf numFmtId="283" fontId="31" fillId="0" borderId="0" applyBorder="0"/>
    <xf numFmtId="0" fontId="2" fillId="0" borderId="0"/>
    <xf numFmtId="293" fontId="2" fillId="0" borderId="0" applyFont="0" applyFill="0" applyBorder="0" applyAlignment="0" applyProtection="0"/>
    <xf numFmtId="197" fontId="183" fillId="0" borderId="0" applyFont="0" applyFill="0" applyBorder="0" applyAlignment="0" applyProtection="0"/>
    <xf numFmtId="0" fontId="38" fillId="0" borderId="0"/>
    <xf numFmtId="0" fontId="2" fillId="0" borderId="0" applyFont="0" applyFill="0" applyBorder="0" applyAlignment="0" applyProtection="0"/>
    <xf numFmtId="0" fontId="266" fillId="0" borderId="119"/>
    <xf numFmtId="204" fontId="183" fillId="0" borderId="0" applyFont="0" applyFill="0" applyBorder="0" applyProtection="0">
      <alignment horizontal="right"/>
    </xf>
    <xf numFmtId="43" fontId="1" fillId="0" borderId="0" applyFont="0" applyFill="0" applyBorder="0" applyAlignment="0" applyProtection="0"/>
    <xf numFmtId="297" fontId="267" fillId="0" borderId="0" applyFont="0" applyFill="0" applyBorder="0" applyAlignment="0" applyProtection="0"/>
    <xf numFmtId="201" fontId="18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84" fillId="0" borderId="42" applyNumberFormat="0" applyFill="0" applyProtection="0">
      <alignment horizontal="center"/>
    </xf>
    <xf numFmtId="0" fontId="2" fillId="0" borderId="0" applyFont="0" applyFill="0" applyBorder="0" applyAlignment="0" applyProtection="0"/>
    <xf numFmtId="0" fontId="269" fillId="0" borderId="0" applyNumberFormat="0" applyFont="0" applyFill="0" applyBorder="0" applyAlignment="0">
      <alignment horizontal="left" vertical="center"/>
    </xf>
    <xf numFmtId="0" fontId="1" fillId="0" borderId="0"/>
    <xf numFmtId="0" fontId="2" fillId="0" borderId="0" applyNumberFormat="0" applyFont="0" applyFill="0" applyBorder="0" applyAlignment="0" applyProtection="0"/>
    <xf numFmtId="40" fontId="13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37" fontId="44" fillId="6" borderId="0" applyNumberFormat="0" applyBorder="0" applyAlignment="0">
      <protection locked="0"/>
    </xf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62" fillId="0" borderId="0">
      <protection locked="0"/>
    </xf>
    <xf numFmtId="1" fontId="270" fillId="0" borderId="0" applyFont="0" applyFill="0" applyBorder="0" applyAlignment="0" applyProtection="0">
      <alignment horizontal="left" wrapText="1"/>
    </xf>
    <xf numFmtId="0" fontId="162" fillId="0" borderId="0">
      <protection locked="0"/>
    </xf>
    <xf numFmtId="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1" fillId="0" borderId="0"/>
    <xf numFmtId="199" fontId="183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" fillId="0" borderId="0"/>
    <xf numFmtId="0" fontId="271" fillId="0" borderId="0" applyNumberFormat="0" applyFill="0" applyBorder="0" applyProtection="0">
      <alignment horizontal="right" vertical="center"/>
    </xf>
    <xf numFmtId="0" fontId="2" fillId="0" borderId="0" applyFont="0" applyFill="0" applyBorder="0" applyAlignment="0" applyProtection="0"/>
    <xf numFmtId="0" fontId="162" fillId="0" borderId="0">
      <protection locked="0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8" fillId="0" borderId="0"/>
    <xf numFmtId="201" fontId="2" fillId="0" borderId="0" applyFont="0" applyFill="0" applyBorder="0" applyAlignment="0" applyProtection="0"/>
    <xf numFmtId="0" fontId="27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0" fontId="162" fillId="0" borderId="0">
      <protection locked="0"/>
    </xf>
    <xf numFmtId="9" fontId="1" fillId="0" borderId="0" applyFont="0" applyFill="0" applyBorder="0" applyAlignment="0" applyProtection="0"/>
    <xf numFmtId="20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3" fillId="0" borderId="10" applyNumberFormat="0" applyAlignment="0" applyProtection="0">
      <alignment horizontal="left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98" fontId="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91" fontId="255" fillId="0" borderId="118" applyFont="0" applyFill="0" applyBorder="0" applyAlignment="0" applyProtection="0"/>
    <xf numFmtId="40" fontId="2" fillId="0" borderId="0" applyFont="0" applyFill="0" applyBorder="0" applyProtection="0">
      <alignment horizontal="right"/>
    </xf>
    <xf numFmtId="0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201" fontId="2" fillId="0" borderId="0" applyFont="0" applyFill="0" applyBorder="0" applyAlignment="0" applyProtection="0"/>
    <xf numFmtId="3" fontId="33" fillId="0" borderId="0"/>
    <xf numFmtId="0" fontId="258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" fillId="0" borderId="0"/>
    <xf numFmtId="201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0" fontId="31" fillId="38" borderId="111" applyNumberFormat="0" applyBorder="0" applyAlignment="0" applyProtection="0"/>
    <xf numFmtId="44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84" fillId="0" borderId="42" applyNumberFormat="0" applyFill="0" applyProtection="0">
      <alignment horizontal="center"/>
    </xf>
    <xf numFmtId="0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76" fillId="0" borderId="0" applyNumberFormat="0">
      <alignment horizontal="left"/>
    </xf>
    <xf numFmtId="0" fontId="1" fillId="0" borderId="0"/>
    <xf numFmtId="0" fontId="183" fillId="68" borderId="0" applyNumberFormat="0" applyFont="0" applyAlignment="0" applyProtection="0"/>
    <xf numFmtId="0" fontId="1" fillId="0" borderId="0"/>
    <xf numFmtId="203" fontId="18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62" fillId="0" borderId="41" applyNumberFormat="0" applyFill="0" applyAlignment="0" applyProtection="0"/>
    <xf numFmtId="0" fontId="84" fillId="0" borderId="42" applyNumberFormat="0" applyFill="0" applyProtection="0">
      <alignment horizontal="center"/>
    </xf>
    <xf numFmtId="14" fontId="278" fillId="0" borderId="0">
      <alignment horizontal="right"/>
    </xf>
    <xf numFmtId="0" fontId="1" fillId="0" borderId="0"/>
    <xf numFmtId="0" fontId="84" fillId="0" borderId="42" applyNumberFormat="0" applyFill="0" applyProtection="0">
      <alignment horizontal="center"/>
    </xf>
    <xf numFmtId="0" fontId="85" fillId="0" borderId="0" applyNumberFormat="0" applyFill="0" applyBorder="0" applyProtection="0">
      <alignment horizontal="centerContinuous"/>
    </xf>
    <xf numFmtId="0" fontId="162" fillId="0" borderId="0">
      <protection locked="0"/>
    </xf>
    <xf numFmtId="0" fontId="85" fillId="0" borderId="0" applyNumberFormat="0" applyFill="0" applyBorder="0" applyProtection="0">
      <alignment horizontal="centerContinuous"/>
    </xf>
    <xf numFmtId="44" fontId="1" fillId="0" borderId="0" applyFont="0" applyFill="0" applyBorder="0" applyAlignment="0" applyProtection="0"/>
    <xf numFmtId="167" fontId="279" fillId="0" borderId="122" applyNumberFormat="0" applyAlignment="0" applyProtection="0">
      <alignment vertical="top"/>
    </xf>
    <xf numFmtId="170" fontId="270" fillId="0" borderId="0" applyFont="0" applyFill="0" applyBorder="0" applyAlignment="0" applyProtection="0">
      <alignment horizontal="left" wrapText="1"/>
    </xf>
    <xf numFmtId="170" fontId="131" fillId="0" borderId="0"/>
    <xf numFmtId="296" fontId="31" fillId="0" borderId="0"/>
    <xf numFmtId="282" fontId="149" fillId="0" borderId="0" applyFont="0" applyFill="0" applyBorder="0" applyAlignment="0" applyProtection="0"/>
    <xf numFmtId="290" fontId="149" fillId="0" borderId="0" applyFont="0" applyFill="0" applyBorder="0" applyAlignment="0" applyProtection="0"/>
    <xf numFmtId="38" fontId="31" fillId="7" borderId="0" applyNumberFormat="0" applyBorder="0" applyAlignment="0" applyProtection="0"/>
    <xf numFmtId="0" fontId="131" fillId="0" borderId="100"/>
    <xf numFmtId="208" fontId="13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9" fillId="0" borderId="119" applyNumberFormat="0" applyFill="0" applyBorder="0" applyProtection="0">
      <alignment horizontal="right" vertical="center"/>
    </xf>
    <xf numFmtId="0" fontId="280" fillId="0" borderId="0" applyNumberFormat="0" applyFill="0" applyBorder="0" applyAlignment="0" applyProtection="0"/>
    <xf numFmtId="208" fontId="255" fillId="0" borderId="0" applyNumberFormat="0" applyFill="0" applyBorder="0" applyAlignment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8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3" fontId="33" fillId="0" borderId="0"/>
    <xf numFmtId="0" fontId="263" fillId="0" borderId="0"/>
    <xf numFmtId="0" fontId="162" fillId="0" borderId="0">
      <protection locked="0"/>
    </xf>
    <xf numFmtId="0" fontId="283" fillId="0" borderId="123" applyFill="0" applyProtection="0">
      <alignment horizontal="right"/>
    </xf>
    <xf numFmtId="0" fontId="35" fillId="0" borderId="124" applyNumberFormat="0" applyFill="0" applyAlignment="0">
      <alignment horizontal="center" vertical="center"/>
    </xf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8" fontId="226" fillId="0" borderId="0" applyFont="0" applyFill="0" applyBorder="0" applyAlignment="0" applyProtection="0"/>
    <xf numFmtId="0" fontId="1" fillId="0" borderId="0"/>
    <xf numFmtId="8" fontId="2" fillId="0" borderId="24" applyFont="0" applyFill="0" applyBorder="0" applyProtection="0">
      <alignment horizontal="right"/>
    </xf>
    <xf numFmtId="0" fontId="275" fillId="0" borderId="120" applyNumberFormat="0" applyFill="0" applyProtection="0">
      <alignment horizontal="center" vertical="center"/>
    </xf>
    <xf numFmtId="0" fontId="285" fillId="0" borderId="119" applyNumberFormat="0" applyFill="0" applyBorder="0" applyProtection="0">
      <alignment horizontal="right" vertical="center"/>
    </xf>
    <xf numFmtId="167" fontId="279" fillId="0" borderId="122" applyNumberFormat="0" applyAlignment="0" applyProtection="0">
      <alignment vertical="top"/>
    </xf>
    <xf numFmtId="298" fontId="2" fillId="0" borderId="0"/>
    <xf numFmtId="298" fontId="2" fillId="0" borderId="0"/>
    <xf numFmtId="303" fontId="286" fillId="0" borderId="0" applyFill="0" applyBorder="0" applyAlignment="0" applyProtection="0"/>
    <xf numFmtId="298" fontId="2" fillId="0" borderId="0"/>
    <xf numFmtId="10" fontId="31" fillId="38" borderId="131" applyNumberFormat="0" applyBorder="0" applyAlignment="0" applyProtection="0"/>
    <xf numFmtId="43" fontId="1" fillId="0" borderId="0" applyFont="0" applyFill="0" applyBorder="0" applyAlignment="0" applyProtection="0"/>
    <xf numFmtId="298" fontId="2" fillId="0" borderId="0"/>
    <xf numFmtId="298" fontId="2" fillId="0" borderId="0"/>
    <xf numFmtId="14" fontId="226" fillId="0" borderId="0" applyFont="0" applyFill="0" applyBorder="0" applyAlignment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98" fontId="2" fillId="0" borderId="0"/>
    <xf numFmtId="43" fontId="1" fillId="0" borderId="0" applyFont="0" applyFill="0" applyBorder="0" applyAlignment="0" applyProtection="0"/>
    <xf numFmtId="298" fontId="2" fillId="0" borderId="0"/>
    <xf numFmtId="19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38" fillId="0" borderId="0"/>
    <xf numFmtId="43" fontId="1" fillId="0" borderId="0" applyFont="0" applyFill="0" applyBorder="0" applyAlignment="0" applyProtection="0"/>
    <xf numFmtId="0" fontId="1" fillId="0" borderId="0"/>
    <xf numFmtId="43" fontId="63" fillId="0" borderId="0" applyFont="0" applyFill="0" applyBorder="0" applyAlignment="0" applyProtection="0"/>
    <xf numFmtId="0" fontId="6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27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8" fillId="0" borderId="0"/>
    <xf numFmtId="0" fontId="131" fillId="0" borderId="2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287" fillId="0" borderId="0"/>
    <xf numFmtId="0" fontId="270" fillId="0" borderId="0"/>
    <xf numFmtId="300" fontId="131" fillId="0" borderId="0" applyFont="0" applyFill="0" applyBorder="0" applyAlignment="0" applyProtection="0"/>
    <xf numFmtId="0" fontId="287" fillId="0" borderId="0"/>
    <xf numFmtId="0" fontId="272" fillId="0" borderId="0"/>
    <xf numFmtId="0" fontId="270" fillId="0" borderId="0"/>
    <xf numFmtId="37" fontId="197" fillId="0" borderId="0"/>
    <xf numFmtId="3" fontId="268" fillId="0" borderId="0">
      <alignment horizontal="left"/>
    </xf>
    <xf numFmtId="5" fontId="22" fillId="10" borderId="125" applyNumberFormat="0">
      <alignment horizontal="left" vertical="center"/>
      <protection locked="0"/>
    </xf>
    <xf numFmtId="3" fontId="288" fillId="0" borderId="4" applyNumberFormat="0" applyProtection="0"/>
    <xf numFmtId="0" fontId="272" fillId="0" borderId="0"/>
    <xf numFmtId="299" fontId="2" fillId="0" borderId="0" applyFont="0" applyFill="0" applyBorder="0" applyProtection="0">
      <alignment horizontal="right"/>
    </xf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41" borderId="126" applyNumberFormat="0" applyProtection="0">
      <alignment horizontal="left" vertical="center" wrapText="1" indent="1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03" fontId="28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0" fontId="31" fillId="38" borderId="111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72" fillId="0" borderId="0"/>
    <xf numFmtId="44" fontId="1" fillId="0" borderId="0" applyFont="0" applyFill="0" applyBorder="0" applyAlignment="0" applyProtection="0"/>
    <xf numFmtId="10" fontId="31" fillId="38" borderId="111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" fontId="274" fillId="0" borderId="0"/>
    <xf numFmtId="38" fontId="274" fillId="0" borderId="0" applyFill="0" applyBorder="0" applyAlignment="0" applyProtection="0"/>
    <xf numFmtId="14" fontId="274" fillId="0" borderId="0" applyFont="0"/>
    <xf numFmtId="281" fontId="2" fillId="0" borderId="0" applyFont="0" applyFill="0" applyBorder="0" applyProtection="0">
      <alignment horizontal="right"/>
    </xf>
    <xf numFmtId="292" fontId="261" fillId="0" borderId="0">
      <protection locked="0"/>
    </xf>
    <xf numFmtId="269" fontId="226" fillId="0" borderId="0" applyFont="0" applyFill="0" applyBorder="0" applyAlignment="0" applyProtection="0">
      <alignment horizontal="center"/>
    </xf>
    <xf numFmtId="42" fontId="290" fillId="0" borderId="0"/>
    <xf numFmtId="289" fontId="290" fillId="0" borderId="0"/>
    <xf numFmtId="302" fontId="2" fillId="0" borderId="0" applyFont="0" applyFill="0" applyBorder="0" applyAlignment="0" applyProtection="0"/>
    <xf numFmtId="0" fontId="162" fillId="0" borderId="0">
      <protection locked="0"/>
    </xf>
    <xf numFmtId="0" fontId="162" fillId="0" borderId="0">
      <protection locked="0"/>
    </xf>
    <xf numFmtId="9" fontId="1" fillId="0" borderId="0" applyFont="0" applyFill="0" applyBorder="0" applyAlignment="0" applyProtection="0"/>
    <xf numFmtId="5" fontId="104" fillId="0" borderId="0"/>
    <xf numFmtId="42" fontId="89" fillId="0" borderId="0"/>
    <xf numFmtId="6" fontId="131" fillId="0" borderId="0" applyFont="0" applyFill="0" applyBorder="0" applyAlignment="0" applyProtection="0"/>
    <xf numFmtId="0" fontId="31" fillId="68" borderId="0" applyNumberFormat="0" applyFont="0" applyBorder="0" applyAlignment="0" applyProtection="0"/>
    <xf numFmtId="0" fontId="273" fillId="0" borderId="0">
      <protection locked="0"/>
    </xf>
    <xf numFmtId="0" fontId="265" fillId="0" borderId="0" applyNumberFormat="0" applyFill="0" applyBorder="0" applyProtection="0">
      <alignment horizontal="left" vertical="center"/>
    </xf>
    <xf numFmtId="0" fontId="273" fillId="0" borderId="0">
      <protection locked="0"/>
    </xf>
    <xf numFmtId="0" fontId="63" fillId="0" borderId="0"/>
    <xf numFmtId="189" fontId="89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162" fillId="0" borderId="0">
      <protection locked="0"/>
    </xf>
    <xf numFmtId="0" fontId="162" fillId="0" borderId="0">
      <protection locked="0"/>
    </xf>
    <xf numFmtId="0" fontId="162" fillId="0" borderId="0">
      <protection locked="0"/>
    </xf>
    <xf numFmtId="302" fontId="2" fillId="0" borderId="0" applyFont="0" applyFill="0" applyBorder="0" applyAlignment="0" applyProtection="0"/>
    <xf numFmtId="1" fontId="2" fillId="0" borderId="0" applyFont="0" applyFill="0" applyBorder="0" applyAlignment="0"/>
    <xf numFmtId="0" fontId="1" fillId="0" borderId="0"/>
    <xf numFmtId="38" fontId="31" fillId="7" borderId="0" applyNumberFormat="0" applyBorder="0" applyAlignment="0" applyProtection="0"/>
    <xf numFmtId="0" fontId="289" fillId="1" borderId="0" applyNumberFormat="0" applyBorder="0" applyProtection="0">
      <alignment horizontal="left" vertical="center"/>
    </xf>
    <xf numFmtId="0" fontId="1" fillId="0" borderId="0"/>
    <xf numFmtId="0" fontId="33" fillId="0" borderId="10" applyNumberFormat="0" applyAlignment="0" applyProtection="0">
      <alignment horizontal="left"/>
    </xf>
    <xf numFmtId="0" fontId="33" fillId="0" borderId="10" applyNumberFormat="0" applyAlignment="0" applyProtection="0">
      <alignment horizontal="left"/>
    </xf>
    <xf numFmtId="0" fontId="33" fillId="0" borderId="116">
      <alignment horizontal="left"/>
    </xf>
    <xf numFmtId="0" fontId="33" fillId="0" borderId="116">
      <alignment horizontal="left"/>
    </xf>
    <xf numFmtId="0" fontId="33" fillId="0" borderId="116">
      <alignment horizontal="left"/>
    </xf>
    <xf numFmtId="0" fontId="88" fillId="0" borderId="4"/>
    <xf numFmtId="284" fontId="277" fillId="0" borderId="0" applyFont="0" applyFill="0" applyBorder="0" applyAlignment="0" applyProtection="0">
      <alignment horizontal="right"/>
    </xf>
    <xf numFmtId="5" fontId="282" fillId="0" borderId="0" applyNumberFormat="0" applyFill="0" applyBorder="0" applyAlignment="0" applyProtection="0"/>
    <xf numFmtId="0" fontId="61" fillId="0" borderId="0"/>
    <xf numFmtId="0" fontId="1" fillId="0" borderId="0"/>
    <xf numFmtId="294" fontId="2" fillId="0" borderId="0" applyFont="0" applyFill="0" applyBorder="0" applyAlignment="0" applyProtection="0"/>
    <xf numFmtId="288" fontId="2" fillId="0" borderId="0" applyFont="0" applyFill="0" applyBorder="0" applyAlignment="0" applyProtection="0"/>
    <xf numFmtId="285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9" fontId="1" fillId="0" borderId="0" applyFont="0" applyFill="0" applyBorder="0" applyAlignment="0" applyProtection="0"/>
    <xf numFmtId="0" fontId="38" fillId="0" borderId="0"/>
    <xf numFmtId="0" fontId="1" fillId="0" borderId="0"/>
    <xf numFmtId="0" fontId="2" fillId="0" borderId="0"/>
    <xf numFmtId="0" fontId="2" fillId="0" borderId="0"/>
    <xf numFmtId="175" fontId="89" fillId="0" borderId="0"/>
    <xf numFmtId="0" fontId="1" fillId="0" borderId="0"/>
    <xf numFmtId="4" fontId="38" fillId="74" borderId="126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91" fillId="0" borderId="127" applyNumberFormat="0" applyFill="0" applyBorder="0" applyAlignment="0">
      <protection locked="0"/>
    </xf>
    <xf numFmtId="0" fontId="1" fillId="0" borderId="0"/>
    <xf numFmtId="0" fontId="1" fillId="0" borderId="0"/>
    <xf numFmtId="175" fontId="89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7" fillId="0" borderId="0" applyNumberFormat="0" applyFont="0" applyFill="0" applyBorder="0" applyAlignment="0">
      <alignment horizontal="left" vertical="center"/>
    </xf>
    <xf numFmtId="301" fontId="2" fillId="0" borderId="0"/>
    <xf numFmtId="301" fontId="2" fillId="0" borderId="0"/>
    <xf numFmtId="0" fontId="1" fillId="0" borderId="0"/>
    <xf numFmtId="0" fontId="1" fillId="0" borderId="0"/>
    <xf numFmtId="304" fontId="270" fillId="0" borderId="0">
      <alignment vertical="top" wrapText="1"/>
    </xf>
    <xf numFmtId="0" fontId="292" fillId="0" borderId="0" applyNumberFormat="0" applyFill="0" applyBorder="0" applyAlignment="0" applyProtection="0"/>
    <xf numFmtId="3" fontId="30" fillId="0" borderId="121"/>
    <xf numFmtId="0" fontId="270" fillId="0" borderId="0">
      <alignment vertical="top" wrapText="1"/>
    </xf>
    <xf numFmtId="0" fontId="272" fillId="0" borderId="0"/>
    <xf numFmtId="287" fontId="31" fillId="0" borderId="0">
      <alignment horizontal="right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52" fillId="0" borderId="116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8" fillId="0" borderId="0" applyFont="0" applyFill="0" applyBorder="0" applyAlignment="0" applyProtection="0"/>
    <xf numFmtId="295" fontId="2" fillId="0" borderId="0" applyFont="0" applyFill="0" applyBorder="0" applyAlignment="0" applyProtection="0"/>
    <xf numFmtId="305" fontId="131" fillId="0" borderId="0" applyFont="0" applyFill="0" applyBorder="0" applyAlignment="0" applyProtection="0"/>
    <xf numFmtId="208" fontId="131" fillId="0" borderId="0" applyFont="0" applyFill="0" applyBorder="0" applyAlignment="0" applyProtection="0">
      <protection locked="0"/>
    </xf>
    <xf numFmtId="0" fontId="162" fillId="0" borderId="0">
      <protection locked="0"/>
    </xf>
    <xf numFmtId="4" fontId="38" fillId="75" borderId="126" applyNumberFormat="0" applyProtection="0">
      <alignment horizontal="right" vertical="center"/>
    </xf>
    <xf numFmtId="38" fontId="131" fillId="0" borderId="0" applyFont="0" applyFill="0" applyBorder="0" applyAlignment="0" applyProtection="0"/>
    <xf numFmtId="8" fontId="293" fillId="0" borderId="4">
      <alignment horizontal="right"/>
    </xf>
    <xf numFmtId="306" fontId="294" fillId="0" borderId="0"/>
    <xf numFmtId="307" fontId="2" fillId="0" borderId="0" applyFont="0" applyFill="0" applyBorder="0" applyProtection="0">
      <alignment horizontal="right"/>
    </xf>
    <xf numFmtId="308" fontId="2" fillId="0" borderId="0" applyFont="0" applyFill="0" applyBorder="0" applyProtection="0">
      <alignment horizontal="right"/>
    </xf>
    <xf numFmtId="0" fontId="295" fillId="0" borderId="0"/>
    <xf numFmtId="9" fontId="2" fillId="0" borderId="0" applyFont="0" applyFill="0" applyBorder="0" applyAlignment="0" applyProtection="0"/>
    <xf numFmtId="5" fontId="14" fillId="0" borderId="0">
      <alignment horizontal="right" vertical="center" wrapText="1"/>
    </xf>
    <xf numFmtId="5" fontId="14" fillId="0" borderId="0">
      <alignment horizontal="right" vertical="center" wrapText="1"/>
    </xf>
    <xf numFmtId="38" fontId="296" fillId="0" borderId="0"/>
    <xf numFmtId="39" fontId="297" fillId="0" borderId="0"/>
    <xf numFmtId="4" fontId="38" fillId="68" borderId="126" applyNumberFormat="0" applyProtection="0">
      <alignment vertical="center"/>
    </xf>
    <xf numFmtId="4" fontId="298" fillId="68" borderId="126" applyNumberFormat="0" applyProtection="0">
      <alignment vertical="center"/>
    </xf>
    <xf numFmtId="4" fontId="38" fillId="68" borderId="126" applyNumberFormat="0" applyProtection="0">
      <alignment horizontal="left" vertical="center" indent="1"/>
    </xf>
    <xf numFmtId="4" fontId="38" fillId="68" borderId="126" applyNumberFormat="0" applyProtection="0">
      <alignment horizontal="left" vertical="center" indent="1"/>
    </xf>
    <xf numFmtId="0" fontId="2" fillId="11" borderId="126" applyNumberFormat="0" applyProtection="0">
      <alignment horizontal="left" vertical="center" indent="1"/>
    </xf>
    <xf numFmtId="4" fontId="38" fillId="76" borderId="126" applyNumberFormat="0" applyProtection="0">
      <alignment horizontal="right" vertical="center"/>
    </xf>
    <xf numFmtId="4" fontId="38" fillId="77" borderId="126" applyNumberFormat="0" applyProtection="0">
      <alignment horizontal="right" vertical="center"/>
    </xf>
    <xf numFmtId="4" fontId="38" fillId="56" borderId="126" applyNumberFormat="0" applyProtection="0">
      <alignment horizontal="right" vertical="center"/>
    </xf>
    <xf numFmtId="4" fontId="38" fillId="78" borderId="126" applyNumberFormat="0" applyProtection="0">
      <alignment horizontal="right" vertical="center"/>
    </xf>
    <xf numFmtId="4" fontId="38" fillId="79" borderId="126" applyNumberFormat="0" applyProtection="0">
      <alignment horizontal="right" vertical="center"/>
    </xf>
    <xf numFmtId="4" fontId="38" fillId="80" borderId="126" applyNumberFormat="0" applyProtection="0">
      <alignment horizontal="right" vertical="center"/>
    </xf>
    <xf numFmtId="4" fontId="38" fillId="81" borderId="126" applyNumberFormat="0" applyProtection="0">
      <alignment horizontal="right" vertical="center"/>
    </xf>
    <xf numFmtId="4" fontId="80" fillId="82" borderId="126" applyNumberFormat="0" applyProtection="0">
      <alignment horizontal="left" vertical="center" indent="1"/>
    </xf>
    <xf numFmtId="4" fontId="38" fillId="44" borderId="128" applyNumberFormat="0" applyProtection="0">
      <alignment horizontal="left" vertical="center" indent="1"/>
    </xf>
    <xf numFmtId="4" fontId="299" fillId="83" borderId="0" applyNumberFormat="0" applyProtection="0">
      <alignment horizontal="left" vertical="center" indent="1"/>
    </xf>
    <xf numFmtId="0" fontId="2" fillId="11" borderId="126" applyNumberFormat="0" applyProtection="0">
      <alignment horizontal="left" vertical="center" indent="1"/>
    </xf>
    <xf numFmtId="4" fontId="38" fillId="84" borderId="129" applyNumberFormat="0" applyProtection="0">
      <alignment horizontal="left" vertical="center" indent="1"/>
    </xf>
    <xf numFmtId="4" fontId="38" fillId="44" borderId="129" applyNumberFormat="0" applyProtection="0">
      <alignment horizontal="left" vertical="center" indent="1"/>
    </xf>
    <xf numFmtId="0" fontId="2" fillId="7" borderId="126" applyNumberFormat="0" applyProtection="0">
      <alignment horizontal="left" vertical="center" indent="1"/>
    </xf>
    <xf numFmtId="0" fontId="2" fillId="85" borderId="126" applyNumberFormat="0" applyProtection="0">
      <alignment horizontal="left" vertical="center" indent="1"/>
    </xf>
    <xf numFmtId="0" fontId="2" fillId="41" borderId="126" applyNumberFormat="0" applyProtection="0">
      <alignment horizontal="left" vertical="center" indent="1"/>
    </xf>
    <xf numFmtId="0" fontId="2" fillId="41" borderId="126" applyNumberFormat="0" applyProtection="0">
      <alignment horizontal="left" vertical="center" indent="1"/>
    </xf>
    <xf numFmtId="0" fontId="2" fillId="7" borderId="126" applyNumberFormat="0" applyProtection="0">
      <alignment horizontal="left" vertical="center" indent="1"/>
    </xf>
    <xf numFmtId="0" fontId="2" fillId="7" borderId="126" applyNumberFormat="0" applyProtection="0">
      <alignment horizontal="left" vertical="center" indent="1"/>
    </xf>
    <xf numFmtId="0" fontId="2" fillId="11" borderId="126" applyNumberFormat="0" applyProtection="0">
      <alignment horizontal="left" vertical="center" indent="1"/>
    </xf>
    <xf numFmtId="0" fontId="2" fillId="11" borderId="126" applyNumberFormat="0" applyProtection="0">
      <alignment horizontal="left" vertical="center" indent="1"/>
    </xf>
    <xf numFmtId="4" fontId="38" fillId="38" borderId="126" applyNumberFormat="0" applyProtection="0">
      <alignment vertical="center"/>
    </xf>
    <xf numFmtId="4" fontId="298" fillId="38" borderId="126" applyNumberFormat="0" applyProtection="0">
      <alignment vertical="center"/>
    </xf>
    <xf numFmtId="4" fontId="38" fillId="38" borderId="126" applyNumberFormat="0" applyProtection="0">
      <alignment horizontal="left" vertical="center" indent="1"/>
    </xf>
    <xf numFmtId="4" fontId="38" fillId="38" borderId="126" applyNumberFormat="0" applyProtection="0">
      <alignment horizontal="left" vertical="center" indent="1"/>
    </xf>
    <xf numFmtId="4" fontId="38" fillId="84" borderId="126" applyNumberFormat="0" applyProtection="0">
      <alignment horizontal="right" vertical="center"/>
    </xf>
    <xf numFmtId="4" fontId="298" fillId="84" borderId="126" applyNumberFormat="0" applyProtection="0">
      <alignment horizontal="right" vertical="center"/>
    </xf>
    <xf numFmtId="0" fontId="2" fillId="11" borderId="126" applyNumberFormat="0" applyProtection="0">
      <alignment horizontal="left" vertical="center" indent="1"/>
    </xf>
    <xf numFmtId="0" fontId="300" fillId="0" borderId="0"/>
    <xf numFmtId="4" fontId="282" fillId="84" borderId="126" applyNumberFormat="0" applyProtection="0">
      <alignment horizontal="right" vertical="center"/>
    </xf>
    <xf numFmtId="3" fontId="301" fillId="0" borderId="119"/>
    <xf numFmtId="0" fontId="33" fillId="0" borderId="0" applyFill="0" applyBorder="0" applyProtection="0">
      <alignment horizontal="left"/>
    </xf>
    <xf numFmtId="0" fontId="88" fillId="86" borderId="115" applyNumberFormat="0" applyFont="0" applyBorder="0" applyAlignment="0" applyProtection="0"/>
    <xf numFmtId="208" fontId="131" fillId="0" borderId="0" applyFont="0" applyFill="0" applyBorder="0" applyAlignment="0" applyProtection="0"/>
    <xf numFmtId="41" fontId="302" fillId="0" borderId="0"/>
    <xf numFmtId="289" fontId="302" fillId="0" borderId="0"/>
    <xf numFmtId="43" fontId="2" fillId="0" borderId="0" applyFont="0" applyFill="0" applyBorder="0" applyAlignment="0" applyProtection="0"/>
    <xf numFmtId="12" fontId="2" fillId="0" borderId="0" applyFont="0" applyFill="0" applyBorder="0" applyProtection="0">
      <alignment horizontal="right"/>
    </xf>
    <xf numFmtId="269" fontId="2" fillId="0" borderId="0" applyFont="0" applyFill="0" applyBorder="0" applyProtection="0">
      <alignment horizontal="right"/>
    </xf>
    <xf numFmtId="0" fontId="2" fillId="0" borderId="0" applyNumberFormat="0" applyFill="0" applyBorder="0" applyAlignment="0" applyProtection="0"/>
    <xf numFmtId="0" fontId="303" fillId="0" borderId="0">
      <alignment horizontal="center"/>
    </xf>
    <xf numFmtId="0" fontId="304" fillId="0" borderId="0" applyNumberFormat="0">
      <alignment horizontal="left"/>
    </xf>
    <xf numFmtId="0" fontId="2" fillId="0" borderId="0" applyNumberFormat="0" applyFont="0" applyFill="0" applyBorder="0" applyAlignment="0" applyProtection="0"/>
    <xf numFmtId="44" fontId="2" fillId="0" borderId="0" applyFont="0" applyFill="0" applyBorder="0" applyAlignment="0" applyProtection="0"/>
    <xf numFmtId="0" fontId="207" fillId="0" borderId="0"/>
    <xf numFmtId="0" fontId="305" fillId="0" borderId="82"/>
    <xf numFmtId="0" fontId="218" fillId="0" borderId="130"/>
    <xf numFmtId="208" fontId="293" fillId="0" borderId="0" applyNumberFormat="0" applyFill="0" applyBorder="0" applyAlignment="0" applyProtection="0"/>
    <xf numFmtId="0" fontId="175" fillId="0" borderId="0" applyFill="0" applyBorder="0" applyAlignment="0" applyProtection="0"/>
    <xf numFmtId="3" fontId="268" fillId="0" borderId="117"/>
    <xf numFmtId="4" fontId="131" fillId="0" borderId="113"/>
    <xf numFmtId="309" fontId="2" fillId="0" borderId="0">
      <alignment horizontal="left"/>
      <protection locked="0"/>
    </xf>
    <xf numFmtId="0" fontId="57" fillId="0" borderId="0"/>
    <xf numFmtId="0" fontId="2" fillId="81" borderId="0"/>
    <xf numFmtId="0" fontId="2" fillId="0" borderId="0"/>
    <xf numFmtId="1" fontId="13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" fontId="2" fillId="0" borderId="0" applyFont="0" applyFill="0" applyBorder="0" applyAlignment="0" applyProtection="0"/>
    <xf numFmtId="300" fontId="131" fillId="0" borderId="0" applyFont="0" applyFill="0" applyBorder="0" applyAlignment="0" applyProtection="0"/>
    <xf numFmtId="5" fontId="22" fillId="10" borderId="134" applyNumberFormat="0">
      <alignment horizontal="left" vertical="center"/>
      <protection locked="0"/>
    </xf>
    <xf numFmtId="0" fontId="2" fillId="41" borderId="135" applyNumberFormat="0" applyProtection="0">
      <alignment horizontal="left" vertical="center" wrapText="1" indent="1"/>
    </xf>
    <xf numFmtId="10" fontId="31" fillId="38" borderId="131" applyNumberFormat="0" applyBorder="0" applyAlignment="0" applyProtection="0"/>
    <xf numFmtId="10" fontId="31" fillId="38" borderId="131" applyNumberFormat="0" applyBorder="0" applyAlignment="0" applyProtection="0"/>
    <xf numFmtId="17" fontId="274" fillId="0" borderId="0"/>
    <xf numFmtId="0" fontId="306" fillId="0" borderId="0" applyNumberFormat="0" applyFill="0" applyBorder="0" applyProtection="0">
      <alignment horizontal="left" vertical="center"/>
    </xf>
    <xf numFmtId="4" fontId="38" fillId="74" borderId="135" applyNumberFormat="0" applyProtection="0">
      <alignment horizontal="right" vertical="center"/>
    </xf>
    <xf numFmtId="3" fontId="52" fillId="0" borderId="116"/>
    <xf numFmtId="4" fontId="38" fillId="75" borderId="135" applyNumberFormat="0" applyProtection="0">
      <alignment horizontal="right" vertical="center"/>
    </xf>
    <xf numFmtId="4" fontId="38" fillId="68" borderId="135" applyNumberFormat="0" applyProtection="0">
      <alignment vertical="center"/>
    </xf>
    <xf numFmtId="4" fontId="298" fillId="68" borderId="135" applyNumberFormat="0" applyProtection="0">
      <alignment vertical="center"/>
    </xf>
    <xf numFmtId="4" fontId="38" fillId="68" borderId="135" applyNumberFormat="0" applyProtection="0">
      <alignment horizontal="left" vertical="center" indent="1"/>
    </xf>
    <xf numFmtId="4" fontId="38" fillId="68" borderId="135" applyNumberFormat="0" applyProtection="0">
      <alignment horizontal="left" vertical="center" indent="1"/>
    </xf>
    <xf numFmtId="0" fontId="2" fillId="11" borderId="135" applyNumberFormat="0" applyProtection="0">
      <alignment horizontal="left" vertical="center" indent="1"/>
    </xf>
    <xf numFmtId="4" fontId="38" fillId="76" borderId="135" applyNumberFormat="0" applyProtection="0">
      <alignment horizontal="right" vertical="center"/>
    </xf>
    <xf numFmtId="4" fontId="38" fillId="77" borderId="135" applyNumberFormat="0" applyProtection="0">
      <alignment horizontal="right" vertical="center"/>
    </xf>
    <xf numFmtId="4" fontId="38" fillId="56" borderId="135" applyNumberFormat="0" applyProtection="0">
      <alignment horizontal="right" vertical="center"/>
    </xf>
    <xf numFmtId="4" fontId="38" fillId="78" borderId="135" applyNumberFormat="0" applyProtection="0">
      <alignment horizontal="right" vertical="center"/>
    </xf>
    <xf numFmtId="4" fontId="38" fillId="79" borderId="135" applyNumberFormat="0" applyProtection="0">
      <alignment horizontal="right" vertical="center"/>
    </xf>
    <xf numFmtId="4" fontId="38" fillId="80" borderId="135" applyNumberFormat="0" applyProtection="0">
      <alignment horizontal="right" vertical="center"/>
    </xf>
    <xf numFmtId="4" fontId="38" fillId="81" borderId="135" applyNumberFormat="0" applyProtection="0">
      <alignment horizontal="right" vertical="center"/>
    </xf>
    <xf numFmtId="4" fontId="80" fillId="82" borderId="135" applyNumberFormat="0" applyProtection="0">
      <alignment horizontal="left" vertical="center" indent="1"/>
    </xf>
    <xf numFmtId="0" fontId="2" fillId="11" borderId="135" applyNumberFormat="0" applyProtection="0">
      <alignment horizontal="left" vertical="center" indent="1"/>
    </xf>
    <xf numFmtId="4" fontId="38" fillId="84" borderId="136" applyNumberFormat="0" applyProtection="0">
      <alignment horizontal="left" vertical="center" indent="1"/>
    </xf>
    <xf numFmtId="4" fontId="38" fillId="44" borderId="136" applyNumberFormat="0" applyProtection="0">
      <alignment horizontal="left" vertical="center" indent="1"/>
    </xf>
    <xf numFmtId="0" fontId="2" fillId="7" borderId="135" applyNumberFormat="0" applyProtection="0">
      <alignment horizontal="left" vertical="center" indent="1"/>
    </xf>
    <xf numFmtId="0" fontId="2" fillId="85" borderId="135" applyNumberFormat="0" applyProtection="0">
      <alignment horizontal="left" vertical="center" indent="1"/>
    </xf>
    <xf numFmtId="0" fontId="2" fillId="41" borderId="135" applyNumberFormat="0" applyProtection="0">
      <alignment horizontal="left" vertical="center" indent="1"/>
    </xf>
    <xf numFmtId="0" fontId="2" fillId="41" borderId="135" applyNumberFormat="0" applyProtection="0">
      <alignment horizontal="left" vertical="center" indent="1"/>
    </xf>
    <xf numFmtId="0" fontId="2" fillId="7" borderId="135" applyNumberFormat="0" applyProtection="0">
      <alignment horizontal="left" vertical="center" indent="1"/>
    </xf>
    <xf numFmtId="0" fontId="2" fillId="7" borderId="135" applyNumberFormat="0" applyProtection="0">
      <alignment horizontal="left" vertical="center" indent="1"/>
    </xf>
    <xf numFmtId="0" fontId="2" fillId="11" borderId="135" applyNumberFormat="0" applyProtection="0">
      <alignment horizontal="left" vertical="center" indent="1"/>
    </xf>
    <xf numFmtId="0" fontId="2" fillId="11" borderId="135" applyNumberFormat="0" applyProtection="0">
      <alignment horizontal="left" vertical="center" indent="1"/>
    </xf>
    <xf numFmtId="4" fontId="38" fillId="38" borderId="135" applyNumberFormat="0" applyProtection="0">
      <alignment vertical="center"/>
    </xf>
    <xf numFmtId="4" fontId="298" fillId="38" borderId="135" applyNumberFormat="0" applyProtection="0">
      <alignment vertical="center"/>
    </xf>
    <xf numFmtId="4" fontId="38" fillId="38" borderId="135" applyNumberFormat="0" applyProtection="0">
      <alignment horizontal="left" vertical="center" indent="1"/>
    </xf>
    <xf numFmtId="4" fontId="38" fillId="38" borderId="135" applyNumberFormat="0" applyProtection="0">
      <alignment horizontal="left" vertical="center" indent="1"/>
    </xf>
    <xf numFmtId="4" fontId="38" fillId="84" borderId="135" applyNumberFormat="0" applyProtection="0">
      <alignment horizontal="right" vertical="center"/>
    </xf>
    <xf numFmtId="4" fontId="298" fillId="84" borderId="135" applyNumberFormat="0" applyProtection="0">
      <alignment horizontal="right" vertical="center"/>
    </xf>
    <xf numFmtId="0" fontId="2" fillId="11" borderId="135" applyNumberFormat="0" applyProtection="0">
      <alignment horizontal="left" vertical="center" indent="1"/>
    </xf>
    <xf numFmtId="4" fontId="282" fillId="84" borderId="135" applyNumberFormat="0" applyProtection="0">
      <alignment horizontal="right" vertical="center"/>
    </xf>
    <xf numFmtId="0" fontId="88" fillId="86" borderId="115" applyNumberFormat="0" applyFont="0" applyBorder="0" applyAlignment="0" applyProtection="0"/>
    <xf numFmtId="3" fontId="268" fillId="0" borderId="132"/>
    <xf numFmtId="4" fontId="131" fillId="0" borderId="133"/>
    <xf numFmtId="44" fontId="241" fillId="0" borderId="0" applyFont="0" applyFill="0" applyBorder="0" applyAlignment="0" applyProtection="0"/>
    <xf numFmtId="9" fontId="241" fillId="0" borderId="0" applyFont="0" applyFill="0" applyBorder="0" applyAlignment="0" applyProtection="0"/>
    <xf numFmtId="43" fontId="241" fillId="0" borderId="0" applyFont="0" applyFill="0" applyBorder="0" applyAlignment="0" applyProtection="0"/>
    <xf numFmtId="0" fontId="241" fillId="0" borderId="0"/>
    <xf numFmtId="0" fontId="241" fillId="0" borderId="0"/>
    <xf numFmtId="43" fontId="241" fillId="0" borderId="0" applyFont="0" applyFill="0" applyBorder="0" applyAlignment="0" applyProtection="0"/>
    <xf numFmtId="9" fontId="241" fillId="0" borderId="0" applyFont="0" applyFill="0" applyBorder="0" applyAlignment="0" applyProtection="0"/>
    <xf numFmtId="44" fontId="241" fillId="0" borderId="0" applyFont="0" applyFill="0" applyBorder="0" applyAlignment="0" applyProtection="0"/>
    <xf numFmtId="14" fontId="89" fillId="67" borderId="138" applyNumberFormat="0" applyFont="0" applyBorder="0" applyAlignment="0" applyProtection="0">
      <alignment horizontal="center"/>
      <protection locked="0"/>
    </xf>
    <xf numFmtId="0" fontId="86" fillId="0" borderId="114">
      <alignment horizontal="center"/>
    </xf>
    <xf numFmtId="0" fontId="214" fillId="0" borderId="0" applyNumberFormat="0" applyFill="0" applyBorder="0" applyProtection="0">
      <alignment horizontal="left" vertical="center"/>
    </xf>
    <xf numFmtId="1" fontId="88" fillId="65" borderId="139">
      <alignment horizontal="center"/>
    </xf>
    <xf numFmtId="49" fontId="210" fillId="0" borderId="140" applyFill="0" applyProtection="0">
      <alignment vertical="center"/>
    </xf>
    <xf numFmtId="0" fontId="34" fillId="0" borderId="140" applyNumberFormat="0" applyFill="0" applyAlignment="0" applyProtection="0"/>
    <xf numFmtId="0" fontId="33" fillId="0" borderId="154">
      <alignment horizontal="left" vertical="center"/>
    </xf>
    <xf numFmtId="5" fontId="22" fillId="10" borderId="159" applyNumberFormat="0">
      <alignment horizontal="left" vertical="center"/>
      <protection locked="0"/>
    </xf>
    <xf numFmtId="3" fontId="50" fillId="0" borderId="140"/>
    <xf numFmtId="3" fontId="52" fillId="0" borderId="154"/>
    <xf numFmtId="0" fontId="34" fillId="0" borderId="140" applyNumberFormat="0" applyFill="0" applyAlignment="0" applyProtection="0"/>
    <xf numFmtId="0" fontId="33" fillId="0" borderId="154">
      <alignment horizontal="left" vertical="center"/>
    </xf>
    <xf numFmtId="5" fontId="22" fillId="10" borderId="159" applyNumberFormat="0">
      <alignment horizontal="left" vertical="center"/>
      <protection locked="0"/>
    </xf>
    <xf numFmtId="3" fontId="30" fillId="0" borderId="17"/>
    <xf numFmtId="3" fontId="50" fillId="0" borderId="140"/>
    <xf numFmtId="3" fontId="52" fillId="0" borderId="154"/>
    <xf numFmtId="5" fontId="90" fillId="0" borderId="111" applyFill="0" applyBorder="0" applyAlignment="0"/>
    <xf numFmtId="5" fontId="90" fillId="0" borderId="111" applyFill="0" applyBorder="0" applyAlignment="0"/>
    <xf numFmtId="5" fontId="90" fillId="0" borderId="111" applyFill="0" applyBorder="0" applyAlignment="0"/>
    <xf numFmtId="5" fontId="90" fillId="0" borderId="111" applyFill="0" applyBorder="0" applyAlignment="0"/>
    <xf numFmtId="5" fontId="90" fillId="0" borderId="111" applyFill="0" applyBorder="0" applyAlignment="0"/>
    <xf numFmtId="5" fontId="91" fillId="0" borderId="111" applyFill="0" applyBorder="0" applyAlignment="0"/>
    <xf numFmtId="5" fontId="91" fillId="0" borderId="111" applyFill="0" applyBorder="0" applyAlignment="0"/>
    <xf numFmtId="5" fontId="91" fillId="0" borderId="111" applyFill="0" applyBorder="0" applyAlignment="0"/>
    <xf numFmtId="5" fontId="91" fillId="0" borderId="111" applyFill="0" applyBorder="0" applyAlignment="0"/>
    <xf numFmtId="5" fontId="91" fillId="0" borderId="111" applyFill="0" applyBorder="0" applyAlignment="0"/>
    <xf numFmtId="7" fontId="91" fillId="0" borderId="111" applyFill="0" applyBorder="0" applyAlignment="0"/>
    <xf numFmtId="7" fontId="91" fillId="0" borderId="111" applyFill="0" applyBorder="0" applyAlignment="0"/>
    <xf numFmtId="7" fontId="91" fillId="0" borderId="111" applyFill="0" applyBorder="0" applyAlignment="0"/>
    <xf numFmtId="7" fontId="91" fillId="0" borderId="111" applyFill="0" applyBorder="0" applyAlignment="0"/>
    <xf numFmtId="7" fontId="91" fillId="0" borderId="111" applyFill="0" applyBorder="0" applyAlignment="0"/>
    <xf numFmtId="0" fontId="62" fillId="0" borderId="162" applyNumberFormat="0" applyFill="0" applyAlignment="0" applyProtection="0"/>
    <xf numFmtId="0" fontId="62" fillId="0" borderId="162" applyNumberFormat="0" applyFill="0" applyAlignment="0" applyProtection="0"/>
    <xf numFmtId="0" fontId="2" fillId="0" borderId="160" applyNumberFormat="0" applyFont="0" applyFill="0" applyAlignment="0" applyProtection="0"/>
    <xf numFmtId="0" fontId="2" fillId="0" borderId="160" applyNumberFormat="0" applyFont="0" applyFill="0" applyAlignment="0" applyProtection="0"/>
    <xf numFmtId="0" fontId="2" fillId="0" borderId="160" applyNumberFormat="0" applyFont="0" applyFill="0" applyAlignment="0" applyProtection="0"/>
    <xf numFmtId="0" fontId="2" fillId="0" borderId="160" applyNumberFormat="0" applyFont="0" applyFill="0" applyAlignment="0" applyProtection="0"/>
    <xf numFmtId="0" fontId="2" fillId="0" borderId="160" applyNumberFormat="0" applyFont="0" applyFill="0" applyAlignment="0" applyProtection="0"/>
    <xf numFmtId="0" fontId="2" fillId="0" borderId="160" applyNumberFormat="0" applyFont="0" applyFill="0" applyAlignment="0" applyProtection="0"/>
    <xf numFmtId="37" fontId="94" fillId="8" borderId="153" applyBorder="0" applyProtection="0">
      <alignment vertical="center"/>
    </xf>
    <xf numFmtId="0" fontId="34" fillId="0" borderId="140" applyNumberFormat="0" applyFill="0" applyAlignment="0" applyProtection="0"/>
    <xf numFmtId="0" fontId="153" fillId="0" borderId="167"/>
    <xf numFmtId="194" fontId="89" fillId="0" borderId="168" applyNumberFormat="0" applyFont="0" applyAlignment="0" applyProtection="0"/>
    <xf numFmtId="7" fontId="57" fillId="0" borderId="160"/>
    <xf numFmtId="0" fontId="154" fillId="0" borderId="169"/>
    <xf numFmtId="0" fontId="66" fillId="32" borderId="163" applyNumberFormat="0" applyAlignment="0" applyProtection="0"/>
    <xf numFmtId="0" fontId="66" fillId="32" borderId="163" applyNumberFormat="0" applyAlignment="0" applyProtection="0"/>
    <xf numFmtId="0" fontId="66" fillId="32" borderId="163" applyNumberFormat="0" applyAlignment="0" applyProtection="0"/>
    <xf numFmtId="0" fontId="157" fillId="42" borderId="163" applyNumberFormat="0" applyAlignment="0" applyProtection="0"/>
    <xf numFmtId="0" fontId="157" fillId="42" borderId="163" applyNumberFormat="0" applyAlignment="0" applyProtection="0"/>
    <xf numFmtId="242" fontId="2" fillId="0" borderId="142" applyFill="0" applyBorder="0" applyAlignment="0" applyProtection="0">
      <alignment horizontal="right"/>
    </xf>
    <xf numFmtId="0" fontId="34" fillId="0" borderId="140" applyNumberFormat="0" applyFont="0" applyFill="0" applyProtection="0">
      <alignment horizontal="centerContinuous" vertical="center"/>
    </xf>
    <xf numFmtId="0" fontId="159" fillId="0" borderId="140" applyNumberFormat="0" applyFill="0" applyBorder="0" applyProtection="0">
      <alignment horizontal="right" vertical="center"/>
    </xf>
    <xf numFmtId="41" fontId="152" fillId="0" borderId="170">
      <alignment horizontal="center"/>
      <protection locked="0" hidden="1"/>
    </xf>
    <xf numFmtId="41" fontId="152" fillId="0" borderId="171">
      <alignment horizontal="center"/>
      <protection locked="0"/>
    </xf>
    <xf numFmtId="0" fontId="104" fillId="0" borderId="111" applyProtection="0">
      <alignment horizontal="center" vertical="top" wrapText="1"/>
      <protection hidden="1"/>
    </xf>
    <xf numFmtId="239" fontId="107" fillId="0" borderId="142"/>
    <xf numFmtId="240" fontId="95" fillId="0" borderId="110">
      <alignment horizontal="left"/>
    </xf>
    <xf numFmtId="37" fontId="57" fillId="0" borderId="162"/>
    <xf numFmtId="0" fontId="108" fillId="0" borderId="140" applyNumberFormat="0" applyFont="0" applyAlignment="0" applyProtection="0">
      <protection locked="0"/>
    </xf>
    <xf numFmtId="167" fontId="177" fillId="8" borderId="17">
      <alignment horizontal="right" vertical="center"/>
    </xf>
    <xf numFmtId="186" fontId="171" fillId="8" borderId="140">
      <alignment horizontal="right" vertical="center"/>
    </xf>
    <xf numFmtId="182" fontId="171" fillId="8" borderId="140">
      <alignment horizontal="right" vertical="center"/>
    </xf>
    <xf numFmtId="170" fontId="172" fillId="8" borderId="140" applyBorder="0">
      <alignment horizontal="left" vertical="center"/>
    </xf>
    <xf numFmtId="170" fontId="172" fillId="8" borderId="172">
      <alignment horizontal="left"/>
    </xf>
    <xf numFmtId="170" fontId="131" fillId="8" borderId="17">
      <alignment vertical="center"/>
    </xf>
    <xf numFmtId="170" fontId="88" fillId="8" borderId="173">
      <alignment horizontal="center" vertical="center"/>
    </xf>
    <xf numFmtId="246" fontId="46" fillId="0" borderId="144">
      <alignment horizontal="center"/>
    </xf>
    <xf numFmtId="37" fontId="115" fillId="47" borderId="142" applyBorder="0">
      <alignment horizontal="left" vertical="center" indent="1"/>
    </xf>
    <xf numFmtId="37" fontId="120" fillId="0" borderId="154" applyNumberFormat="0" applyFont="0" applyFill="0" applyBorder="0">
      <alignment horizontal="centerContinuous"/>
    </xf>
    <xf numFmtId="37" fontId="120" fillId="0" borderId="154" applyNumberFormat="0" applyFont="0" applyFill="0" applyBorder="0">
      <alignment horizontal="centerContinuous"/>
    </xf>
    <xf numFmtId="37" fontId="120" fillId="0" borderId="154" applyNumberFormat="0" applyFont="0" applyFill="0" applyBorder="0">
      <alignment horizontal="centerContinuous"/>
    </xf>
    <xf numFmtId="37" fontId="120" fillId="0" borderId="154" applyNumberFormat="0" applyFont="0" applyFill="0" applyBorder="0">
      <alignment horizontal="centerContinuous"/>
    </xf>
    <xf numFmtId="37" fontId="120" fillId="0" borderId="154" applyNumberFormat="0" applyFont="0" applyFill="0" applyBorder="0">
      <alignment horizontal="centerContinuous"/>
    </xf>
    <xf numFmtId="0" fontId="73" fillId="19" borderId="163" applyNumberFormat="0" applyAlignment="0" applyProtection="0"/>
    <xf numFmtId="0" fontId="73" fillId="19" borderId="163" applyNumberFormat="0" applyAlignment="0" applyProtection="0"/>
    <xf numFmtId="0" fontId="73" fillId="19" borderId="163" applyNumberFormat="0" applyAlignment="0" applyProtection="0"/>
    <xf numFmtId="0" fontId="73" fillId="34" borderId="163" applyNumberFormat="0" applyAlignment="0" applyProtection="0"/>
    <xf numFmtId="0" fontId="73" fillId="34" borderId="163" applyNumberFormat="0" applyAlignment="0" applyProtection="0"/>
    <xf numFmtId="5" fontId="22" fillId="10" borderId="159" applyNumberFormat="0">
      <alignment horizontal="left" vertical="center"/>
      <protection locked="0"/>
    </xf>
    <xf numFmtId="0" fontId="2" fillId="0" borderId="170"/>
    <xf numFmtId="38" fontId="88" fillId="1" borderId="140"/>
    <xf numFmtId="38" fontId="140" fillId="0" borderId="111"/>
    <xf numFmtId="0" fontId="163" fillId="13" borderId="174"/>
    <xf numFmtId="17" fontId="163" fillId="0" borderId="171">
      <alignment horizontal="center"/>
    </xf>
    <xf numFmtId="0" fontId="154" fillId="0" borderId="171"/>
    <xf numFmtId="0" fontId="30" fillId="35" borderId="164" applyNumberFormat="0" applyFont="0" applyAlignment="0" applyProtection="0"/>
    <xf numFmtId="0" fontId="2" fillId="35" borderId="164" applyNumberFormat="0" applyFont="0" applyAlignment="0" applyProtection="0"/>
    <xf numFmtId="0" fontId="2" fillId="35" borderId="164" applyNumberFormat="0" applyFont="0" applyAlignment="0" applyProtection="0"/>
    <xf numFmtId="0" fontId="2" fillId="35" borderId="164" applyNumberFormat="0" applyFont="0" applyAlignment="0" applyProtection="0"/>
    <xf numFmtId="0" fontId="2" fillId="35" borderId="164" applyNumberFormat="0" applyFont="0" applyAlignment="0" applyProtection="0"/>
    <xf numFmtId="0" fontId="2" fillId="35" borderId="164" applyNumberFormat="0" applyFont="0" applyAlignment="0" applyProtection="0"/>
    <xf numFmtId="0" fontId="2" fillId="35" borderId="164" applyNumberFormat="0" applyFont="0" applyAlignment="0" applyProtection="0"/>
    <xf numFmtId="3" fontId="89" fillId="0" borderId="111"/>
    <xf numFmtId="230" fontId="2" fillId="10" borderId="111"/>
    <xf numFmtId="0" fontId="140" fillId="0" borderId="111"/>
    <xf numFmtId="38" fontId="201" fillId="8" borderId="175">
      <alignment horizontal="right" vertical="center"/>
      <protection hidden="1"/>
    </xf>
    <xf numFmtId="0" fontId="202" fillId="38" borderId="175">
      <alignment horizontal="left" vertical="center"/>
      <protection hidden="1"/>
    </xf>
    <xf numFmtId="0" fontId="202" fillId="38" borderId="175">
      <alignment horizontal="center" vertical="center" wrapText="1"/>
      <protection hidden="1"/>
    </xf>
    <xf numFmtId="0" fontId="128" fillId="50" borderId="111" applyNumberFormat="0" applyAlignment="0">
      <protection locked="0"/>
    </xf>
    <xf numFmtId="0" fontId="76" fillId="32" borderId="165" applyNumberFormat="0" applyAlignment="0" applyProtection="0"/>
    <xf numFmtId="0" fontId="76" fillId="32" borderId="165" applyNumberFormat="0" applyAlignment="0" applyProtection="0"/>
    <xf numFmtId="0" fontId="76" fillId="32" borderId="165" applyNumberFormat="0" applyAlignment="0" applyProtection="0"/>
    <xf numFmtId="0" fontId="76" fillId="42" borderId="165" applyNumberFormat="0" applyAlignment="0" applyProtection="0"/>
    <xf numFmtId="0" fontId="76" fillId="42" borderId="165" applyNumberFormat="0" applyAlignment="0" applyProtection="0"/>
    <xf numFmtId="0" fontId="130" fillId="52" borderId="111" applyNumberFormat="0" applyProtection="0">
      <alignment horizontal="center" vertical="top" wrapText="1"/>
      <protection hidden="1"/>
    </xf>
    <xf numFmtId="0" fontId="89" fillId="0" borderId="176" applyNumberFormat="0" applyAlignment="0" applyProtection="0"/>
    <xf numFmtId="3" fontId="50" fillId="0" borderId="140"/>
    <xf numFmtId="0" fontId="213" fillId="1" borderId="154" applyNumberFormat="0" applyFont="0" applyAlignment="0">
      <alignment horizontal="center"/>
    </xf>
    <xf numFmtId="38" fontId="89" fillId="0" borderId="17"/>
    <xf numFmtId="0" fontId="219" fillId="0" borderId="140" applyBorder="0" applyProtection="0">
      <alignment horizontal="right" vertical="center"/>
    </xf>
    <xf numFmtId="0" fontId="220" fillId="47" borderId="140" applyBorder="0" applyProtection="0">
      <alignment horizontal="centerContinuous" vertical="center"/>
    </xf>
    <xf numFmtId="0" fontId="221" fillId="0" borderId="161"/>
    <xf numFmtId="0" fontId="184" fillId="0" borderId="142" applyFill="0" applyBorder="0" applyProtection="0">
      <alignment horizontal="left" vertical="top"/>
    </xf>
    <xf numFmtId="196" fontId="225" fillId="0" borderId="161">
      <alignment horizontal="centerContinuous"/>
    </xf>
    <xf numFmtId="0" fontId="57" fillId="0" borderId="162"/>
    <xf numFmtId="0" fontId="78" fillId="0" borderId="166" applyNumberFormat="0" applyFill="0" applyAlignment="0" applyProtection="0"/>
    <xf numFmtId="0" fontId="78" fillId="0" borderId="166" applyNumberFormat="0" applyFill="0" applyAlignment="0" applyProtection="0"/>
    <xf numFmtId="0" fontId="78" fillId="0" borderId="166" applyNumberFormat="0" applyFill="0" applyAlignment="0" applyProtection="0"/>
    <xf numFmtId="269" fontId="30" fillId="0" borderId="143">
      <alignment horizontal="center"/>
    </xf>
    <xf numFmtId="0" fontId="78" fillId="0" borderId="166" applyNumberFormat="0" applyFill="0" applyAlignment="0" applyProtection="0"/>
    <xf numFmtId="0" fontId="78" fillId="0" borderId="166" applyNumberFormat="0" applyFill="0" applyAlignment="0" applyProtection="0"/>
    <xf numFmtId="0" fontId="73" fillId="19" borderId="163" applyNumberFormat="0" applyAlignment="0" applyProtection="0"/>
    <xf numFmtId="0" fontId="73" fillId="19" borderId="163" applyNumberFormat="0" applyAlignment="0" applyProtection="0"/>
    <xf numFmtId="0" fontId="73" fillId="19" borderId="163" applyNumberFormat="0" applyAlignment="0" applyProtection="0"/>
    <xf numFmtId="0" fontId="73" fillId="19" borderId="163" applyNumberFormat="0" applyAlignment="0" applyProtection="0"/>
    <xf numFmtId="0" fontId="78" fillId="0" borderId="166" applyNumberFormat="0" applyFill="0" applyAlignment="0" applyProtection="0"/>
    <xf numFmtId="0" fontId="78" fillId="0" borderId="166" applyNumberFormat="0" applyFill="0" applyAlignment="0" applyProtection="0"/>
    <xf numFmtId="0" fontId="33" fillId="0" borderId="154">
      <alignment horizontal="left" vertical="center"/>
    </xf>
    <xf numFmtId="3" fontId="52" fillId="0" borderId="154"/>
    <xf numFmtId="3" fontId="52" fillId="0" borderId="177"/>
    <xf numFmtId="5" fontId="22" fillId="10" borderId="178" applyNumberFormat="0">
      <alignment horizontal="left" vertical="center"/>
      <protection locked="0"/>
    </xf>
    <xf numFmtId="3" fontId="30" fillId="0" borderId="121"/>
    <xf numFmtId="0" fontId="33" fillId="0" borderId="177">
      <alignment horizontal="left" vertical="center"/>
    </xf>
    <xf numFmtId="3" fontId="50" fillId="0" borderId="140"/>
    <xf numFmtId="3" fontId="30" fillId="0" borderId="121"/>
    <xf numFmtId="3" fontId="52" fillId="0" borderId="177"/>
    <xf numFmtId="0" fontId="34" fillId="0" borderId="140" applyNumberFormat="0" applyFill="0" applyAlignment="0" applyProtection="0"/>
    <xf numFmtId="5" fontId="22" fillId="10" borderId="178" applyNumberFormat="0">
      <alignment horizontal="left" vertical="center"/>
      <protection locked="0"/>
    </xf>
    <xf numFmtId="0" fontId="33" fillId="0" borderId="177">
      <alignment horizontal="left" vertical="center"/>
    </xf>
    <xf numFmtId="7" fontId="91" fillId="0" borderId="179" applyFill="0" applyBorder="0" applyAlignment="0"/>
    <xf numFmtId="196" fontId="225" fillId="0" borderId="180">
      <alignment horizontal="centerContinuous"/>
    </xf>
    <xf numFmtId="5" fontId="90" fillId="0" borderId="141" applyFill="0" applyBorder="0" applyAlignment="0"/>
    <xf numFmtId="5" fontId="90" fillId="0" borderId="141" applyFill="0" applyBorder="0" applyAlignment="0"/>
    <xf numFmtId="5" fontId="90" fillId="0" borderId="141" applyFill="0" applyBorder="0" applyAlignment="0"/>
    <xf numFmtId="5" fontId="90" fillId="0" borderId="141" applyFill="0" applyBorder="0" applyAlignment="0"/>
    <xf numFmtId="5" fontId="90" fillId="0" borderId="141" applyFill="0" applyBorder="0" applyAlignment="0"/>
    <xf numFmtId="5" fontId="91" fillId="0" borderId="141" applyFill="0" applyBorder="0" applyAlignment="0"/>
    <xf numFmtId="5" fontId="91" fillId="0" borderId="141" applyFill="0" applyBorder="0" applyAlignment="0"/>
    <xf numFmtId="5" fontId="91" fillId="0" borderId="141" applyFill="0" applyBorder="0" applyAlignment="0"/>
    <xf numFmtId="5" fontId="91" fillId="0" borderId="141" applyFill="0" applyBorder="0" applyAlignment="0"/>
    <xf numFmtId="5" fontId="91" fillId="0" borderId="141" applyFill="0" applyBorder="0" applyAlignment="0"/>
    <xf numFmtId="7" fontId="91" fillId="0" borderId="141" applyFill="0" applyBorder="0" applyAlignment="0"/>
    <xf numFmtId="7" fontId="91" fillId="0" borderId="141" applyFill="0" applyBorder="0" applyAlignment="0"/>
    <xf numFmtId="7" fontId="91" fillId="0" borderId="141" applyFill="0" applyBorder="0" applyAlignment="0"/>
    <xf numFmtId="7" fontId="91" fillId="0" borderId="141" applyFill="0" applyBorder="0" applyAlignment="0"/>
    <xf numFmtId="7" fontId="91" fillId="0" borderId="141" applyFill="0" applyBorder="0" applyAlignment="0"/>
    <xf numFmtId="0" fontId="221" fillId="0" borderId="180"/>
    <xf numFmtId="0" fontId="130" fillId="52" borderId="179" applyNumberFormat="0" applyProtection="0">
      <alignment horizontal="center" vertical="top" wrapText="1"/>
      <protection hidden="1"/>
    </xf>
    <xf numFmtId="0" fontId="128" fillId="50" borderId="179" applyNumberFormat="0" applyAlignment="0">
      <protection locked="0"/>
    </xf>
    <xf numFmtId="0" fontId="140" fillId="0" borderId="179"/>
    <xf numFmtId="230" fontId="2" fillId="10" borderId="179"/>
    <xf numFmtId="3" fontId="89" fillId="0" borderId="179"/>
    <xf numFmtId="38" fontId="140" fillId="0" borderId="179"/>
    <xf numFmtId="10" fontId="31" fillId="38" borderId="179" applyNumberFormat="0" applyBorder="0" applyAlignment="0" applyProtection="0"/>
    <xf numFmtId="37" fontId="57" fillId="0" borderId="181"/>
    <xf numFmtId="0" fontId="104" fillId="0" borderId="179" applyProtection="0">
      <alignment horizontal="center" vertical="top" wrapText="1"/>
      <protection hidden="1"/>
    </xf>
    <xf numFmtId="0" fontId="62" fillId="0" borderId="181" applyNumberFormat="0" applyFill="0" applyAlignment="0" applyProtection="0"/>
    <xf numFmtId="0" fontId="62" fillId="0" borderId="181" applyNumberFormat="0" applyFill="0" applyAlignment="0" applyProtection="0"/>
    <xf numFmtId="0" fontId="2" fillId="0" borderId="160" applyNumberFormat="0" applyFont="0" applyFill="0" applyAlignment="0" applyProtection="0"/>
    <xf numFmtId="0" fontId="2" fillId="0" borderId="160" applyNumberFormat="0" applyFont="0" applyFill="0" applyAlignment="0" applyProtection="0"/>
    <xf numFmtId="0" fontId="2" fillId="0" borderId="160" applyNumberFormat="0" applyFont="0" applyFill="0" applyAlignment="0" applyProtection="0"/>
    <xf numFmtId="0" fontId="2" fillId="0" borderId="160" applyNumberFormat="0" applyFont="0" applyFill="0" applyAlignment="0" applyProtection="0"/>
    <xf numFmtId="0" fontId="2" fillId="0" borderId="160" applyNumberFormat="0" applyFont="0" applyFill="0" applyAlignment="0" applyProtection="0"/>
    <xf numFmtId="0" fontId="2" fillId="0" borderId="160" applyNumberFormat="0" applyFont="0" applyFill="0" applyAlignment="0" applyProtection="0"/>
    <xf numFmtId="0" fontId="34" fillId="0" borderId="140" applyNumberFormat="0" applyFill="0" applyAlignment="0" applyProtection="0"/>
    <xf numFmtId="0" fontId="62" fillId="0" borderId="181" applyNumberFormat="0" applyFill="0" applyAlignment="0" applyProtection="0"/>
    <xf numFmtId="0" fontId="62" fillId="0" borderId="181" applyNumberFormat="0" applyFill="0" applyAlignment="0" applyProtection="0"/>
    <xf numFmtId="7" fontId="57" fillId="0" borderId="160"/>
    <xf numFmtId="0" fontId="34" fillId="0" borderId="140" applyNumberFormat="0" applyFont="0" applyFill="0" applyProtection="0">
      <alignment horizontal="centerContinuous" vertical="center"/>
    </xf>
    <xf numFmtId="0" fontId="159" fillId="0" borderId="140" applyNumberFormat="0" applyFill="0" applyBorder="0" applyProtection="0">
      <alignment horizontal="right" vertical="center"/>
    </xf>
    <xf numFmtId="0" fontId="104" fillId="0" borderId="141" applyProtection="0">
      <alignment horizontal="center" vertical="top" wrapText="1"/>
      <protection hidden="1"/>
    </xf>
    <xf numFmtId="37" fontId="57" fillId="0" borderId="181"/>
    <xf numFmtId="0" fontId="108" fillId="0" borderId="140" applyNumberFormat="0" applyFont="0" applyAlignment="0" applyProtection="0">
      <protection locked="0"/>
    </xf>
    <xf numFmtId="186" fontId="171" fillId="8" borderId="140">
      <alignment horizontal="right" vertical="center"/>
    </xf>
    <xf numFmtId="182" fontId="171" fillId="8" borderId="140">
      <alignment horizontal="right" vertical="center"/>
    </xf>
    <xf numFmtId="170" fontId="172" fillId="8" borderId="140" applyBorder="0">
      <alignment horizontal="left" vertical="center"/>
    </xf>
    <xf numFmtId="10" fontId="31" fillId="38" borderId="141" applyNumberFormat="0" applyBorder="0" applyAlignment="0" applyProtection="0"/>
    <xf numFmtId="38" fontId="88" fillId="1" borderId="140"/>
    <xf numFmtId="38" fontId="140" fillId="0" borderId="141"/>
    <xf numFmtId="3" fontId="89" fillId="0" borderId="141"/>
    <xf numFmtId="230" fontId="2" fillId="10" borderId="141"/>
    <xf numFmtId="0" fontId="140" fillId="0" borderId="141"/>
    <xf numFmtId="0" fontId="128" fillId="50" borderId="141" applyNumberFormat="0" applyAlignment="0">
      <protection locked="0"/>
    </xf>
    <xf numFmtId="0" fontId="130" fillId="52" borderId="141" applyNumberFormat="0" applyProtection="0">
      <alignment horizontal="center" vertical="top" wrapText="1"/>
      <protection hidden="1"/>
    </xf>
    <xf numFmtId="7" fontId="91" fillId="0" borderId="179" applyFill="0" applyBorder="0" applyAlignment="0"/>
    <xf numFmtId="3" fontId="50" fillId="0" borderId="140"/>
    <xf numFmtId="7" fontId="91" fillId="0" borderId="179" applyFill="0" applyBorder="0" applyAlignment="0"/>
    <xf numFmtId="7" fontId="91" fillId="0" borderId="179" applyFill="0" applyBorder="0" applyAlignment="0"/>
    <xf numFmtId="5" fontId="91" fillId="0" borderId="179" applyFill="0" applyBorder="0" applyAlignment="0"/>
    <xf numFmtId="5" fontId="91" fillId="0" borderId="179" applyFill="0" applyBorder="0" applyAlignment="0"/>
    <xf numFmtId="5" fontId="91" fillId="0" borderId="179" applyFill="0" applyBorder="0" applyAlignment="0"/>
    <xf numFmtId="5" fontId="91" fillId="0" borderId="179" applyFill="0" applyBorder="0" applyAlignment="0"/>
    <xf numFmtId="5" fontId="91" fillId="0" borderId="179" applyFill="0" applyBorder="0" applyAlignment="0"/>
    <xf numFmtId="5" fontId="90" fillId="0" borderId="179" applyFill="0" applyBorder="0" applyAlignment="0"/>
    <xf numFmtId="5" fontId="90" fillId="0" borderId="179" applyFill="0" applyBorder="0" applyAlignment="0"/>
    <xf numFmtId="5" fontId="90" fillId="0" borderId="179" applyFill="0" applyBorder="0" applyAlignment="0"/>
    <xf numFmtId="5" fontId="90" fillId="0" borderId="179" applyFill="0" applyBorder="0" applyAlignment="0"/>
    <xf numFmtId="5" fontId="90" fillId="0" borderId="179" applyFill="0" applyBorder="0" applyAlignment="0"/>
    <xf numFmtId="0" fontId="219" fillId="0" borderId="140" applyBorder="0" applyProtection="0">
      <alignment horizontal="right" vertical="center"/>
    </xf>
    <xf numFmtId="0" fontId="220" fillId="47" borderId="140" applyBorder="0" applyProtection="0">
      <alignment horizontal="centerContinuous" vertical="center"/>
    </xf>
    <xf numFmtId="0" fontId="221" fillId="0" borderId="180"/>
    <xf numFmtId="196" fontId="225" fillId="0" borderId="180">
      <alignment horizontal="centerContinuous"/>
    </xf>
    <xf numFmtId="0" fontId="57" fillId="0" borderId="181"/>
    <xf numFmtId="3" fontId="52" fillId="0" borderId="154"/>
    <xf numFmtId="5" fontId="22" fillId="10" borderId="159" applyNumberFormat="0">
      <alignment horizontal="left" vertical="center"/>
      <protection locked="0"/>
    </xf>
    <xf numFmtId="3" fontId="30" fillId="0" borderId="17"/>
    <xf numFmtId="0" fontId="33" fillId="0" borderId="154">
      <alignment horizontal="left" vertical="center"/>
    </xf>
    <xf numFmtId="7" fontId="91" fillId="0" borderId="179" applyFill="0" applyBorder="0" applyAlignment="0"/>
    <xf numFmtId="3" fontId="30" fillId="0" borderId="17"/>
    <xf numFmtId="3" fontId="52" fillId="0" borderId="154"/>
    <xf numFmtId="5" fontId="22" fillId="10" borderId="159" applyNumberFormat="0">
      <alignment horizontal="left" vertical="center"/>
      <protection locked="0"/>
    </xf>
    <xf numFmtId="0" fontId="33" fillId="0" borderId="154">
      <alignment horizontal="left" vertical="center"/>
    </xf>
    <xf numFmtId="0" fontId="66" fillId="32" borderId="183" applyNumberFormat="0" applyAlignment="0" applyProtection="0"/>
    <xf numFmtId="0" fontId="73" fillId="19" borderId="183" applyNumberFormat="0" applyAlignment="0" applyProtection="0"/>
    <xf numFmtId="0" fontId="30" fillId="35" borderId="184" applyNumberFormat="0" applyFont="0" applyAlignment="0" applyProtection="0"/>
    <xf numFmtId="0" fontId="66" fillId="42" borderId="183" applyNumberFormat="0" applyAlignment="0" applyProtection="0"/>
    <xf numFmtId="0" fontId="66" fillId="32" borderId="183" applyNumberFormat="0" applyAlignment="0" applyProtection="0"/>
    <xf numFmtId="0" fontId="73" fillId="19" borderId="183" applyNumberFormat="0" applyAlignment="0" applyProtection="0"/>
    <xf numFmtId="0" fontId="30" fillId="35" borderId="184" applyNumberFormat="0" applyFont="0" applyAlignment="0" applyProtection="0"/>
    <xf numFmtId="0" fontId="238" fillId="35" borderId="184" applyNumberFormat="0" applyFont="0" applyAlignment="0" applyProtection="0"/>
    <xf numFmtId="0" fontId="76" fillId="42" borderId="165" applyNumberFormat="0" applyAlignment="0" applyProtection="0"/>
    <xf numFmtId="0" fontId="76" fillId="32" borderId="165" applyNumberFormat="0" applyAlignment="0" applyProtection="0"/>
    <xf numFmtId="0" fontId="78" fillId="0" borderId="185" applyNumberFormat="0" applyFill="0" applyAlignment="0" applyProtection="0"/>
    <xf numFmtId="0" fontId="78" fillId="0" borderId="166" applyNumberFormat="0" applyFill="0" applyAlignment="0" applyProtection="0"/>
    <xf numFmtId="0" fontId="33" fillId="0" borderId="154">
      <alignment horizontal="left" vertical="center"/>
    </xf>
    <xf numFmtId="5" fontId="22" fillId="10" borderId="178" applyNumberFormat="0">
      <alignment horizontal="left" vertical="center"/>
      <protection locked="0"/>
    </xf>
    <xf numFmtId="3" fontId="52" fillId="0" borderId="154"/>
    <xf numFmtId="0" fontId="62" fillId="0" borderId="181" applyNumberFormat="0" applyFill="0" applyAlignment="0" applyProtection="0"/>
    <xf numFmtId="0" fontId="62" fillId="0" borderId="181" applyNumberFormat="0" applyFill="0" applyAlignment="0" applyProtection="0"/>
    <xf numFmtId="37" fontId="94" fillId="8" borderId="182" applyBorder="0" applyProtection="0">
      <alignment vertical="center"/>
    </xf>
    <xf numFmtId="0" fontId="34" fillId="0" borderId="140" applyNumberFormat="0" applyFill="0" applyAlignment="0" applyProtection="0"/>
    <xf numFmtId="0" fontId="66" fillId="32" borderId="183" applyNumberFormat="0" applyAlignment="0" applyProtection="0"/>
    <xf numFmtId="0" fontId="66" fillId="32" borderId="183" applyNumberFormat="0" applyAlignment="0" applyProtection="0"/>
    <xf numFmtId="0" fontId="157" fillId="42" borderId="183" applyNumberFormat="0" applyAlignment="0" applyProtection="0"/>
    <xf numFmtId="0" fontId="157" fillId="42" borderId="183" applyNumberFormat="0" applyAlignment="0" applyProtection="0"/>
    <xf numFmtId="0" fontId="34" fillId="0" borderId="140" applyNumberFormat="0" applyFont="0" applyFill="0" applyProtection="0">
      <alignment horizontal="centerContinuous" vertical="center"/>
    </xf>
    <xf numFmtId="0" fontId="159" fillId="0" borderId="140" applyNumberFormat="0" applyFill="0" applyBorder="0" applyProtection="0">
      <alignment horizontal="right" vertical="center"/>
    </xf>
    <xf numFmtId="37" fontId="57" fillId="0" borderId="181"/>
    <xf numFmtId="0" fontId="108" fillId="0" borderId="140" applyNumberFormat="0" applyFont="0" applyAlignment="0" applyProtection="0">
      <protection locked="0"/>
    </xf>
    <xf numFmtId="167" fontId="177" fillId="8" borderId="17">
      <alignment horizontal="right" vertical="center"/>
    </xf>
    <xf numFmtId="186" fontId="171" fillId="8" borderId="140">
      <alignment horizontal="right" vertical="center"/>
    </xf>
    <xf numFmtId="182" fontId="171" fillId="8" borderId="140">
      <alignment horizontal="right" vertical="center"/>
    </xf>
    <xf numFmtId="170" fontId="172" fillId="8" borderId="140" applyBorder="0">
      <alignment horizontal="left" vertical="center"/>
    </xf>
    <xf numFmtId="170" fontId="131" fillId="8" borderId="17">
      <alignment vertical="center"/>
    </xf>
    <xf numFmtId="37" fontId="120" fillId="0" borderId="154" applyNumberFormat="0" applyFont="0" applyFill="0" applyBorder="0">
      <alignment horizontal="centerContinuous"/>
    </xf>
    <xf numFmtId="37" fontId="120" fillId="0" borderId="154" applyNumberFormat="0" applyFont="0" applyFill="0" applyBorder="0">
      <alignment horizontal="centerContinuous"/>
    </xf>
    <xf numFmtId="37" fontId="120" fillId="0" borderId="154" applyNumberFormat="0" applyFont="0" applyFill="0" applyBorder="0">
      <alignment horizontal="centerContinuous"/>
    </xf>
    <xf numFmtId="37" fontId="120" fillId="0" borderId="154" applyNumberFormat="0" applyFont="0" applyFill="0" applyBorder="0">
      <alignment horizontal="centerContinuous"/>
    </xf>
    <xf numFmtId="37" fontId="120" fillId="0" borderId="154" applyNumberFormat="0" applyFont="0" applyFill="0" applyBorder="0">
      <alignment horizontal="centerContinuous"/>
    </xf>
    <xf numFmtId="0" fontId="73" fillId="19" borderId="183" applyNumberFormat="0" applyAlignment="0" applyProtection="0"/>
    <xf numFmtId="0" fontId="73" fillId="19" borderId="183" applyNumberFormat="0" applyAlignment="0" applyProtection="0"/>
    <xf numFmtId="0" fontId="73" fillId="34" borderId="183" applyNumberFormat="0" applyAlignment="0" applyProtection="0"/>
    <xf numFmtId="0" fontId="73" fillId="34" borderId="183" applyNumberFormat="0" applyAlignment="0" applyProtection="0"/>
    <xf numFmtId="5" fontId="22" fillId="10" borderId="178" applyNumberFormat="0">
      <alignment horizontal="left" vertical="center"/>
      <protection locked="0"/>
    </xf>
    <xf numFmtId="38" fontId="88" fillId="1" borderId="140"/>
    <xf numFmtId="0" fontId="73" fillId="19" borderId="163" applyNumberFormat="0" applyAlignment="0" applyProtection="0"/>
    <xf numFmtId="0" fontId="30" fillId="35" borderId="184" applyNumberFormat="0" applyFont="0" applyAlignment="0" applyProtection="0"/>
    <xf numFmtId="0" fontId="2" fillId="35" borderId="184" applyNumberFormat="0" applyFont="0" applyAlignment="0" applyProtection="0"/>
    <xf numFmtId="0" fontId="2" fillId="35" borderId="184" applyNumberFormat="0" applyFont="0" applyAlignment="0" applyProtection="0"/>
    <xf numFmtId="0" fontId="2" fillId="35" borderId="184" applyNumberFormat="0" applyFont="0" applyAlignment="0" applyProtection="0"/>
    <xf numFmtId="0" fontId="2" fillId="35" borderId="184" applyNumberFormat="0" applyFont="0" applyAlignment="0" applyProtection="0"/>
    <xf numFmtId="0" fontId="2" fillId="35" borderId="184" applyNumberFormat="0" applyFont="0" applyAlignment="0" applyProtection="0"/>
    <xf numFmtId="0" fontId="2" fillId="35" borderId="184" applyNumberFormat="0" applyFont="0" applyAlignment="0" applyProtection="0"/>
    <xf numFmtId="38" fontId="201" fillId="8" borderId="186">
      <alignment horizontal="right" vertical="center"/>
      <protection hidden="1"/>
    </xf>
    <xf numFmtId="0" fontId="202" fillId="38" borderId="186">
      <alignment horizontal="left" vertical="center"/>
      <protection hidden="1"/>
    </xf>
    <xf numFmtId="0" fontId="202" fillId="38" borderId="186">
      <alignment horizontal="center" vertical="center" wrapText="1"/>
      <protection hidden="1"/>
    </xf>
    <xf numFmtId="0" fontId="78" fillId="0" borderId="185" applyNumberFormat="0" applyFill="0" applyAlignment="0" applyProtection="0"/>
    <xf numFmtId="3" fontId="50" fillId="0" borderId="140"/>
    <xf numFmtId="0" fontId="213" fillId="1" borderId="154" applyNumberFormat="0" applyFont="0" applyAlignment="0">
      <alignment horizontal="center"/>
    </xf>
    <xf numFmtId="0" fontId="66" fillId="32" borderId="163" applyNumberFormat="0" applyAlignment="0" applyProtection="0"/>
    <xf numFmtId="0" fontId="66" fillId="42" borderId="163" applyNumberFormat="0" applyAlignment="0" applyProtection="0"/>
    <xf numFmtId="38" fontId="89" fillId="0" borderId="17"/>
    <xf numFmtId="0" fontId="219" fillId="0" borderId="140" applyBorder="0" applyProtection="0">
      <alignment horizontal="right" vertical="center"/>
    </xf>
    <xf numFmtId="0" fontId="220" fillId="47" borderId="140" applyBorder="0" applyProtection="0">
      <alignment horizontal="centerContinuous" vertical="center"/>
    </xf>
    <xf numFmtId="0" fontId="221" fillId="0" borderId="180"/>
    <xf numFmtId="196" fontId="225" fillId="0" borderId="180">
      <alignment horizontal="centerContinuous"/>
    </xf>
    <xf numFmtId="0" fontId="57" fillId="0" borderId="181"/>
    <xf numFmtId="0" fontId="73" fillId="19" borderId="163" applyNumberFormat="0" applyAlignment="0" applyProtection="0"/>
    <xf numFmtId="0" fontId="73" fillId="19" borderId="183" applyNumberFormat="0" applyAlignment="0" applyProtection="0"/>
    <xf numFmtId="0" fontId="73" fillId="19" borderId="183" applyNumberFormat="0" applyAlignment="0" applyProtection="0"/>
    <xf numFmtId="0" fontId="73" fillId="19" borderId="183" applyNumberFormat="0" applyAlignment="0" applyProtection="0"/>
    <xf numFmtId="0" fontId="73" fillId="19" borderId="183" applyNumberFormat="0" applyAlignment="0" applyProtection="0"/>
    <xf numFmtId="0" fontId="33" fillId="0" borderId="154">
      <alignment horizontal="left" vertical="center"/>
    </xf>
    <xf numFmtId="3" fontId="52" fillId="0" borderId="154"/>
    <xf numFmtId="3" fontId="52" fillId="0" borderId="154"/>
    <xf numFmtId="5" fontId="22" fillId="10" borderId="178" applyNumberFormat="0">
      <alignment horizontal="left" vertical="center"/>
      <protection locked="0"/>
    </xf>
    <xf numFmtId="0" fontId="33" fillId="0" borderId="154">
      <alignment horizontal="left" vertical="center"/>
    </xf>
    <xf numFmtId="3" fontId="30" fillId="0" borderId="17"/>
    <xf numFmtId="3" fontId="52" fillId="0" borderId="154"/>
    <xf numFmtId="5" fontId="22" fillId="10" borderId="178" applyNumberFormat="0">
      <alignment horizontal="left" vertical="center"/>
      <protection locked="0"/>
    </xf>
    <xf numFmtId="0" fontId="33" fillId="0" borderId="154">
      <alignment horizontal="left" vertical="center"/>
    </xf>
    <xf numFmtId="0" fontId="78" fillId="0" borderId="185" applyNumberFormat="0" applyFill="0" applyAlignment="0" applyProtection="0"/>
    <xf numFmtId="0" fontId="73" fillId="19" borderId="163" applyNumberFormat="0" applyAlignment="0" applyProtection="0"/>
    <xf numFmtId="0" fontId="78" fillId="0" borderId="185" applyNumberFormat="0" applyFill="0" applyAlignment="0" applyProtection="0"/>
    <xf numFmtId="3" fontId="30" fillId="0" borderId="121"/>
    <xf numFmtId="0" fontId="34" fillId="0" borderId="140" applyNumberFormat="0" applyFill="0" applyAlignment="0" applyProtection="0"/>
    <xf numFmtId="0" fontId="34" fillId="0" borderId="140" applyNumberFormat="0" applyFont="0" applyFill="0" applyProtection="0">
      <alignment horizontal="centerContinuous" vertical="center"/>
    </xf>
    <xf numFmtId="0" fontId="159" fillId="0" borderId="140" applyNumberFormat="0" applyFill="0" applyBorder="0" applyProtection="0">
      <alignment horizontal="right" vertical="center"/>
    </xf>
    <xf numFmtId="0" fontId="108" fillId="0" borderId="140" applyNumberFormat="0" applyFont="0" applyAlignment="0" applyProtection="0">
      <protection locked="0"/>
    </xf>
    <xf numFmtId="167" fontId="177" fillId="8" borderId="121">
      <alignment horizontal="right" vertical="center"/>
    </xf>
    <xf numFmtId="186" fontId="171" fillId="8" borderId="140">
      <alignment horizontal="right" vertical="center"/>
    </xf>
    <xf numFmtId="182" fontId="171" fillId="8" borderId="140">
      <alignment horizontal="right" vertical="center"/>
    </xf>
    <xf numFmtId="170" fontId="172" fillId="8" borderId="140" applyBorder="0">
      <alignment horizontal="left" vertical="center"/>
    </xf>
    <xf numFmtId="170" fontId="131" fillId="8" borderId="121">
      <alignment vertical="center"/>
    </xf>
    <xf numFmtId="38" fontId="88" fillId="1" borderId="140"/>
    <xf numFmtId="3" fontId="50" fillId="0" borderId="140"/>
    <xf numFmtId="38" fontId="89" fillId="0" borderId="121"/>
    <xf numFmtId="0" fontId="219" fillId="0" borderId="140" applyBorder="0" applyProtection="0">
      <alignment horizontal="right" vertical="center"/>
    </xf>
    <xf numFmtId="0" fontId="220" fillId="47" borderId="140" applyBorder="0" applyProtection="0">
      <alignment horizontal="centerContinuous" vertical="center"/>
    </xf>
    <xf numFmtId="5" fontId="22" fillId="10" borderId="178" applyNumberFormat="0">
      <alignment horizontal="left" vertical="center"/>
      <protection locked="0"/>
    </xf>
    <xf numFmtId="3" fontId="30" fillId="0" borderId="121"/>
    <xf numFmtId="3" fontId="30" fillId="0" borderId="121"/>
    <xf numFmtId="5" fontId="22" fillId="10" borderId="178" applyNumberFormat="0">
      <alignment horizontal="left" vertical="center"/>
      <protection locked="0"/>
    </xf>
    <xf numFmtId="0" fontId="73" fillId="19" borderId="183" applyNumberFormat="0" applyAlignment="0" applyProtection="0"/>
    <xf numFmtId="0" fontId="73" fillId="19" borderId="183" applyNumberFormat="0" applyAlignment="0" applyProtection="0"/>
    <xf numFmtId="242" fontId="2" fillId="0" borderId="142" applyFill="0" applyBorder="0" applyAlignment="0" applyProtection="0">
      <alignment horizontal="right"/>
    </xf>
    <xf numFmtId="239" fontId="107" fillId="0" borderId="142"/>
    <xf numFmtId="37" fontId="115" fillId="47" borderId="142" applyBorder="0">
      <alignment horizontal="left" vertical="center" indent="1"/>
    </xf>
    <xf numFmtId="0" fontId="184" fillId="0" borderId="142" applyFill="0" applyBorder="0" applyProtection="0">
      <alignment horizontal="left" vertical="top"/>
    </xf>
    <xf numFmtId="0" fontId="73" fillId="19" borderId="183" applyNumberFormat="0" applyAlignment="0" applyProtection="0"/>
    <xf numFmtId="3" fontId="30" fillId="0" borderId="121"/>
    <xf numFmtId="3" fontId="50" fillId="0" borderId="140"/>
    <xf numFmtId="3" fontId="30" fillId="0" borderId="121"/>
    <xf numFmtId="0" fontId="34" fillId="0" borderId="140" applyNumberFormat="0" applyFill="0" applyAlignment="0" applyProtection="0"/>
    <xf numFmtId="0" fontId="57" fillId="0" borderId="181"/>
    <xf numFmtId="0" fontId="66" fillId="32" borderId="163" applyNumberFormat="0" applyAlignment="0" applyProtection="0"/>
    <xf numFmtId="0" fontId="73" fillId="19" borderId="163" applyNumberFormat="0" applyAlignment="0" applyProtection="0"/>
    <xf numFmtId="0" fontId="30" fillId="35" borderId="164" applyNumberFormat="0" applyFont="0" applyAlignment="0" applyProtection="0"/>
    <xf numFmtId="0" fontId="66" fillId="42" borderId="163" applyNumberFormat="0" applyAlignment="0" applyProtection="0"/>
    <xf numFmtId="0" fontId="73" fillId="19" borderId="163" applyNumberFormat="0" applyAlignment="0" applyProtection="0"/>
    <xf numFmtId="0" fontId="30" fillId="35" borderId="164" applyNumberFormat="0" applyFont="0" applyAlignment="0" applyProtection="0"/>
    <xf numFmtId="0" fontId="238" fillId="35" borderId="164" applyNumberFormat="0" applyFont="0" applyAlignment="0" applyProtection="0"/>
    <xf numFmtId="0" fontId="78" fillId="0" borderId="185" applyNumberFormat="0" applyFill="0" applyAlignment="0" applyProtection="0"/>
    <xf numFmtId="0" fontId="33" fillId="0" borderId="154">
      <alignment horizontal="left" vertical="center"/>
    </xf>
    <xf numFmtId="5" fontId="22" fillId="10" borderId="159" applyNumberFormat="0">
      <alignment horizontal="left" vertical="center"/>
      <protection locked="0"/>
    </xf>
    <xf numFmtId="3" fontId="52" fillId="0" borderId="154"/>
    <xf numFmtId="0" fontId="62" fillId="0" borderId="181" applyNumberFormat="0" applyFill="0" applyAlignment="0" applyProtection="0"/>
    <xf numFmtId="0" fontId="62" fillId="0" borderId="181" applyNumberFormat="0" applyFill="0" applyAlignment="0" applyProtection="0"/>
    <xf numFmtId="37" fontId="94" fillId="8" borderId="153" applyBorder="0" applyProtection="0">
      <alignment vertical="center"/>
    </xf>
    <xf numFmtId="0" fontId="66" fillId="32" borderId="163" applyNumberFormat="0" applyAlignment="0" applyProtection="0"/>
    <xf numFmtId="0" fontId="66" fillId="32" borderId="163" applyNumberFormat="0" applyAlignment="0" applyProtection="0"/>
    <xf numFmtId="0" fontId="157" fillId="42" borderId="163" applyNumberFormat="0" applyAlignment="0" applyProtection="0"/>
    <xf numFmtId="0" fontId="157" fillId="42" borderId="163" applyNumberFormat="0" applyAlignment="0" applyProtection="0"/>
    <xf numFmtId="37" fontId="57" fillId="0" borderId="181"/>
    <xf numFmtId="37" fontId="120" fillId="0" borderId="154" applyNumberFormat="0" applyFont="0" applyFill="0" applyBorder="0">
      <alignment horizontal="centerContinuous"/>
    </xf>
    <xf numFmtId="37" fontId="120" fillId="0" borderId="154" applyNumberFormat="0" applyFont="0" applyFill="0" applyBorder="0">
      <alignment horizontal="centerContinuous"/>
    </xf>
    <xf numFmtId="37" fontId="120" fillId="0" borderId="154" applyNumberFormat="0" applyFont="0" applyFill="0" applyBorder="0">
      <alignment horizontal="centerContinuous"/>
    </xf>
    <xf numFmtId="37" fontId="120" fillId="0" borderId="154" applyNumberFormat="0" applyFont="0" applyFill="0" applyBorder="0">
      <alignment horizontal="centerContinuous"/>
    </xf>
    <xf numFmtId="37" fontId="120" fillId="0" borderId="154" applyNumberFormat="0" applyFont="0" applyFill="0" applyBorder="0">
      <alignment horizontal="centerContinuous"/>
    </xf>
    <xf numFmtId="0" fontId="73" fillId="19" borderId="163" applyNumberFormat="0" applyAlignment="0" applyProtection="0"/>
    <xf numFmtId="0" fontId="73" fillId="19" borderId="163" applyNumberFormat="0" applyAlignment="0" applyProtection="0"/>
    <xf numFmtId="0" fontId="73" fillId="34" borderId="163" applyNumberFormat="0" applyAlignment="0" applyProtection="0"/>
    <xf numFmtId="0" fontId="73" fillId="34" borderId="163" applyNumberFormat="0" applyAlignment="0" applyProtection="0"/>
    <xf numFmtId="5" fontId="22" fillId="10" borderId="159" applyNumberFormat="0">
      <alignment horizontal="left" vertical="center"/>
      <protection locked="0"/>
    </xf>
    <xf numFmtId="0" fontId="30" fillId="35" borderId="164" applyNumberFormat="0" applyFont="0" applyAlignment="0" applyProtection="0"/>
    <xf numFmtId="0" fontId="2" fillId="35" borderId="164" applyNumberFormat="0" applyFont="0" applyAlignment="0" applyProtection="0"/>
    <xf numFmtId="0" fontId="2" fillId="35" borderId="164" applyNumberFormat="0" applyFont="0" applyAlignment="0" applyProtection="0"/>
    <xf numFmtId="0" fontId="2" fillId="35" borderId="164" applyNumberFormat="0" applyFont="0" applyAlignment="0" applyProtection="0"/>
    <xf numFmtId="0" fontId="2" fillId="35" borderId="164" applyNumberFormat="0" applyFont="0" applyAlignment="0" applyProtection="0"/>
    <xf numFmtId="0" fontId="2" fillId="35" borderId="164" applyNumberFormat="0" applyFont="0" applyAlignment="0" applyProtection="0"/>
    <xf numFmtId="0" fontId="2" fillId="35" borderId="164" applyNumberFormat="0" applyFont="0" applyAlignment="0" applyProtection="0"/>
    <xf numFmtId="38" fontId="201" fillId="8" borderId="175">
      <alignment horizontal="right" vertical="center"/>
      <protection hidden="1"/>
    </xf>
    <xf numFmtId="0" fontId="202" fillId="38" borderId="175">
      <alignment horizontal="left" vertical="center"/>
      <protection hidden="1"/>
    </xf>
    <xf numFmtId="0" fontId="202" fillId="38" borderId="175">
      <alignment horizontal="center" vertical="center" wrapText="1"/>
      <protection hidden="1"/>
    </xf>
    <xf numFmtId="0" fontId="78" fillId="0" borderId="185" applyNumberFormat="0" applyFill="0" applyAlignment="0" applyProtection="0"/>
    <xf numFmtId="0" fontId="213" fillId="1" borderId="154" applyNumberFormat="0" applyFont="0" applyAlignment="0">
      <alignment horizontal="center"/>
    </xf>
    <xf numFmtId="0" fontId="221" fillId="0" borderId="180"/>
    <xf numFmtId="196" fontId="225" fillId="0" borderId="180">
      <alignment horizontal="centerContinuous"/>
    </xf>
    <xf numFmtId="0" fontId="57" fillId="0" borderId="181"/>
    <xf numFmtId="0" fontId="73" fillId="19" borderId="163" applyNumberFormat="0" applyAlignment="0" applyProtection="0"/>
    <xf numFmtId="0" fontId="73" fillId="19" borderId="163" applyNumberFormat="0" applyAlignment="0" applyProtection="0"/>
    <xf numFmtId="0" fontId="73" fillId="19" borderId="163" applyNumberFormat="0" applyAlignment="0" applyProtection="0"/>
    <xf numFmtId="0" fontId="73" fillId="19" borderId="163" applyNumberFormat="0" applyAlignment="0" applyProtection="0"/>
    <xf numFmtId="0" fontId="33" fillId="0" borderId="154">
      <alignment horizontal="left" vertical="center"/>
    </xf>
    <xf numFmtId="3" fontId="52" fillId="0" borderId="154"/>
    <xf numFmtId="3" fontId="52" fillId="0" borderId="154"/>
    <xf numFmtId="5" fontId="22" fillId="10" borderId="159" applyNumberFormat="0">
      <alignment horizontal="left" vertical="center"/>
      <protection locked="0"/>
    </xf>
    <xf numFmtId="0" fontId="33" fillId="0" borderId="154">
      <alignment horizontal="left" vertical="center"/>
    </xf>
    <xf numFmtId="3" fontId="52" fillId="0" borderId="154"/>
    <xf numFmtId="5" fontId="22" fillId="10" borderId="159" applyNumberFormat="0">
      <alignment horizontal="left" vertical="center"/>
      <protection locked="0"/>
    </xf>
    <xf numFmtId="0" fontId="33" fillId="0" borderId="154">
      <alignment horizontal="left" vertical="center"/>
    </xf>
    <xf numFmtId="0" fontId="78" fillId="0" borderId="185" applyNumberFormat="0" applyFill="0" applyAlignment="0" applyProtection="0"/>
    <xf numFmtId="0" fontId="78" fillId="0" borderId="185" applyNumberFormat="0" applyFill="0" applyAlignment="0" applyProtection="0"/>
    <xf numFmtId="3" fontId="30" fillId="0" borderId="17"/>
    <xf numFmtId="167" fontId="177" fillId="8" borderId="17">
      <alignment horizontal="right" vertical="center"/>
    </xf>
    <xf numFmtId="170" fontId="131" fillId="8" borderId="17">
      <alignment vertical="center"/>
    </xf>
    <xf numFmtId="38" fontId="89" fillId="0" borderId="17"/>
    <xf numFmtId="5" fontId="22" fillId="10" borderId="159" applyNumberFormat="0">
      <alignment horizontal="left" vertical="center"/>
      <protection locked="0"/>
    </xf>
    <xf numFmtId="3" fontId="30" fillId="0" borderId="17"/>
    <xf numFmtId="3" fontId="30" fillId="0" borderId="17"/>
    <xf numFmtId="5" fontId="22" fillId="10" borderId="159" applyNumberFormat="0">
      <alignment horizontal="left" vertical="center"/>
      <protection locked="0"/>
    </xf>
    <xf numFmtId="0" fontId="73" fillId="19" borderId="163" applyNumberFormat="0" applyAlignment="0" applyProtection="0"/>
    <xf numFmtId="0" fontId="73" fillId="19" borderId="163" applyNumberFormat="0" applyAlignment="0" applyProtection="0"/>
    <xf numFmtId="0" fontId="73" fillId="19" borderId="163" applyNumberFormat="0" applyAlignment="0" applyProtection="0"/>
    <xf numFmtId="3" fontId="30" fillId="0" borderId="17"/>
    <xf numFmtId="3" fontId="30" fillId="0" borderId="17"/>
    <xf numFmtId="0" fontId="57" fillId="0" borderId="160">
      <alignment vertical="center"/>
    </xf>
    <xf numFmtId="0" fontId="57" fillId="0" borderId="160">
      <alignment vertic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1" fontId="88" fillId="65" borderId="179">
      <alignment horizontal="center"/>
    </xf>
    <xf numFmtId="0" fontId="257" fillId="70" borderId="182" applyBorder="0"/>
    <xf numFmtId="0" fontId="257" fillId="70" borderId="182" applyBorder="0"/>
    <xf numFmtId="0" fontId="257" fillId="70" borderId="182" applyBorder="0"/>
    <xf numFmtId="0" fontId="257" fillId="70" borderId="153" applyBorder="0"/>
    <xf numFmtId="0" fontId="257" fillId="70" borderId="153" applyBorder="0"/>
    <xf numFmtId="0" fontId="257" fillId="70" borderId="153" applyBorder="0"/>
    <xf numFmtId="0" fontId="257" fillId="70" borderId="153" applyBorder="0"/>
    <xf numFmtId="0" fontId="257" fillId="70" borderId="153" applyBorder="0"/>
    <xf numFmtId="0" fontId="257" fillId="70" borderId="153" applyBorder="0"/>
    <xf numFmtId="0" fontId="73" fillId="19" borderId="183" applyNumberFormat="0" applyAlignment="0" applyProtection="0"/>
    <xf numFmtId="0" fontId="66" fillId="32" borderId="163" applyNumberFormat="0" applyAlignment="0" applyProtection="0"/>
    <xf numFmtId="0" fontId="66" fillId="32" borderId="183" applyNumberFormat="0" applyAlignment="0" applyProtection="0"/>
    <xf numFmtId="0" fontId="73" fillId="19" borderId="163" applyNumberFormat="0" applyAlignment="0" applyProtection="0"/>
    <xf numFmtId="0" fontId="66" fillId="32" borderId="183" applyNumberFormat="0" applyAlignment="0" applyProtection="0"/>
    <xf numFmtId="0" fontId="30" fillId="35" borderId="164" applyNumberFormat="0" applyFont="0" applyAlignment="0" applyProtection="0"/>
    <xf numFmtId="0" fontId="76" fillId="32" borderId="165" applyNumberFormat="0" applyAlignment="0" applyProtection="0"/>
    <xf numFmtId="0" fontId="66" fillId="42" borderId="183" applyNumberFormat="0" applyAlignment="0" applyProtection="0"/>
    <xf numFmtId="0" fontId="76" fillId="32" borderId="187" applyNumberFormat="0" applyAlignment="0" applyProtection="0"/>
    <xf numFmtId="0" fontId="30" fillId="35" borderId="184" applyNumberFormat="0" applyFont="0" applyAlignment="0" applyProtection="0"/>
    <xf numFmtId="0" fontId="73" fillId="19" borderId="183" applyNumberFormat="0" applyAlignment="0" applyProtection="0"/>
    <xf numFmtId="0" fontId="78" fillId="0" borderId="185" applyNumberFormat="0" applyFill="0" applyAlignment="0" applyProtection="0"/>
    <xf numFmtId="0" fontId="78" fillId="0" borderId="188" applyNumberFormat="0" applyFill="0" applyAlignment="0" applyProtection="0"/>
    <xf numFmtId="0" fontId="78" fillId="0" borderId="166" applyNumberFormat="0" applyFill="0" applyAlignment="0" applyProtection="0"/>
    <xf numFmtId="0" fontId="73" fillId="19" borderId="163" applyNumberFormat="0" applyAlignment="0" applyProtection="0"/>
    <xf numFmtId="0" fontId="30" fillId="35" borderId="164" applyNumberFormat="0" applyFont="0" applyAlignment="0" applyProtection="0"/>
    <xf numFmtId="0" fontId="76" fillId="32" borderId="165" applyNumberFormat="0" applyAlignment="0" applyProtection="0"/>
    <xf numFmtId="0" fontId="76" fillId="32" borderId="165" applyNumberFormat="0" applyAlignment="0" applyProtection="0"/>
    <xf numFmtId="0" fontId="66" fillId="32" borderId="163" applyNumberFormat="0" applyAlignment="0" applyProtection="0"/>
    <xf numFmtId="0" fontId="78" fillId="0" borderId="166" applyNumberFormat="0" applyFill="0" applyAlignment="0" applyProtection="0"/>
    <xf numFmtId="0" fontId="30" fillId="35" borderId="164" applyNumberFormat="0" applyFont="0" applyAlignment="0" applyProtection="0"/>
    <xf numFmtId="0" fontId="66" fillId="32" borderId="163" applyNumberFormat="0" applyAlignment="0" applyProtection="0"/>
    <xf numFmtId="0" fontId="73" fillId="19" borderId="163" applyNumberFormat="0" applyAlignment="0" applyProtection="0"/>
    <xf numFmtId="0" fontId="30" fillId="35" borderId="164" applyNumberFormat="0" applyFont="0" applyAlignment="0" applyProtection="0"/>
    <xf numFmtId="0" fontId="238" fillId="35" borderId="164" applyNumberFormat="0" applyFont="0" applyAlignment="0" applyProtection="0"/>
    <xf numFmtId="0" fontId="76" fillId="32" borderId="165" applyNumberFormat="0" applyAlignment="0" applyProtection="0"/>
    <xf numFmtId="0" fontId="78" fillId="0" borderId="166" applyNumberFormat="0" applyFill="0" applyAlignment="0" applyProtection="0"/>
    <xf numFmtId="0" fontId="76" fillId="42" borderId="165" applyNumberFormat="0" applyAlignment="0" applyProtection="0"/>
    <xf numFmtId="0" fontId="78" fillId="0" borderId="185" applyNumberFormat="0" applyFill="0" applyAlignment="0" applyProtection="0"/>
    <xf numFmtId="0" fontId="66" fillId="32" borderId="183" applyNumberFormat="0" applyAlignment="0" applyProtection="0"/>
    <xf numFmtId="0" fontId="73" fillId="19" borderId="183" applyNumberFormat="0" applyAlignment="0" applyProtection="0"/>
    <xf numFmtId="0" fontId="30" fillId="35" borderId="184" applyNumberFormat="0" applyFont="0" applyAlignment="0" applyProtection="0"/>
    <xf numFmtId="0" fontId="76" fillId="32" borderId="187" applyNumberFormat="0" applyAlignment="0" applyProtection="0"/>
    <xf numFmtId="0" fontId="78" fillId="0" borderId="188" applyNumberFormat="0" applyFill="0" applyAlignment="0" applyProtection="0"/>
    <xf numFmtId="0" fontId="66" fillId="42" borderId="183" applyNumberFormat="0" applyAlignment="0" applyProtection="0"/>
    <xf numFmtId="0" fontId="66" fillId="32" borderId="183" applyNumberFormat="0" applyAlignment="0" applyProtection="0"/>
    <xf numFmtId="0" fontId="73" fillId="19" borderId="183" applyNumberFormat="0" applyAlignment="0" applyProtection="0"/>
    <xf numFmtId="0" fontId="30" fillId="35" borderId="184" applyNumberFormat="0" applyFont="0" applyAlignment="0" applyProtection="0"/>
    <xf numFmtId="0" fontId="238" fillId="35" borderId="184" applyNumberFormat="0" applyFont="0" applyAlignment="0" applyProtection="0"/>
    <xf numFmtId="0" fontId="76" fillId="42" borderId="187" applyNumberFormat="0" applyAlignment="0" applyProtection="0"/>
    <xf numFmtId="0" fontId="76" fillId="32" borderId="187" applyNumberFormat="0" applyAlignment="0" applyProtection="0"/>
    <xf numFmtId="0" fontId="78" fillId="0" borderId="185" applyNumberFormat="0" applyFill="0" applyAlignment="0" applyProtection="0"/>
    <xf numFmtId="0" fontId="78" fillId="0" borderId="188" applyNumberFormat="0" applyFill="0" applyAlignment="0" applyProtection="0"/>
    <xf numFmtId="0" fontId="78" fillId="0" borderId="188" applyNumberFormat="0" applyFill="0" applyAlignment="0" applyProtection="0"/>
    <xf numFmtId="0" fontId="73" fillId="19" borderId="183" applyNumberFormat="0" applyAlignment="0" applyProtection="0"/>
    <xf numFmtId="0" fontId="73" fillId="19" borderId="183" applyNumberFormat="0" applyAlignment="0" applyProtection="0"/>
    <xf numFmtId="0" fontId="66" fillId="32" borderId="183" applyNumberFormat="0" applyAlignment="0" applyProtection="0"/>
    <xf numFmtId="0" fontId="66" fillId="32" borderId="183" applyNumberFormat="0" applyAlignment="0" applyProtection="0"/>
    <xf numFmtId="0" fontId="66" fillId="42" borderId="183" applyNumberFormat="0" applyAlignment="0" applyProtection="0"/>
    <xf numFmtId="0" fontId="30" fillId="35" borderId="184" applyNumberFormat="0" applyFont="0" applyAlignment="0" applyProtection="0"/>
    <xf numFmtId="0" fontId="76" fillId="32" borderId="187" applyNumberFormat="0" applyAlignment="0" applyProtection="0"/>
    <xf numFmtId="0" fontId="238" fillId="35" borderId="184" applyNumberFormat="0" applyFont="0" applyAlignment="0" applyProtection="0"/>
    <xf numFmtId="0" fontId="66" fillId="42" borderId="183" applyNumberFormat="0" applyAlignment="0" applyProtection="0"/>
    <xf numFmtId="0" fontId="78" fillId="0" borderId="188" applyNumberFormat="0" applyFill="0" applyAlignment="0" applyProtection="0"/>
    <xf numFmtId="0" fontId="76" fillId="32" borderId="187" applyNumberFormat="0" applyAlignment="0" applyProtection="0"/>
    <xf numFmtId="0" fontId="66" fillId="32" borderId="183" applyNumberFormat="0" applyAlignment="0" applyProtection="0"/>
    <xf numFmtId="0" fontId="78" fillId="0" borderId="188" applyNumberFormat="0" applyFill="0" applyAlignment="0" applyProtection="0"/>
    <xf numFmtId="0" fontId="76" fillId="32" borderId="187" applyNumberFormat="0" applyAlignment="0" applyProtection="0"/>
    <xf numFmtId="0" fontId="30" fillId="35" borderId="184" applyNumberFormat="0" applyFont="0" applyAlignment="0" applyProtection="0"/>
    <xf numFmtId="0" fontId="73" fillId="19" borderId="183" applyNumberFormat="0" applyAlignment="0" applyProtection="0"/>
    <xf numFmtId="0" fontId="66" fillId="32" borderId="183" applyNumberFormat="0" applyAlignment="0" applyProtection="0"/>
    <xf numFmtId="0" fontId="73" fillId="19" borderId="183" applyNumberFormat="0" applyAlignment="0" applyProtection="0"/>
    <xf numFmtId="0" fontId="30" fillId="35" borderId="184" applyNumberFormat="0" applyFont="0" applyAlignment="0" applyProtection="0"/>
    <xf numFmtId="0" fontId="238" fillId="35" borderId="184" applyNumberFormat="0" applyFont="0" applyAlignment="0" applyProtection="0"/>
    <xf numFmtId="0" fontId="76" fillId="42" borderId="187" applyNumberFormat="0" applyAlignment="0" applyProtection="0"/>
    <xf numFmtId="0" fontId="76" fillId="32" borderId="187" applyNumberFormat="0" applyAlignment="0" applyProtection="0"/>
    <xf numFmtId="0" fontId="78" fillId="0" borderId="188" applyNumberFormat="0" applyFill="0" applyAlignment="0" applyProtection="0"/>
    <xf numFmtId="0" fontId="30" fillId="35" borderId="184" applyNumberFormat="0" applyFont="0" applyAlignment="0" applyProtection="0"/>
    <xf numFmtId="0" fontId="76" fillId="42" borderId="187" applyNumberFormat="0" applyAlignment="0" applyProtection="0"/>
    <xf numFmtId="0" fontId="78" fillId="0" borderId="185" applyNumberFormat="0" applyFill="0" applyAlignment="0" applyProtection="0"/>
    <xf numFmtId="0" fontId="30" fillId="35" borderId="184" applyNumberFormat="0" applyFont="0" applyAlignment="0" applyProtection="0"/>
    <xf numFmtId="0" fontId="238" fillId="35" borderId="184" applyNumberFormat="0" applyFont="0" applyAlignment="0" applyProtection="0"/>
    <xf numFmtId="0" fontId="76" fillId="42" borderId="187" applyNumberFormat="0" applyAlignment="0" applyProtection="0"/>
    <xf numFmtId="0" fontId="76" fillId="32" borderId="187" applyNumberFormat="0" applyAlignment="0" applyProtection="0"/>
    <xf numFmtId="0" fontId="78" fillId="0" borderId="185" applyNumberFormat="0" applyFill="0" applyAlignment="0" applyProtection="0"/>
    <xf numFmtId="0" fontId="78" fillId="0" borderId="188" applyNumberFormat="0" applyFill="0" applyAlignment="0" applyProtection="0"/>
    <xf numFmtId="0" fontId="78" fillId="0" borderId="188" applyNumberFormat="0" applyFill="0" applyAlignment="0" applyProtection="0"/>
    <xf numFmtId="0" fontId="73" fillId="19" borderId="183" applyNumberFormat="0" applyAlignment="0" applyProtection="0"/>
    <xf numFmtId="0" fontId="73" fillId="19" borderId="183" applyNumberFormat="0" applyAlignment="0" applyProtection="0"/>
    <xf numFmtId="0" fontId="66" fillId="32" borderId="183" applyNumberFormat="0" applyAlignment="0" applyProtection="0"/>
    <xf numFmtId="0" fontId="66" fillId="32" borderId="183" applyNumberFormat="0" applyAlignment="0" applyProtection="0"/>
    <xf numFmtId="0" fontId="66" fillId="42" borderId="183" applyNumberFormat="0" applyAlignment="0" applyProtection="0"/>
    <xf numFmtId="0" fontId="30" fillId="35" borderId="184" applyNumberFormat="0" applyFont="0" applyAlignment="0" applyProtection="0"/>
    <xf numFmtId="0" fontId="76" fillId="32" borderId="187" applyNumberFormat="0" applyAlignment="0" applyProtection="0"/>
    <xf numFmtId="0" fontId="238" fillId="35" borderId="184" applyNumberFormat="0" applyFont="0" applyAlignment="0" applyProtection="0"/>
    <xf numFmtId="0" fontId="66" fillId="42" borderId="183" applyNumberFormat="0" applyAlignment="0" applyProtection="0"/>
    <xf numFmtId="0" fontId="78" fillId="0" borderId="188" applyNumberFormat="0" applyFill="0" applyAlignment="0" applyProtection="0"/>
    <xf numFmtId="0" fontId="76" fillId="32" borderId="187" applyNumberFormat="0" applyAlignment="0" applyProtection="0"/>
    <xf numFmtId="0" fontId="66" fillId="32" borderId="183" applyNumberFormat="0" applyAlignment="0" applyProtection="0"/>
    <xf numFmtId="0" fontId="78" fillId="0" borderId="188" applyNumberFormat="0" applyFill="0" applyAlignment="0" applyProtection="0"/>
    <xf numFmtId="0" fontId="76" fillId="32" borderId="187" applyNumberFormat="0" applyAlignment="0" applyProtection="0"/>
    <xf numFmtId="0" fontId="30" fillId="35" borderId="184" applyNumberFormat="0" applyFont="0" applyAlignment="0" applyProtection="0"/>
    <xf numFmtId="0" fontId="73" fillId="19" borderId="183" applyNumberFormat="0" applyAlignment="0" applyProtection="0"/>
    <xf numFmtId="0" fontId="66" fillId="32" borderId="183" applyNumberFormat="0" applyAlignment="0" applyProtection="0"/>
    <xf numFmtId="0" fontId="73" fillId="19" borderId="183" applyNumberFormat="0" applyAlignment="0" applyProtection="0"/>
    <xf numFmtId="0" fontId="30" fillId="35" borderId="184" applyNumberFormat="0" applyFont="0" applyAlignment="0" applyProtection="0"/>
    <xf numFmtId="0" fontId="238" fillId="35" borderId="184" applyNumberFormat="0" applyFont="0" applyAlignment="0" applyProtection="0"/>
    <xf numFmtId="0" fontId="76" fillId="42" borderId="187" applyNumberFormat="0" applyAlignment="0" applyProtection="0"/>
    <xf numFmtId="0" fontId="76" fillId="32" borderId="187" applyNumberFormat="0" applyAlignment="0" applyProtection="0"/>
    <xf numFmtId="0" fontId="78" fillId="0" borderId="188" applyNumberFormat="0" applyFill="0" applyAlignment="0" applyProtection="0"/>
    <xf numFmtId="0" fontId="30" fillId="35" borderId="184" applyNumberFormat="0" applyFont="0" applyAlignment="0" applyProtection="0"/>
    <xf numFmtId="0" fontId="76" fillId="42" borderId="187" applyNumberFormat="0" applyAlignment="0" applyProtection="0"/>
    <xf numFmtId="0" fontId="78" fillId="0" borderId="185" applyNumberFormat="0" applyFill="0" applyAlignment="0" applyProtection="0"/>
    <xf numFmtId="0" fontId="66" fillId="32" borderId="183" applyNumberFormat="0" applyAlignment="0" applyProtection="0"/>
    <xf numFmtId="0" fontId="73" fillId="19" borderId="183" applyNumberFormat="0" applyAlignment="0" applyProtection="0"/>
    <xf numFmtId="0" fontId="30" fillId="35" borderId="184" applyNumberFormat="0" applyFont="0" applyAlignment="0" applyProtection="0"/>
    <xf numFmtId="0" fontId="76" fillId="32" borderId="187" applyNumberFormat="0" applyAlignment="0" applyProtection="0"/>
    <xf numFmtId="0" fontId="78" fillId="0" borderId="188" applyNumberFormat="0" applyFill="0" applyAlignment="0" applyProtection="0"/>
    <xf numFmtId="0" fontId="66" fillId="42" borderId="183" applyNumberFormat="0" applyAlignment="0" applyProtection="0"/>
    <xf numFmtId="0" fontId="66" fillId="32" borderId="183" applyNumberFormat="0" applyAlignment="0" applyProtection="0"/>
    <xf numFmtId="0" fontId="73" fillId="19" borderId="183" applyNumberFormat="0" applyAlignment="0" applyProtection="0"/>
    <xf numFmtId="0" fontId="30" fillId="35" borderId="184" applyNumberFormat="0" applyFont="0" applyAlignment="0" applyProtection="0"/>
    <xf numFmtId="0" fontId="238" fillId="35" borderId="184" applyNumberFormat="0" applyFont="0" applyAlignment="0" applyProtection="0"/>
    <xf numFmtId="0" fontId="76" fillId="42" borderId="187" applyNumberFormat="0" applyAlignment="0" applyProtection="0"/>
    <xf numFmtId="0" fontId="76" fillId="32" borderId="187" applyNumberFormat="0" applyAlignment="0" applyProtection="0"/>
    <xf numFmtId="0" fontId="78" fillId="0" borderId="185" applyNumberFormat="0" applyFill="0" applyAlignment="0" applyProtection="0"/>
    <xf numFmtId="0" fontId="78" fillId="0" borderId="188" applyNumberFormat="0" applyFill="0" applyAlignment="0" applyProtection="0"/>
    <xf numFmtId="0" fontId="78" fillId="0" borderId="188" applyNumberFormat="0" applyFill="0" applyAlignment="0" applyProtection="0"/>
    <xf numFmtId="0" fontId="73" fillId="19" borderId="183" applyNumberFormat="0" applyAlignment="0" applyProtection="0"/>
    <xf numFmtId="0" fontId="73" fillId="19" borderId="183" applyNumberFormat="0" applyAlignment="0" applyProtection="0"/>
    <xf numFmtId="0" fontId="66" fillId="32" borderId="183" applyNumberFormat="0" applyAlignment="0" applyProtection="0"/>
    <xf numFmtId="0" fontId="66" fillId="32" borderId="183" applyNumberFormat="0" applyAlignment="0" applyProtection="0"/>
    <xf numFmtId="0" fontId="66" fillId="42" borderId="183" applyNumberFormat="0" applyAlignment="0" applyProtection="0"/>
    <xf numFmtId="0" fontId="30" fillId="35" borderId="184" applyNumberFormat="0" applyFont="0" applyAlignment="0" applyProtection="0"/>
    <xf numFmtId="0" fontId="76" fillId="32" borderId="187" applyNumberFormat="0" applyAlignment="0" applyProtection="0"/>
    <xf numFmtId="0" fontId="238" fillId="35" borderId="184" applyNumberFormat="0" applyFont="0" applyAlignment="0" applyProtection="0"/>
    <xf numFmtId="0" fontId="66" fillId="42" borderId="183" applyNumberFormat="0" applyAlignment="0" applyProtection="0"/>
    <xf numFmtId="0" fontId="78" fillId="0" borderId="188" applyNumberFormat="0" applyFill="0" applyAlignment="0" applyProtection="0"/>
    <xf numFmtId="0" fontId="76" fillId="32" borderId="187" applyNumberFormat="0" applyAlignment="0" applyProtection="0"/>
    <xf numFmtId="0" fontId="66" fillId="32" borderId="183" applyNumberFormat="0" applyAlignment="0" applyProtection="0"/>
    <xf numFmtId="0" fontId="78" fillId="0" borderId="188" applyNumberFormat="0" applyFill="0" applyAlignment="0" applyProtection="0"/>
    <xf numFmtId="0" fontId="76" fillId="32" borderId="187" applyNumberFormat="0" applyAlignment="0" applyProtection="0"/>
    <xf numFmtId="0" fontId="30" fillId="35" borderId="184" applyNumberFormat="0" applyFont="0" applyAlignment="0" applyProtection="0"/>
    <xf numFmtId="0" fontId="73" fillId="19" borderId="183" applyNumberFormat="0" applyAlignment="0" applyProtection="0"/>
    <xf numFmtId="0" fontId="66" fillId="32" borderId="183" applyNumberFormat="0" applyAlignment="0" applyProtection="0"/>
    <xf numFmtId="0" fontId="73" fillId="19" borderId="183" applyNumberFormat="0" applyAlignment="0" applyProtection="0"/>
    <xf numFmtId="0" fontId="30" fillId="35" borderId="184" applyNumberFormat="0" applyFont="0" applyAlignment="0" applyProtection="0"/>
    <xf numFmtId="0" fontId="238" fillId="35" borderId="184" applyNumberFormat="0" applyFont="0" applyAlignment="0" applyProtection="0"/>
    <xf numFmtId="0" fontId="76" fillId="42" borderId="187" applyNumberFormat="0" applyAlignment="0" applyProtection="0"/>
    <xf numFmtId="0" fontId="76" fillId="32" borderId="187" applyNumberFormat="0" applyAlignment="0" applyProtection="0"/>
    <xf numFmtId="0" fontId="78" fillId="0" borderId="188" applyNumberFormat="0" applyFill="0" applyAlignment="0" applyProtection="0"/>
    <xf numFmtId="0" fontId="30" fillId="35" borderId="184" applyNumberFormat="0" applyFont="0" applyAlignment="0" applyProtection="0"/>
    <xf numFmtId="0" fontId="76" fillId="42" borderId="187" applyNumberFormat="0" applyAlignment="0" applyProtection="0"/>
    <xf numFmtId="0" fontId="78" fillId="0" borderId="185" applyNumberFormat="0" applyFill="0" applyAlignment="0" applyProtection="0"/>
    <xf numFmtId="0" fontId="2" fillId="0" borderId="0"/>
    <xf numFmtId="0" fontId="34" fillId="0" borderId="194" applyNumberFormat="0" applyFill="0" applyAlignment="0" applyProtection="0"/>
    <xf numFmtId="0" fontId="186" fillId="46" borderId="0" applyNumberFormat="0" applyBorder="0" applyProtection="0">
      <alignment horizontal="left" vertical="center"/>
    </xf>
    <xf numFmtId="0" fontId="266" fillId="0" borderId="194"/>
    <xf numFmtId="0" fontId="214" fillId="0" borderId="0" applyNumberFormat="0" applyFill="0" applyBorder="0" applyProtection="0">
      <alignment horizontal="right" vertical="center"/>
    </xf>
    <xf numFmtId="291" fontId="255" fillId="0" borderId="193" applyFont="0" applyFill="0" applyBorder="0" applyAlignment="0" applyProtection="0"/>
    <xf numFmtId="10" fontId="31" fillId="38" borderId="141" applyNumberFormat="0" applyBorder="0" applyAlignment="0" applyProtection="0"/>
    <xf numFmtId="0" fontId="159" fillId="0" borderId="194" applyNumberFormat="0" applyFill="0" applyBorder="0" applyProtection="0">
      <alignment horizontal="right" vertical="center"/>
    </xf>
    <xf numFmtId="0" fontId="283" fillId="0" borderId="195" applyFill="0" applyProtection="0">
      <alignment horizontal="right"/>
    </xf>
    <xf numFmtId="8" fontId="2" fillId="0" borderId="160" applyFont="0" applyFill="0" applyBorder="0" applyProtection="0">
      <alignment horizontal="right"/>
    </xf>
    <xf numFmtId="0" fontId="158" fillId="0" borderId="120" applyNumberFormat="0" applyFill="0" applyProtection="0">
      <alignment horizontal="center" vertical="center"/>
    </xf>
    <xf numFmtId="0" fontId="159" fillId="0" borderId="194" applyNumberFormat="0" applyFill="0" applyBorder="0" applyProtection="0">
      <alignment horizontal="right" vertical="center"/>
    </xf>
    <xf numFmtId="10" fontId="31" fillId="38" borderId="179" applyNumberFormat="0" applyBorder="0" applyAlignment="0" applyProtection="0"/>
    <xf numFmtId="5" fontId="22" fillId="10" borderId="178" applyNumberFormat="0">
      <alignment horizontal="left" vertical="center"/>
      <protection locked="0"/>
    </xf>
    <xf numFmtId="0" fontId="2" fillId="41" borderId="165" applyNumberFormat="0" applyProtection="0">
      <alignment horizontal="left" vertical="center" wrapText="1" indent="1"/>
    </xf>
    <xf numFmtId="10" fontId="31" fillId="38" borderId="141" applyNumberFormat="0" applyBorder="0" applyAlignment="0" applyProtection="0"/>
    <xf numFmtId="10" fontId="31" fillId="38" borderId="141" applyNumberFormat="0" applyBorder="0" applyAlignment="0" applyProtection="0"/>
    <xf numFmtId="0" fontId="187" fillId="1" borderId="0" applyNumberFormat="0" applyBorder="0" applyProtection="0">
      <alignment horizontal="left" vertical="center"/>
    </xf>
    <xf numFmtId="0" fontId="33" fillId="0" borderId="191">
      <alignment horizontal="left"/>
    </xf>
    <xf numFmtId="0" fontId="33" fillId="0" borderId="191">
      <alignment horizontal="left"/>
    </xf>
    <xf numFmtId="0" fontId="33" fillId="0" borderId="191">
      <alignment horizontal="left"/>
    </xf>
    <xf numFmtId="4" fontId="38" fillId="74" borderId="165" applyNumberFormat="0" applyProtection="0">
      <alignment horizontal="right" vertical="center"/>
    </xf>
    <xf numFmtId="37" fontId="291" fillId="0" borderId="196" applyNumberFormat="0" applyFill="0" applyBorder="0" applyAlignment="0">
      <protection locked="0"/>
    </xf>
    <xf numFmtId="0" fontId="269" fillId="0" borderId="0" applyNumberFormat="0" applyFont="0" applyFill="0" applyBorder="0" applyAlignment="0">
      <alignment horizontal="left" vertical="center"/>
    </xf>
    <xf numFmtId="3" fontId="52" fillId="0" borderId="191"/>
    <xf numFmtId="4" fontId="38" fillId="75" borderId="165" applyNumberFormat="0" applyProtection="0">
      <alignment horizontal="right" vertical="center"/>
    </xf>
    <xf numFmtId="4" fontId="38" fillId="68" borderId="165" applyNumberFormat="0" applyProtection="0">
      <alignment vertical="center"/>
    </xf>
    <xf numFmtId="4" fontId="298" fillId="68" borderId="165" applyNumberFormat="0" applyProtection="0">
      <alignment vertical="center"/>
    </xf>
    <xf numFmtId="4" fontId="38" fillId="68" borderId="165" applyNumberFormat="0" applyProtection="0">
      <alignment horizontal="left" vertical="center" indent="1"/>
    </xf>
    <xf numFmtId="4" fontId="38" fillId="68" borderId="165" applyNumberFormat="0" applyProtection="0">
      <alignment horizontal="left" vertical="center" indent="1"/>
    </xf>
    <xf numFmtId="0" fontId="2" fillId="11" borderId="165" applyNumberFormat="0" applyProtection="0">
      <alignment horizontal="left" vertical="center" indent="1"/>
    </xf>
    <xf numFmtId="4" fontId="38" fillId="76" borderId="165" applyNumberFormat="0" applyProtection="0">
      <alignment horizontal="right" vertical="center"/>
    </xf>
    <xf numFmtId="4" fontId="38" fillId="77" borderId="165" applyNumberFormat="0" applyProtection="0">
      <alignment horizontal="right" vertical="center"/>
    </xf>
    <xf numFmtId="4" fontId="38" fillId="56" borderId="165" applyNumberFormat="0" applyProtection="0">
      <alignment horizontal="right" vertical="center"/>
    </xf>
    <xf numFmtId="4" fontId="38" fillId="78" borderId="165" applyNumberFormat="0" applyProtection="0">
      <alignment horizontal="right" vertical="center"/>
    </xf>
    <xf numFmtId="4" fontId="38" fillId="79" borderId="165" applyNumberFormat="0" applyProtection="0">
      <alignment horizontal="right" vertical="center"/>
    </xf>
    <xf numFmtId="4" fontId="38" fillId="80" borderId="165" applyNumberFormat="0" applyProtection="0">
      <alignment horizontal="right" vertical="center"/>
    </xf>
    <xf numFmtId="4" fontId="38" fillId="81" borderId="165" applyNumberFormat="0" applyProtection="0">
      <alignment horizontal="right" vertical="center"/>
    </xf>
    <xf numFmtId="4" fontId="80" fillId="82" borderId="165" applyNumberFormat="0" applyProtection="0">
      <alignment horizontal="left" vertical="center" indent="1"/>
    </xf>
    <xf numFmtId="4" fontId="38" fillId="44" borderId="197" applyNumberFormat="0" applyProtection="0">
      <alignment horizontal="left" vertical="center" indent="1"/>
    </xf>
    <xf numFmtId="0" fontId="2" fillId="11" borderId="165" applyNumberFormat="0" applyProtection="0">
      <alignment horizontal="left" vertical="center" indent="1"/>
    </xf>
    <xf numFmtId="4" fontId="38" fillId="84" borderId="198" applyNumberFormat="0" applyProtection="0">
      <alignment horizontal="left" vertical="center" indent="1"/>
    </xf>
    <xf numFmtId="4" fontId="38" fillId="44" borderId="198" applyNumberFormat="0" applyProtection="0">
      <alignment horizontal="left" vertical="center" indent="1"/>
    </xf>
    <xf numFmtId="0" fontId="2" fillId="7" borderId="165" applyNumberFormat="0" applyProtection="0">
      <alignment horizontal="left" vertical="center" indent="1"/>
    </xf>
    <xf numFmtId="0" fontId="2" fillId="85" borderId="165" applyNumberFormat="0" applyProtection="0">
      <alignment horizontal="left" vertical="center" indent="1"/>
    </xf>
    <xf numFmtId="0" fontId="2" fillId="41" borderId="165" applyNumberFormat="0" applyProtection="0">
      <alignment horizontal="left" vertical="center" indent="1"/>
    </xf>
    <xf numFmtId="0" fontId="2" fillId="41" borderId="165" applyNumberFormat="0" applyProtection="0">
      <alignment horizontal="left" vertical="center" indent="1"/>
    </xf>
    <xf numFmtId="0" fontId="2" fillId="7" borderId="165" applyNumberFormat="0" applyProtection="0">
      <alignment horizontal="left" vertical="center" indent="1"/>
    </xf>
    <xf numFmtId="0" fontId="2" fillId="7" borderId="165" applyNumberFormat="0" applyProtection="0">
      <alignment horizontal="left" vertical="center" indent="1"/>
    </xf>
    <xf numFmtId="0" fontId="2" fillId="11" borderId="165" applyNumberFormat="0" applyProtection="0">
      <alignment horizontal="left" vertical="center" indent="1"/>
    </xf>
    <xf numFmtId="0" fontId="2" fillId="11" borderId="165" applyNumberFormat="0" applyProtection="0">
      <alignment horizontal="left" vertical="center" indent="1"/>
    </xf>
    <xf numFmtId="4" fontId="38" fillId="38" borderId="165" applyNumberFormat="0" applyProtection="0">
      <alignment vertical="center"/>
    </xf>
    <xf numFmtId="4" fontId="298" fillId="38" borderId="165" applyNumberFormat="0" applyProtection="0">
      <alignment vertical="center"/>
    </xf>
    <xf numFmtId="4" fontId="38" fillId="38" borderId="165" applyNumberFormat="0" applyProtection="0">
      <alignment horizontal="left" vertical="center" indent="1"/>
    </xf>
    <xf numFmtId="4" fontId="38" fillId="38" borderId="165" applyNumberFormat="0" applyProtection="0">
      <alignment horizontal="left" vertical="center" indent="1"/>
    </xf>
    <xf numFmtId="4" fontId="38" fillId="84" borderId="165" applyNumberFormat="0" applyProtection="0">
      <alignment horizontal="right" vertical="center"/>
    </xf>
    <xf numFmtId="4" fontId="298" fillId="84" borderId="165" applyNumberFormat="0" applyProtection="0">
      <alignment horizontal="right" vertical="center"/>
    </xf>
    <xf numFmtId="0" fontId="2" fillId="11" borderId="165" applyNumberFormat="0" applyProtection="0">
      <alignment horizontal="left" vertical="center" indent="1"/>
    </xf>
    <xf numFmtId="4" fontId="282" fillId="84" borderId="165" applyNumberFormat="0" applyProtection="0">
      <alignment horizontal="right" vertical="center"/>
    </xf>
    <xf numFmtId="3" fontId="301" fillId="0" borderId="194"/>
    <xf numFmtId="0" fontId="88" fillId="86" borderId="190" applyNumberFormat="0" applyFont="0" applyBorder="0" applyAlignment="0" applyProtection="0"/>
    <xf numFmtId="3" fontId="268" fillId="0" borderId="192"/>
    <xf numFmtId="4" fontId="131" fillId="0" borderId="189"/>
    <xf numFmtId="5" fontId="22" fillId="10" borderId="178" applyNumberFormat="0">
      <alignment horizontal="left" vertical="center"/>
      <protection locked="0"/>
    </xf>
    <xf numFmtId="0" fontId="2" fillId="41" borderId="165" applyNumberFormat="0" applyProtection="0">
      <alignment horizontal="left" vertical="center" wrapText="1" indent="1"/>
    </xf>
    <xf numFmtId="10" fontId="31" fillId="38" borderId="179" applyNumberFormat="0" applyBorder="0" applyAlignment="0" applyProtection="0"/>
    <xf numFmtId="10" fontId="31" fillId="38" borderId="179" applyNumberFormat="0" applyBorder="0" applyAlignment="0" applyProtection="0"/>
    <xf numFmtId="0" fontId="265" fillId="0" borderId="0" applyNumberFormat="0" applyFill="0" applyBorder="0" applyProtection="0">
      <alignment horizontal="left" vertical="center"/>
    </xf>
    <xf numFmtId="4" fontId="38" fillId="74" borderId="165" applyNumberFormat="0" applyProtection="0">
      <alignment horizontal="right" vertical="center"/>
    </xf>
    <xf numFmtId="3" fontId="52" fillId="0" borderId="191"/>
    <xf numFmtId="4" fontId="38" fillId="75" borderId="165" applyNumberFormat="0" applyProtection="0">
      <alignment horizontal="right" vertical="center"/>
    </xf>
    <xf numFmtId="4" fontId="38" fillId="68" borderId="165" applyNumberFormat="0" applyProtection="0">
      <alignment vertical="center"/>
    </xf>
    <xf numFmtId="4" fontId="298" fillId="68" borderId="165" applyNumberFormat="0" applyProtection="0">
      <alignment vertical="center"/>
    </xf>
    <xf numFmtId="4" fontId="38" fillId="68" borderId="165" applyNumberFormat="0" applyProtection="0">
      <alignment horizontal="left" vertical="center" indent="1"/>
    </xf>
    <xf numFmtId="4" fontId="38" fillId="68" borderId="165" applyNumberFormat="0" applyProtection="0">
      <alignment horizontal="left" vertical="center" indent="1"/>
    </xf>
    <xf numFmtId="0" fontId="2" fillId="11" borderId="165" applyNumberFormat="0" applyProtection="0">
      <alignment horizontal="left" vertical="center" indent="1"/>
    </xf>
    <xf numFmtId="4" fontId="38" fillId="76" borderId="165" applyNumberFormat="0" applyProtection="0">
      <alignment horizontal="right" vertical="center"/>
    </xf>
    <xf numFmtId="4" fontId="38" fillId="77" borderId="165" applyNumberFormat="0" applyProtection="0">
      <alignment horizontal="right" vertical="center"/>
    </xf>
    <xf numFmtId="4" fontId="38" fillId="56" borderId="165" applyNumberFormat="0" applyProtection="0">
      <alignment horizontal="right" vertical="center"/>
    </xf>
    <xf numFmtId="4" fontId="38" fillId="78" borderId="165" applyNumberFormat="0" applyProtection="0">
      <alignment horizontal="right" vertical="center"/>
    </xf>
    <xf numFmtId="4" fontId="38" fillId="79" borderId="165" applyNumberFormat="0" applyProtection="0">
      <alignment horizontal="right" vertical="center"/>
    </xf>
    <xf numFmtId="4" fontId="38" fillId="80" borderId="165" applyNumberFormat="0" applyProtection="0">
      <alignment horizontal="right" vertical="center"/>
    </xf>
    <xf numFmtId="4" fontId="38" fillId="81" borderId="165" applyNumberFormat="0" applyProtection="0">
      <alignment horizontal="right" vertical="center"/>
    </xf>
    <xf numFmtId="4" fontId="80" fillId="82" borderId="165" applyNumberFormat="0" applyProtection="0">
      <alignment horizontal="left" vertical="center" indent="1"/>
    </xf>
    <xf numFmtId="0" fontId="2" fillId="11" borderId="165" applyNumberFormat="0" applyProtection="0">
      <alignment horizontal="left" vertical="center" indent="1"/>
    </xf>
    <xf numFmtId="4" fontId="38" fillId="84" borderId="198" applyNumberFormat="0" applyProtection="0">
      <alignment horizontal="left" vertical="center" indent="1"/>
    </xf>
    <xf numFmtId="4" fontId="38" fillId="44" borderId="198" applyNumberFormat="0" applyProtection="0">
      <alignment horizontal="left" vertical="center" indent="1"/>
    </xf>
    <xf numFmtId="0" fontId="2" fillId="7" borderId="165" applyNumberFormat="0" applyProtection="0">
      <alignment horizontal="left" vertical="center" indent="1"/>
    </xf>
    <xf numFmtId="0" fontId="2" fillId="85" borderId="165" applyNumberFormat="0" applyProtection="0">
      <alignment horizontal="left" vertical="center" indent="1"/>
    </xf>
    <xf numFmtId="0" fontId="2" fillId="41" borderId="165" applyNumberFormat="0" applyProtection="0">
      <alignment horizontal="left" vertical="center" indent="1"/>
    </xf>
    <xf numFmtId="0" fontId="2" fillId="41" borderId="165" applyNumberFormat="0" applyProtection="0">
      <alignment horizontal="left" vertical="center" indent="1"/>
    </xf>
    <xf numFmtId="0" fontId="2" fillId="7" borderId="165" applyNumberFormat="0" applyProtection="0">
      <alignment horizontal="left" vertical="center" indent="1"/>
    </xf>
    <xf numFmtId="0" fontId="2" fillId="7" borderId="165" applyNumberFormat="0" applyProtection="0">
      <alignment horizontal="left" vertical="center" indent="1"/>
    </xf>
    <xf numFmtId="0" fontId="2" fillId="11" borderId="165" applyNumberFormat="0" applyProtection="0">
      <alignment horizontal="left" vertical="center" indent="1"/>
    </xf>
    <xf numFmtId="0" fontId="2" fillId="11" borderId="165" applyNumberFormat="0" applyProtection="0">
      <alignment horizontal="left" vertical="center" indent="1"/>
    </xf>
    <xf numFmtId="4" fontId="38" fillId="38" borderId="165" applyNumberFormat="0" applyProtection="0">
      <alignment vertical="center"/>
    </xf>
    <xf numFmtId="4" fontId="298" fillId="38" borderId="165" applyNumberFormat="0" applyProtection="0">
      <alignment vertical="center"/>
    </xf>
    <xf numFmtId="4" fontId="38" fillId="38" borderId="165" applyNumberFormat="0" applyProtection="0">
      <alignment horizontal="left" vertical="center" indent="1"/>
    </xf>
    <xf numFmtId="4" fontId="38" fillId="38" borderId="165" applyNumberFormat="0" applyProtection="0">
      <alignment horizontal="left" vertical="center" indent="1"/>
    </xf>
    <xf numFmtId="4" fontId="38" fillId="84" borderId="165" applyNumberFormat="0" applyProtection="0">
      <alignment horizontal="right" vertical="center"/>
    </xf>
    <xf numFmtId="4" fontId="298" fillId="84" borderId="165" applyNumberFormat="0" applyProtection="0">
      <alignment horizontal="right" vertical="center"/>
    </xf>
    <xf numFmtId="0" fontId="2" fillId="11" borderId="165" applyNumberFormat="0" applyProtection="0">
      <alignment horizontal="left" vertical="center" indent="1"/>
    </xf>
    <xf numFmtId="4" fontId="282" fillId="84" borderId="165" applyNumberFormat="0" applyProtection="0">
      <alignment horizontal="right" vertical="center"/>
    </xf>
    <xf numFmtId="0" fontId="88" fillId="86" borderId="190" applyNumberFormat="0" applyFont="0" applyBorder="0" applyAlignment="0" applyProtection="0"/>
    <xf numFmtId="3" fontId="268" fillId="0" borderId="192"/>
    <xf numFmtId="4" fontId="131" fillId="0" borderId="189"/>
  </cellStyleXfs>
  <cellXfs count="792">
    <xf numFmtId="0" fontId="0" fillId="0" borderId="0" xfId="0"/>
    <xf numFmtId="0" fontId="0" fillId="0" borderId="0" xfId="0" applyFont="1"/>
    <xf numFmtId="0" fontId="4" fillId="0" borderId="3" xfId="0" applyFont="1" applyBorder="1"/>
    <xf numFmtId="165" fontId="0" fillId="0" borderId="4" xfId="0" applyNumberFormat="1" applyFont="1" applyBorder="1"/>
    <xf numFmtId="0" fontId="0" fillId="0" borderId="5" xfId="0" applyFont="1" applyBorder="1" applyAlignment="1">
      <alignment horizontal="right"/>
    </xf>
    <xf numFmtId="10" fontId="6" fillId="0" borderId="0" xfId="3" applyNumberFormat="1" applyFont="1" applyBorder="1"/>
    <xf numFmtId="0" fontId="6" fillId="0" borderId="6" xfId="0" applyFont="1" applyBorder="1"/>
    <xf numFmtId="0" fontId="6" fillId="0" borderId="0" xfId="0" applyFont="1" applyBorder="1"/>
    <xf numFmtId="0" fontId="0" fillId="0" borderId="6" xfId="0" applyFont="1" applyBorder="1"/>
    <xf numFmtId="6" fontId="0" fillId="0" borderId="0" xfId="0" applyNumberFormat="1" applyFont="1" applyBorder="1"/>
    <xf numFmtId="6" fontId="0" fillId="0" borderId="2" xfId="0" applyNumberFormat="1" applyFont="1" applyBorder="1"/>
    <xf numFmtId="0" fontId="0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 wrapText="1"/>
    </xf>
    <xf numFmtId="49" fontId="4" fillId="0" borderId="0" xfId="0" applyNumberFormat="1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165" fontId="0" fillId="0" borderId="0" xfId="1" applyNumberFormat="1" applyFont="1"/>
    <xf numFmtId="9" fontId="0" fillId="0" borderId="0" xfId="3" applyFont="1" applyAlignment="1">
      <alignment horizontal="center"/>
    </xf>
    <xf numFmtId="2" fontId="0" fillId="0" borderId="0" xfId="0" applyNumberFormat="1" applyFont="1" applyAlignment="1">
      <alignment horizontal="center"/>
    </xf>
    <xf numFmtId="43" fontId="0" fillId="0" borderId="0" xfId="0" applyNumberFormat="1" applyFont="1"/>
    <xf numFmtId="9" fontId="0" fillId="0" borderId="0" xfId="3" applyFont="1"/>
    <xf numFmtId="0" fontId="9" fillId="0" borderId="0" xfId="0" applyFont="1" applyAlignment="1">
      <alignment horizontal="center"/>
    </xf>
    <xf numFmtId="165" fontId="10" fillId="0" borderId="0" xfId="1" applyNumberFormat="1" applyFont="1"/>
    <xf numFmtId="9" fontId="9" fillId="0" borderId="0" xfId="3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0" fillId="0" borderId="0" xfId="0" applyNumberFormat="1" applyFont="1"/>
    <xf numFmtId="9" fontId="4" fillId="0" borderId="0" xfId="3" applyFont="1" applyAlignment="1">
      <alignment horizontal="center"/>
    </xf>
    <xf numFmtId="2" fontId="4" fillId="0" borderId="0" xfId="0" applyNumberFormat="1" applyFont="1" applyAlignment="1">
      <alignment horizontal="center"/>
    </xf>
    <xf numFmtId="165" fontId="4" fillId="0" borderId="0" xfId="0" applyNumberFormat="1" applyFont="1"/>
    <xf numFmtId="166" fontId="4" fillId="0" borderId="0" xfId="2" applyNumberFormat="1" applyFont="1"/>
    <xf numFmtId="0" fontId="4" fillId="0" borderId="0" xfId="0" applyFont="1" applyAlignment="1">
      <alignment horizontal="right"/>
    </xf>
    <xf numFmtId="165" fontId="4" fillId="0" borderId="0" xfId="1" applyNumberFormat="1" applyFont="1"/>
    <xf numFmtId="0" fontId="0" fillId="0" borderId="0" xfId="0" applyFont="1" applyAlignment="1">
      <alignment horizontal="right"/>
    </xf>
    <xf numFmtId="167" fontId="0" fillId="0" borderId="0" xfId="3" applyNumberFormat="1" applyFont="1"/>
    <xf numFmtId="9" fontId="6" fillId="0" borderId="0" xfId="3" applyFont="1"/>
    <xf numFmtId="171" fontId="0" fillId="0" borderId="0" xfId="1" applyNumberFormat="1" applyFont="1"/>
    <xf numFmtId="0" fontId="6" fillId="0" borderId="0" xfId="0" applyFont="1"/>
    <xf numFmtId="170" fontId="0" fillId="0" borderId="0" xfId="0" applyNumberFormat="1" applyFont="1"/>
    <xf numFmtId="43" fontId="6" fillId="0" borderId="0" xfId="0" applyNumberFormat="1" applyFont="1"/>
    <xf numFmtId="0" fontId="11" fillId="0" borderId="0" xfId="0" applyFont="1" applyAlignment="1">
      <alignment horizontal="center"/>
    </xf>
    <xf numFmtId="0" fontId="0" fillId="0" borderId="0" xfId="0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horizontal="center"/>
    </xf>
    <xf numFmtId="165" fontId="0" fillId="0" borderId="0" xfId="1" applyNumberFormat="1" applyFont="1" applyAlignment="1">
      <alignment horizontal="right"/>
    </xf>
    <xf numFmtId="0" fontId="7" fillId="0" borderId="0" xfId="0" applyFont="1"/>
    <xf numFmtId="165" fontId="10" fillId="0" borderId="0" xfId="0" applyNumberFormat="1" applyFont="1"/>
    <xf numFmtId="0" fontId="7" fillId="0" borderId="0" xfId="0" applyFont="1" applyAlignment="1">
      <alignment horizontal="right"/>
    </xf>
    <xf numFmtId="165" fontId="7" fillId="0" borderId="0" xfId="0" applyNumberFormat="1" applyFont="1"/>
    <xf numFmtId="172" fontId="0" fillId="0" borderId="0" xfId="0" applyNumberFormat="1" applyFont="1"/>
    <xf numFmtId="0" fontId="4" fillId="0" borderId="0" xfId="0" applyNumberFormat="1" applyFont="1" applyAlignment="1">
      <alignment horizontal="left" wrapText="1"/>
    </xf>
    <xf numFmtId="0" fontId="12" fillId="0" borderId="0" xfId="0" applyFont="1" applyFill="1" applyBorder="1"/>
    <xf numFmtId="0" fontId="13" fillId="0" borderId="0" xfId="0" applyFont="1" applyFill="1" applyBorder="1"/>
    <xf numFmtId="0" fontId="12" fillId="0" borderId="0" xfId="0" applyNumberFormat="1" applyFont="1" applyFill="1" applyBorder="1"/>
    <xf numFmtId="0" fontId="16" fillId="0" borderId="0" xfId="0" applyFont="1" applyFill="1" applyBorder="1"/>
    <xf numFmtId="0" fontId="13" fillId="0" borderId="0" xfId="0" applyFont="1" applyBorder="1"/>
    <xf numFmtId="165" fontId="13" fillId="0" borderId="0" xfId="1" applyNumberFormat="1" applyFont="1" applyBorder="1"/>
    <xf numFmtId="10" fontId="13" fillId="0" borderId="0" xfId="3" applyNumberFormat="1" applyFont="1" applyBorder="1"/>
    <xf numFmtId="165" fontId="13" fillId="0" borderId="0" xfId="0" applyNumberFormat="1" applyFont="1" applyBorder="1"/>
    <xf numFmtId="0" fontId="13" fillId="0" borderId="0" xfId="0" applyFont="1"/>
    <xf numFmtId="49" fontId="12" fillId="0" borderId="0" xfId="0" applyNumberFormat="1" applyFont="1" applyBorder="1" applyAlignment="1">
      <alignment horizontal="center"/>
    </xf>
    <xf numFmtId="49" fontId="12" fillId="0" borderId="0" xfId="0" applyNumberFormat="1" applyFont="1" applyBorder="1" applyAlignment="1"/>
    <xf numFmtId="10" fontId="16" fillId="0" borderId="0" xfId="0" applyNumberFormat="1" applyFont="1" applyFill="1" applyBorder="1"/>
    <xf numFmtId="166" fontId="13" fillId="0" borderId="0" xfId="0" applyNumberFormat="1" applyFont="1" applyFill="1" applyBorder="1"/>
    <xf numFmtId="0" fontId="13" fillId="0" borderId="0" xfId="0" applyNumberFormat="1" applyFont="1" applyBorder="1" applyAlignment="1">
      <alignment horizontal="left"/>
    </xf>
    <xf numFmtId="0" fontId="15" fillId="0" borderId="0" xfId="0" applyNumberFormat="1" applyFont="1" applyBorder="1" applyAlignment="1">
      <alignment horizontal="left"/>
    </xf>
    <xf numFmtId="166" fontId="13" fillId="0" borderId="0" xfId="3" applyNumberFormat="1" applyFont="1" applyBorder="1" applyAlignment="1"/>
    <xf numFmtId="166" fontId="13" fillId="0" borderId="0" xfId="0" applyNumberFormat="1" applyFont="1" applyBorder="1"/>
    <xf numFmtId="44" fontId="13" fillId="0" borderId="0" xfId="0" applyNumberFormat="1" applyFont="1" applyBorder="1" applyAlignment="1">
      <alignment horizontal="left"/>
    </xf>
    <xf numFmtId="43" fontId="13" fillId="0" borderId="0" xfId="0" applyNumberFormat="1" applyFont="1" applyBorder="1"/>
    <xf numFmtId="6" fontId="13" fillId="0" borderId="0" xfId="0" applyNumberFormat="1" applyFont="1" applyBorder="1" applyAlignment="1">
      <alignment horizontal="left"/>
    </xf>
    <xf numFmtId="0" fontId="15" fillId="0" borderId="0" xfId="0" applyFont="1" applyBorder="1"/>
    <xf numFmtId="166" fontId="15" fillId="0" borderId="0" xfId="0" applyNumberFormat="1" applyFont="1" applyFill="1" applyBorder="1" applyAlignment="1"/>
    <xf numFmtId="9" fontId="13" fillId="0" borderId="0" xfId="3" applyFont="1"/>
    <xf numFmtId="9" fontId="13" fillId="0" borderId="0" xfId="0" applyNumberFormat="1" applyFont="1"/>
    <xf numFmtId="44" fontId="13" fillId="0" borderId="0" xfId="0" applyNumberFormat="1" applyFont="1" applyFill="1" applyBorder="1" applyAlignment="1">
      <alignment horizontal="right"/>
    </xf>
    <xf numFmtId="10" fontId="13" fillId="0" borderId="0" xfId="3" applyNumberFormat="1" applyFont="1" applyFill="1" applyBorder="1" applyAlignment="1">
      <alignment horizontal="right"/>
    </xf>
    <xf numFmtId="44" fontId="13" fillId="0" borderId="0" xfId="0" applyNumberFormat="1" applyFont="1" applyFill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13" fillId="0" borderId="0" xfId="0" applyFont="1" applyFill="1"/>
    <xf numFmtId="0" fontId="15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8" fillId="0" borderId="0" xfId="0" applyFont="1" applyBorder="1"/>
    <xf numFmtId="164" fontId="13" fillId="0" borderId="0" xfId="1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/>
    </xf>
    <xf numFmtId="165" fontId="12" fillId="0" borderId="0" xfId="1" applyNumberFormat="1" applyFont="1" applyFill="1" applyBorder="1" applyAlignment="1">
      <alignment horizontal="right"/>
    </xf>
    <xf numFmtId="10" fontId="12" fillId="0" borderId="0" xfId="3" applyNumberFormat="1" applyFont="1" applyFill="1" applyBorder="1" applyAlignment="1">
      <alignment horizontal="right"/>
    </xf>
    <xf numFmtId="0" fontId="19" fillId="0" borderId="0" xfId="0" applyFont="1" applyFill="1"/>
    <xf numFmtId="9" fontId="19" fillId="0" borderId="0" xfId="3" applyFont="1" applyFill="1"/>
    <xf numFmtId="165" fontId="13" fillId="0" borderId="0" xfId="1" applyNumberFormat="1" applyFont="1" applyFill="1"/>
    <xf numFmtId="0" fontId="15" fillId="0" borderId="0" xfId="0" applyFont="1" applyFill="1"/>
    <xf numFmtId="166" fontId="14" fillId="0" borderId="0" xfId="1" applyNumberFormat="1" applyFont="1" applyFill="1" applyBorder="1"/>
    <xf numFmtId="9" fontId="14" fillId="0" borderId="0" xfId="3" applyFont="1" applyFill="1"/>
    <xf numFmtId="166" fontId="12" fillId="0" borderId="0" xfId="1" applyNumberFormat="1" applyFont="1" applyFill="1" applyBorder="1"/>
    <xf numFmtId="37" fontId="14" fillId="0" borderId="0" xfId="0" applyNumberFormat="1" applyFont="1" applyFill="1"/>
    <xf numFmtId="165" fontId="13" fillId="0" borderId="0" xfId="1" applyNumberFormat="1" applyFont="1" applyFill="1" applyBorder="1" applyAlignment="1">
      <alignment horizontal="right"/>
    </xf>
    <xf numFmtId="166" fontId="16" fillId="0" borderId="0" xfId="3" applyNumberFormat="1" applyFont="1" applyFill="1" applyBorder="1"/>
    <xf numFmtId="38" fontId="13" fillId="0" borderId="0" xfId="0" applyNumberFormat="1" applyFont="1" applyFill="1"/>
    <xf numFmtId="3" fontId="14" fillId="0" borderId="0" xfId="0" applyNumberFormat="1" applyFont="1" applyFill="1" applyBorder="1" applyAlignment="1">
      <alignment horizontal="center"/>
    </xf>
    <xf numFmtId="38" fontId="13" fillId="0" borderId="0" xfId="0" applyNumberFormat="1" applyFont="1" applyFill="1" applyBorder="1"/>
    <xf numFmtId="173" fontId="20" fillId="0" borderId="0" xfId="1" applyNumberFormat="1" applyFont="1" applyFill="1" applyBorder="1" applyAlignment="1">
      <alignment horizontal="center"/>
    </xf>
    <xf numFmtId="0" fontId="14" fillId="0" borderId="0" xfId="0" applyFont="1" applyFill="1"/>
    <xf numFmtId="166" fontId="14" fillId="0" borderId="0" xfId="0" applyNumberFormat="1" applyFont="1" applyFill="1" applyBorder="1"/>
    <xf numFmtId="0" fontId="14" fillId="0" borderId="0" xfId="0" applyFont="1" applyFill="1" applyBorder="1"/>
    <xf numFmtId="165" fontId="13" fillId="0" borderId="0" xfId="1" applyNumberFormat="1" applyFont="1" applyFill="1" applyAlignment="1">
      <alignment horizontal="right"/>
    </xf>
    <xf numFmtId="10" fontId="13" fillId="0" borderId="0" xfId="3" applyNumberFormat="1" applyFont="1" applyFill="1" applyAlignment="1">
      <alignment horizontal="right"/>
    </xf>
    <xf numFmtId="0" fontId="15" fillId="0" borderId="0" xfId="0" applyNumberFormat="1" applyFont="1" applyFill="1" applyBorder="1"/>
    <xf numFmtId="0" fontId="13" fillId="0" borderId="0" xfId="0" applyFont="1" applyFill="1" applyBorder="1" applyAlignment="1">
      <alignment horizontal="right"/>
    </xf>
    <xf numFmtId="168" fontId="12" fillId="0" borderId="0" xfId="0" applyNumberFormat="1" applyFont="1" applyFill="1" applyBorder="1" applyAlignment="1">
      <alignment horizontal="right"/>
    </xf>
    <xf numFmtId="165" fontId="13" fillId="0" borderId="0" xfId="0" applyNumberFormat="1" applyFont="1" applyFill="1"/>
    <xf numFmtId="165" fontId="13" fillId="0" borderId="0" xfId="0" applyNumberFormat="1" applyFont="1" applyFill="1" applyBorder="1"/>
    <xf numFmtId="0" fontId="21" fillId="0" borderId="0" xfId="0" applyNumberFormat="1" applyFont="1" applyFill="1" applyBorder="1" applyProtection="1"/>
    <xf numFmtId="0" fontId="13" fillId="0" borderId="0" xfId="0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left"/>
    </xf>
    <xf numFmtId="0" fontId="14" fillId="0" borderId="0" xfId="1" applyNumberFormat="1" applyFont="1" applyFill="1" applyBorder="1" applyAlignment="1">
      <alignment horizontal="right"/>
    </xf>
    <xf numFmtId="0" fontId="14" fillId="0" borderId="0" xfId="1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right"/>
    </xf>
    <xf numFmtId="0" fontId="14" fillId="0" borderId="0" xfId="0" applyNumberFormat="1" applyFont="1" applyFill="1" applyBorder="1" applyAlignment="1">
      <alignment horizontal="center"/>
    </xf>
    <xf numFmtId="0" fontId="22" fillId="0" borderId="0" xfId="0" applyNumberFormat="1" applyFont="1" applyFill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14" fillId="0" borderId="0" xfId="3" applyNumberFormat="1" applyFont="1" applyFill="1" applyBorder="1" applyAlignment="1">
      <alignment horizontal="left"/>
    </xf>
    <xf numFmtId="0" fontId="13" fillId="0" borderId="0" xfId="3" applyNumberFormat="1" applyFont="1" applyFill="1" applyBorder="1" applyAlignment="1">
      <alignment horizontal="right"/>
    </xf>
    <xf numFmtId="0" fontId="16" fillId="0" borderId="0" xfId="3" applyNumberFormat="1" applyFont="1" applyFill="1" applyBorder="1" applyAlignment="1">
      <alignment horizontal="right"/>
    </xf>
    <xf numFmtId="0" fontId="16" fillId="0" borderId="0" xfId="3" applyNumberFormat="1" applyFont="1" applyFill="1" applyBorder="1" applyAlignment="1">
      <alignment horizontal="center"/>
    </xf>
    <xf numFmtId="0" fontId="14" fillId="0" borderId="0" xfId="3" applyNumberFormat="1" applyFont="1" applyFill="1" applyBorder="1" applyAlignment="1">
      <alignment horizontal="center"/>
    </xf>
    <xf numFmtId="9" fontId="13" fillId="0" borderId="0" xfId="3" applyNumberFormat="1" applyFont="1" applyFill="1" applyBorder="1"/>
    <xf numFmtId="0" fontId="14" fillId="0" borderId="0" xfId="3" applyNumberFormat="1" applyFont="1" applyFill="1" applyBorder="1" applyAlignment="1">
      <alignment horizontal="right"/>
    </xf>
    <xf numFmtId="0" fontId="13" fillId="0" borderId="0" xfId="3" applyNumberFormat="1" applyFont="1" applyFill="1" applyBorder="1" applyAlignment="1">
      <alignment horizontal="center"/>
    </xf>
    <xf numFmtId="9" fontId="13" fillId="0" borderId="0" xfId="3" applyFont="1" applyFill="1" applyBorder="1"/>
    <xf numFmtId="0" fontId="13" fillId="0" borderId="0" xfId="1" applyNumberFormat="1" applyFont="1" applyFill="1" applyBorder="1" applyAlignment="1">
      <alignment horizontal="left"/>
    </xf>
    <xf numFmtId="0" fontId="13" fillId="0" borderId="0" xfId="1" applyNumberFormat="1" applyFont="1" applyFill="1" applyBorder="1" applyAlignment="1">
      <alignment horizontal="right"/>
    </xf>
    <xf numFmtId="0" fontId="13" fillId="0" borderId="0" xfId="1" applyNumberFormat="1" applyFont="1" applyFill="1" applyBorder="1" applyAlignment="1">
      <alignment horizontal="center"/>
    </xf>
    <xf numFmtId="165" fontId="13" fillId="0" borderId="0" xfId="1" applyNumberFormat="1" applyFont="1" applyFill="1" applyBorder="1"/>
    <xf numFmtId="165" fontId="14" fillId="0" borderId="0" xfId="1" applyNumberFormat="1" applyFont="1" applyFill="1" applyBorder="1"/>
    <xf numFmtId="0" fontId="14" fillId="0" borderId="0" xfId="1" applyNumberFormat="1" applyFont="1" applyFill="1" applyBorder="1" applyAlignment="1">
      <alignment horizontal="left"/>
    </xf>
    <xf numFmtId="0" fontId="16" fillId="0" borderId="0" xfId="1" applyNumberFormat="1" applyFont="1" applyFill="1" applyBorder="1" applyAlignment="1">
      <alignment horizontal="right"/>
    </xf>
    <xf numFmtId="0" fontId="16" fillId="0" borderId="0" xfId="1" applyNumberFormat="1" applyFont="1" applyFill="1" applyBorder="1" applyAlignment="1">
      <alignment horizontal="center"/>
    </xf>
    <xf numFmtId="0" fontId="24" fillId="0" borderId="0" xfId="1" applyNumberFormat="1" applyFont="1" applyFill="1" applyBorder="1" applyAlignment="1">
      <alignment horizontal="left"/>
    </xf>
    <xf numFmtId="49" fontId="14" fillId="0" borderId="0" xfId="1" applyNumberFormat="1" applyFont="1" applyFill="1" applyBorder="1"/>
    <xf numFmtId="43" fontId="14" fillId="0" borderId="0" xfId="1" applyNumberFormat="1" applyFont="1" applyFill="1" applyBorder="1"/>
    <xf numFmtId="49" fontId="15" fillId="0" borderId="0" xfId="0" applyNumberFormat="1" applyFont="1" applyFill="1" applyBorder="1"/>
    <xf numFmtId="9" fontId="15" fillId="0" borderId="0" xfId="3" applyFont="1" applyFill="1" applyBorder="1"/>
    <xf numFmtId="0" fontId="12" fillId="0" borderId="0" xfId="1" applyNumberFormat="1" applyFont="1" applyFill="1" applyBorder="1" applyAlignment="1">
      <alignment horizontal="right"/>
    </xf>
    <xf numFmtId="0" fontId="12" fillId="0" borderId="0" xfId="1" applyNumberFormat="1" applyFont="1" applyFill="1" applyBorder="1" applyAlignment="1">
      <alignment horizontal="center"/>
    </xf>
    <xf numFmtId="165" fontId="14" fillId="0" borderId="0" xfId="1" applyNumberFormat="1" applyFont="1" applyFill="1" applyBorder="1" applyAlignment="1">
      <alignment horizontal="left"/>
    </xf>
    <xf numFmtId="165" fontId="14" fillId="0" borderId="0" xfId="1" applyNumberFormat="1" applyFont="1" applyFill="1" applyBorder="1" applyAlignment="1">
      <alignment horizontal="right"/>
    </xf>
    <xf numFmtId="165" fontId="14" fillId="0" borderId="0" xfId="1" applyNumberFormat="1" applyFont="1" applyFill="1" applyBorder="1" applyAlignment="1">
      <alignment horizontal="center"/>
    </xf>
    <xf numFmtId="165" fontId="14" fillId="0" borderId="0" xfId="1" quotePrefix="1" applyNumberFormat="1" applyFont="1" applyFill="1" applyBorder="1" applyAlignment="1">
      <alignment horizontal="right"/>
    </xf>
    <xf numFmtId="165" fontId="13" fillId="0" borderId="0" xfId="1" quotePrefix="1" applyNumberFormat="1" applyFont="1" applyFill="1" applyBorder="1" applyAlignment="1">
      <alignment horizontal="right"/>
    </xf>
    <xf numFmtId="37" fontId="13" fillId="0" borderId="0" xfId="0" applyNumberFormat="1" applyFont="1" applyFill="1" applyBorder="1"/>
    <xf numFmtId="10" fontId="14" fillId="0" borderId="0" xfId="3" applyNumberFormat="1" applyFont="1" applyFill="1" applyBorder="1" applyAlignment="1">
      <alignment horizontal="center"/>
    </xf>
    <xf numFmtId="37" fontId="13" fillId="0" borderId="0" xfId="0" applyNumberFormat="1" applyFont="1" applyFill="1"/>
    <xf numFmtId="10" fontId="25" fillId="0" borderId="0" xfId="0" applyNumberFormat="1" applyFont="1" applyFill="1" applyBorder="1" applyAlignment="1">
      <alignment horizontal="right"/>
    </xf>
    <xf numFmtId="10" fontId="16" fillId="0" borderId="0" xfId="3" applyNumberFormat="1" applyFont="1" applyFill="1" applyBorder="1" applyAlignment="1">
      <alignment horizontal="right"/>
    </xf>
    <xf numFmtId="10" fontId="25" fillId="0" borderId="0" xfId="3" applyNumberFormat="1" applyFont="1" applyFill="1" applyBorder="1"/>
    <xf numFmtId="0" fontId="25" fillId="0" borderId="0" xfId="0" applyFont="1" applyFill="1" applyBorder="1" applyAlignment="1">
      <alignment horizontal="right"/>
    </xf>
    <xf numFmtId="165" fontId="14" fillId="0" borderId="0" xfId="4" applyNumberFormat="1" applyFont="1" applyFill="1" applyBorder="1" applyAlignment="1">
      <alignment horizontal="right"/>
    </xf>
    <xf numFmtId="9" fontId="16" fillId="0" borderId="0" xfId="4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165" fontId="14" fillId="0" borderId="0" xfId="5" applyNumberFormat="1" applyFont="1" applyFill="1" applyBorder="1" applyAlignment="1">
      <alignment horizontal="right"/>
    </xf>
    <xf numFmtId="169" fontId="16" fillId="0" borderId="0" xfId="4" applyNumberFormat="1" applyFont="1" applyFill="1" applyBorder="1" applyAlignment="1">
      <alignment horizontal="right"/>
    </xf>
    <xf numFmtId="43" fontId="13" fillId="0" borderId="0" xfId="1" applyFont="1" applyFill="1" applyBorder="1" applyAlignment="1">
      <alignment horizontal="right"/>
    </xf>
    <xf numFmtId="165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165" fontId="16" fillId="0" borderId="0" xfId="1" applyNumberFormat="1" applyFont="1" applyFill="1" applyAlignment="1">
      <alignment horizontal="right"/>
    </xf>
    <xf numFmtId="10" fontId="13" fillId="0" borderId="0" xfId="3" applyNumberFormat="1" applyFont="1" applyFill="1"/>
    <xf numFmtId="43" fontId="13" fillId="0" borderId="0" xfId="0" applyNumberFormat="1" applyFont="1" applyFill="1"/>
    <xf numFmtId="0" fontId="14" fillId="0" borderId="0" xfId="0" applyNumberFormat="1" applyFont="1"/>
    <xf numFmtId="0" fontId="14" fillId="0" borderId="0" xfId="0" applyFont="1"/>
    <xf numFmtId="0" fontId="14" fillId="0" borderId="0" xfId="0" applyFont="1" applyBorder="1"/>
    <xf numFmtId="0" fontId="12" fillId="0" borderId="0" xfId="0" applyFont="1" applyBorder="1" applyAlignment="1"/>
    <xf numFmtId="0" fontId="14" fillId="0" borderId="0" xfId="0" applyNumberFormat="1" applyFont="1" applyBorder="1"/>
    <xf numFmtId="0" fontId="14" fillId="0" borderId="0" xfId="0" applyNumberFormat="1" applyFont="1" applyFill="1"/>
    <xf numFmtId="0" fontId="14" fillId="0" borderId="0" xfId="0" applyNumberFormat="1" applyFont="1" applyFill="1" applyBorder="1"/>
    <xf numFmtId="9" fontId="14" fillId="0" borderId="0" xfId="3" applyFont="1" applyFill="1" applyBorder="1"/>
    <xf numFmtId="0" fontId="12" fillId="0" borderId="0" xfId="0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6" fontId="14" fillId="0" borderId="0" xfId="0" applyNumberFormat="1" applyFont="1" applyFill="1" applyBorder="1"/>
    <xf numFmtId="44" fontId="14" fillId="0" borderId="0" xfId="0" applyNumberFormat="1" applyFont="1" applyFill="1" applyBorder="1"/>
    <xf numFmtId="166" fontId="12" fillId="0" borderId="0" xfId="0" applyNumberFormat="1" applyFont="1" applyFill="1" applyBorder="1"/>
    <xf numFmtId="165" fontId="14" fillId="0" borderId="0" xfId="1" applyNumberFormat="1" applyFont="1" applyFill="1"/>
    <xf numFmtId="43" fontId="13" fillId="0" borderId="0" xfId="0" applyNumberFormat="1" applyFont="1" applyBorder="1" applyAlignment="1">
      <alignment horizontal="left"/>
    </xf>
    <xf numFmtId="0" fontId="13" fillId="0" borderId="0" xfId="0" applyFont="1" applyBorder="1" applyAlignment="1"/>
    <xf numFmtId="6" fontId="13" fillId="0" borderId="0" xfId="0" applyNumberFormat="1" applyFont="1" applyFill="1" applyBorder="1" applyAlignment="1"/>
    <xf numFmtId="9" fontId="15" fillId="0" borderId="0" xfId="0" applyNumberFormat="1" applyFont="1" applyFill="1" applyBorder="1" applyAlignment="1">
      <alignment horizontal="center"/>
    </xf>
    <xf numFmtId="165" fontId="14" fillId="0" borderId="0" xfId="1" applyNumberFormat="1" applyFont="1" applyBorder="1"/>
    <xf numFmtId="0" fontId="15" fillId="0" borderId="0" xfId="0" applyNumberFormat="1" applyFont="1" applyBorder="1" applyAlignment="1">
      <alignment horizontal="center"/>
    </xf>
    <xf numFmtId="9" fontId="15" fillId="0" borderId="0" xfId="0" applyNumberFormat="1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77" fontId="13" fillId="0" borderId="0" xfId="1" applyNumberFormat="1" applyFont="1" applyFill="1" applyBorder="1"/>
    <xf numFmtId="177" fontId="13" fillId="0" borderId="0" xfId="1" applyNumberFormat="1" applyFont="1" applyBorder="1"/>
    <xf numFmtId="9" fontId="13" fillId="0" borderId="0" xfId="3" applyFont="1" applyBorder="1" applyAlignment="1">
      <alignment horizontal="center"/>
    </xf>
    <xf numFmtId="8" fontId="13" fillId="0" borderId="0" xfId="0" applyNumberFormat="1" applyFont="1" applyFill="1" applyBorder="1" applyAlignment="1">
      <alignment horizontal="left"/>
    </xf>
    <xf numFmtId="0" fontId="15" fillId="0" borderId="0" xfId="0" applyNumberFormat="1" applyFont="1" applyFill="1" applyBorder="1" applyAlignment="1">
      <alignment horizontal="center"/>
    </xf>
    <xf numFmtId="0" fontId="14" fillId="0" borderId="0" xfId="7" applyFont="1"/>
    <xf numFmtId="0" fontId="14" fillId="0" borderId="0" xfId="7" applyFont="1" applyAlignment="1">
      <alignment horizontal="center"/>
    </xf>
    <xf numFmtId="9" fontId="12" fillId="0" borderId="0" xfId="8" applyFont="1" applyFill="1" applyBorder="1" applyAlignment="1">
      <alignment horizontal="left"/>
    </xf>
    <xf numFmtId="9" fontId="26" fillId="0" borderId="0" xfId="8" applyFont="1" applyFill="1" applyBorder="1" applyAlignment="1">
      <alignment horizontal="left"/>
    </xf>
    <xf numFmtId="0" fontId="14" fillId="0" borderId="0" xfId="7" applyFont="1" applyFill="1" applyBorder="1"/>
    <xf numFmtId="0" fontId="14" fillId="0" borderId="0" xfId="7" applyFont="1" applyBorder="1"/>
    <xf numFmtId="0" fontId="14" fillId="0" borderId="0" xfId="7" applyFont="1" applyBorder="1" applyAlignment="1">
      <alignment horizontal="center"/>
    </xf>
    <xf numFmtId="0" fontId="14" fillId="0" borderId="0" xfId="7" applyFont="1" applyBorder="1" applyAlignment="1">
      <alignment horizontal="left"/>
    </xf>
    <xf numFmtId="3" fontId="12" fillId="0" borderId="0" xfId="7" applyNumberFormat="1" applyFont="1" applyFill="1" applyBorder="1" applyAlignment="1">
      <alignment horizontal="center"/>
    </xf>
    <xf numFmtId="0" fontId="14" fillId="0" borderId="0" xfId="9" applyFont="1" applyFill="1" applyBorder="1" applyAlignment="1">
      <alignment horizontal="center"/>
    </xf>
    <xf numFmtId="173" fontId="1" fillId="0" borderId="0" xfId="10" applyNumberFormat="1" applyFont="1" applyAlignment="1">
      <alignment horizontal="center"/>
    </xf>
    <xf numFmtId="173" fontId="14" fillId="0" borderId="0" xfId="7" applyNumberFormat="1" applyFont="1" applyBorder="1"/>
    <xf numFmtId="9" fontId="12" fillId="0" borderId="0" xfId="7" applyNumberFormat="1" applyFont="1" applyFill="1" applyBorder="1" applyAlignment="1">
      <alignment horizontal="center"/>
    </xf>
    <xf numFmtId="0" fontId="28" fillId="0" borderId="0" xfId="7" applyFont="1" applyBorder="1" applyAlignment="1">
      <alignment horizontal="left"/>
    </xf>
    <xf numFmtId="0" fontId="14" fillId="0" borderId="0" xfId="7" applyFont="1" applyFill="1" applyBorder="1" applyAlignment="1">
      <alignment horizontal="center"/>
    </xf>
    <xf numFmtId="0" fontId="14" fillId="4" borderId="0" xfId="7" applyFont="1" applyFill="1" applyBorder="1" applyAlignment="1">
      <alignment horizontal="center"/>
    </xf>
    <xf numFmtId="0" fontId="14" fillId="4" borderId="1" xfId="7" applyFont="1" applyFill="1" applyBorder="1" applyAlignment="1">
      <alignment horizontal="center"/>
    </xf>
    <xf numFmtId="0" fontId="14" fillId="4" borderId="0" xfId="7" applyFont="1" applyFill="1" applyBorder="1"/>
    <xf numFmtId="179" fontId="14" fillId="4" borderId="0" xfId="7" applyNumberFormat="1" applyFont="1" applyFill="1" applyBorder="1" applyAlignment="1">
      <alignment horizontal="center"/>
    </xf>
    <xf numFmtId="179" fontId="14" fillId="4" borderId="1" xfId="7" applyNumberFormat="1" applyFont="1" applyFill="1" applyBorder="1" applyAlignment="1">
      <alignment horizontal="center"/>
    </xf>
    <xf numFmtId="179" fontId="14" fillId="0" borderId="0" xfId="7" applyNumberFormat="1" applyFont="1" applyFill="1" applyBorder="1" applyAlignment="1">
      <alignment horizontal="center"/>
    </xf>
    <xf numFmtId="173" fontId="1" fillId="0" borderId="0" xfId="11" applyNumberFormat="1" applyFont="1" applyAlignment="1">
      <alignment horizontal="center"/>
    </xf>
    <xf numFmtId="173" fontId="14" fillId="0" borderId="0" xfId="7" applyNumberFormat="1" applyFont="1"/>
    <xf numFmtId="0" fontId="14" fillId="0" borderId="0" xfId="9" applyFont="1" applyFill="1" applyBorder="1" applyAlignment="1">
      <alignment horizontal="center" wrapText="1"/>
    </xf>
    <xf numFmtId="3" fontId="14" fillId="0" borderId="0" xfId="7" applyNumberFormat="1" applyFont="1" applyFill="1" applyBorder="1" applyAlignment="1">
      <alignment horizontal="center"/>
    </xf>
    <xf numFmtId="6" fontId="14" fillId="0" borderId="0" xfId="7" applyNumberFormat="1" applyFont="1"/>
    <xf numFmtId="6" fontId="15" fillId="0" borderId="0" xfId="0" applyNumberFormat="1" applyFont="1" applyFill="1" applyBorder="1" applyAlignment="1"/>
    <xf numFmtId="43" fontId="13" fillId="0" borderId="0" xfId="0" applyNumberFormat="1" applyFont="1"/>
    <xf numFmtId="0" fontId="12" fillId="0" borderId="0" xfId="6" applyFont="1" applyFill="1" applyBorder="1" applyAlignment="1">
      <alignment horizontal="left"/>
    </xf>
    <xf numFmtId="43" fontId="13" fillId="0" borderId="0" xfId="1" applyNumberFormat="1" applyFont="1" applyBorder="1"/>
    <xf numFmtId="166" fontId="13" fillId="0" borderId="0" xfId="0" applyNumberFormat="1" applyFont="1" applyFill="1" applyBorder="1" applyAlignment="1">
      <alignment horizontal="left"/>
    </xf>
    <xf numFmtId="165" fontId="13" fillId="0" borderId="0" xfId="0" applyNumberFormat="1" applyFont="1" applyBorder="1" applyAlignment="1">
      <alignment horizontal="left"/>
    </xf>
    <xf numFmtId="177" fontId="13" fillId="0" borderId="0" xfId="0" applyNumberFormat="1" applyFont="1" applyBorder="1" applyAlignment="1">
      <alignment horizontal="left"/>
    </xf>
    <xf numFmtId="166" fontId="13" fillId="0" borderId="0" xfId="0" applyNumberFormat="1" applyFont="1" applyBorder="1" applyAlignment="1">
      <alignment horizontal="left"/>
    </xf>
    <xf numFmtId="181" fontId="13" fillId="0" borderId="0" xfId="0" applyNumberFormat="1" applyFont="1" applyBorder="1" applyAlignment="1">
      <alignment horizontal="left"/>
    </xf>
    <xf numFmtId="6" fontId="13" fillId="0" borderId="0" xfId="0" applyNumberFormat="1" applyFont="1" applyBorder="1"/>
    <xf numFmtId="6" fontId="13" fillId="0" borderId="0" xfId="0" applyNumberFormat="1" applyFont="1" applyFill="1" applyBorder="1" applyAlignment="1">
      <alignment horizontal="left"/>
    </xf>
    <xf numFmtId="43" fontId="13" fillId="0" borderId="0" xfId="0" applyNumberFormat="1" applyFont="1" applyBorder="1" applyAlignment="1">
      <alignment horizontal="right"/>
    </xf>
    <xf numFmtId="165" fontId="12" fillId="0" borderId="0" xfId="1" applyNumberFormat="1" applyFont="1" applyFill="1" applyBorder="1" applyAlignment="1">
      <alignment horizontal="center"/>
    </xf>
    <xf numFmtId="165" fontId="13" fillId="0" borderId="0" xfId="1" applyNumberFormat="1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137" xfId="0" applyBorder="1"/>
    <xf numFmtId="0" fontId="17" fillId="0" borderId="0" xfId="0" applyFont="1"/>
    <xf numFmtId="182" fontId="14" fillId="2" borderId="0" xfId="0" applyNumberFormat="1" applyFont="1" applyFill="1" applyBorder="1" applyAlignment="1"/>
    <xf numFmtId="182" fontId="14" fillId="0" borderId="0" xfId="0" applyNumberFormat="1" applyFont="1" applyFill="1" applyBorder="1" applyAlignment="1"/>
    <xf numFmtId="0" fontId="13" fillId="0" borderId="137" xfId="0" applyFont="1" applyBorder="1"/>
    <xf numFmtId="182" fontId="13" fillId="0" borderId="0" xfId="0" applyNumberFormat="1" applyFont="1"/>
    <xf numFmtId="182" fontId="13" fillId="0" borderId="0" xfId="0" applyNumberFormat="1" applyFont="1" applyBorder="1"/>
    <xf numFmtId="0" fontId="17" fillId="0" borderId="0" xfId="0" applyNumberFormat="1" applyFont="1"/>
    <xf numFmtId="0" fontId="14" fillId="0" borderId="0" xfId="0" applyNumberFormat="1" applyFont="1" applyFill="1" applyBorder="1" applyAlignment="1"/>
    <xf numFmtId="0" fontId="308" fillId="0" borderId="0" xfId="0" applyFont="1" applyFill="1"/>
    <xf numFmtId="0" fontId="309" fillId="0" borderId="0" xfId="0" applyFont="1" applyFill="1" applyBorder="1"/>
    <xf numFmtId="165" fontId="309" fillId="0" borderId="0" xfId="1" applyNumberFormat="1" applyFont="1" applyFill="1" applyBorder="1" applyAlignment="1">
      <alignment horizontal="left"/>
    </xf>
    <xf numFmtId="0" fontId="308" fillId="0" borderId="0" xfId="0" applyNumberFormat="1" applyFont="1" applyBorder="1" applyAlignment="1">
      <alignment horizontal="left"/>
    </xf>
    <xf numFmtId="0" fontId="308" fillId="0" borderId="0" xfId="0" applyNumberFormat="1" applyFont="1" applyFill="1" applyBorder="1" applyAlignment="1">
      <alignment horizontal="left"/>
    </xf>
    <xf numFmtId="3" fontId="309" fillId="0" borderId="0" xfId="0" applyNumberFormat="1" applyFont="1" applyFill="1" applyBorder="1" applyAlignment="1">
      <alignment horizontal="left"/>
    </xf>
    <xf numFmtId="0" fontId="310" fillId="0" borderId="0" xfId="0" applyFont="1" applyFill="1" applyAlignment="1" applyProtection="1">
      <alignment horizontal="center"/>
    </xf>
    <xf numFmtId="165" fontId="311" fillId="0" borderId="0" xfId="2031" applyNumberFormat="1" applyFont="1" applyFill="1" applyAlignment="1" applyProtection="1">
      <alignment horizontal="center"/>
    </xf>
    <xf numFmtId="6" fontId="308" fillId="0" borderId="0" xfId="0" applyNumberFormat="1" applyFont="1" applyBorder="1" applyAlignment="1">
      <alignment horizontal="left"/>
    </xf>
    <xf numFmtId="8" fontId="308" fillId="0" borderId="0" xfId="0" applyNumberFormat="1" applyFont="1" applyFill="1" applyBorder="1" applyAlignment="1">
      <alignment horizontal="left"/>
    </xf>
    <xf numFmtId="43" fontId="308" fillId="0" borderId="0" xfId="0" applyNumberFormat="1" applyFont="1" applyBorder="1" applyAlignment="1">
      <alignment horizontal="left"/>
    </xf>
    <xf numFmtId="6" fontId="308" fillId="0" borderId="0" xfId="0" applyNumberFormat="1" applyFont="1" applyFill="1" applyBorder="1" applyAlignment="1"/>
    <xf numFmtId="0" fontId="312" fillId="0" borderId="0" xfId="0" applyNumberFormat="1" applyFont="1" applyBorder="1" applyAlignment="1">
      <alignment horizontal="left"/>
    </xf>
    <xf numFmtId="0" fontId="312" fillId="4" borderId="3" xfId="0" applyNumberFormat="1" applyFont="1" applyFill="1" applyBorder="1" applyAlignment="1">
      <alignment horizontal="left" wrapText="1"/>
    </xf>
    <xf numFmtId="0" fontId="312" fillId="4" borderId="4" xfId="0" applyNumberFormat="1" applyFont="1" applyFill="1" applyBorder="1" applyAlignment="1">
      <alignment horizontal="left"/>
    </xf>
    <xf numFmtId="0" fontId="312" fillId="4" borderId="109" xfId="0" applyNumberFormat="1" applyFont="1" applyFill="1" applyBorder="1" applyAlignment="1">
      <alignment horizontal="left"/>
    </xf>
    <xf numFmtId="0" fontId="312" fillId="4" borderId="3" xfId="0" applyFont="1" applyFill="1" applyBorder="1" applyAlignment="1">
      <alignment horizontal="center"/>
    </xf>
    <xf numFmtId="0" fontId="312" fillId="4" borderId="4" xfId="0" applyFont="1" applyFill="1" applyBorder="1" applyAlignment="1">
      <alignment horizontal="center"/>
    </xf>
    <xf numFmtId="0" fontId="308" fillId="0" borderId="5" xfId="0" applyNumberFormat="1" applyFont="1" applyBorder="1" applyAlignment="1">
      <alignment horizontal="left"/>
    </xf>
    <xf numFmtId="1" fontId="308" fillId="0" borderId="0" xfId="0" applyNumberFormat="1" applyFont="1" applyFill="1" applyBorder="1" applyAlignment="1">
      <alignment horizontal="center"/>
    </xf>
    <xf numFmtId="182" fontId="308" fillId="2" borderId="0" xfId="0" applyNumberFormat="1" applyFont="1" applyFill="1" applyBorder="1" applyAlignment="1">
      <alignment horizontal="center"/>
    </xf>
    <xf numFmtId="173" fontId="308" fillId="0" borderId="6" xfId="0" applyNumberFormat="1" applyFont="1" applyBorder="1" applyAlignment="1">
      <alignment horizontal="right"/>
    </xf>
    <xf numFmtId="10" fontId="308" fillId="2" borderId="0" xfId="3" applyNumberFormat="1" applyFont="1" applyFill="1" applyBorder="1" applyAlignment="1">
      <alignment horizontal="center"/>
    </xf>
    <xf numFmtId="10" fontId="308" fillId="0" borderId="0" xfId="0" applyNumberFormat="1" applyFont="1" applyFill="1" applyBorder="1" applyAlignment="1">
      <alignment horizontal="center"/>
    </xf>
    <xf numFmtId="0" fontId="308" fillId="0" borderId="5" xfId="0" applyNumberFormat="1" applyFont="1" applyBorder="1" applyAlignment="1">
      <alignment horizontal="center"/>
    </xf>
    <xf numFmtId="0" fontId="308" fillId="0" borderId="0" xfId="0" applyNumberFormat="1" applyFont="1" applyBorder="1" applyAlignment="1">
      <alignment horizontal="center"/>
    </xf>
    <xf numFmtId="165" fontId="308" fillId="0" borderId="6" xfId="1" applyNumberFormat="1" applyFont="1" applyBorder="1" applyAlignment="1">
      <alignment horizontal="left"/>
    </xf>
    <xf numFmtId="1" fontId="308" fillId="0" borderId="0" xfId="0" applyNumberFormat="1" applyFont="1" applyBorder="1" applyAlignment="1">
      <alignment horizontal="center"/>
    </xf>
    <xf numFmtId="173" fontId="308" fillId="0" borderId="0" xfId="0" applyNumberFormat="1" applyFont="1" applyBorder="1" applyAlignment="1">
      <alignment horizontal="center"/>
    </xf>
    <xf numFmtId="0" fontId="308" fillId="4" borderId="5" xfId="0" applyNumberFormat="1" applyFont="1" applyFill="1" applyBorder="1" applyAlignment="1">
      <alignment horizontal="left"/>
    </xf>
    <xf numFmtId="0" fontId="312" fillId="4" borderId="0" xfId="0" applyNumberFormat="1" applyFont="1" applyFill="1" applyBorder="1" applyAlignment="1">
      <alignment horizontal="left"/>
    </xf>
    <xf numFmtId="0" fontId="312" fillId="4" borderId="6" xfId="0" applyNumberFormat="1" applyFont="1" applyFill="1" applyBorder="1" applyAlignment="1">
      <alignment horizontal="left"/>
    </xf>
    <xf numFmtId="0" fontId="308" fillId="0" borderId="0" xfId="0" applyFont="1"/>
    <xf numFmtId="0" fontId="308" fillId="0" borderId="0" xfId="0" applyFont="1" applyFill="1" applyBorder="1"/>
    <xf numFmtId="0" fontId="308" fillId="0" borderId="5" xfId="0" applyFont="1" applyBorder="1" applyAlignment="1">
      <alignment horizontal="center"/>
    </xf>
    <xf numFmtId="0" fontId="308" fillId="0" borderId="0" xfId="0" applyFont="1" applyBorder="1" applyAlignment="1">
      <alignment horizontal="center"/>
    </xf>
    <xf numFmtId="165" fontId="308" fillId="0" borderId="6" xfId="1" applyNumberFormat="1" applyFont="1" applyBorder="1"/>
    <xf numFmtId="0" fontId="308" fillId="0" borderId="5" xfId="0" applyFont="1" applyBorder="1"/>
    <xf numFmtId="3" fontId="308" fillId="0" borderId="0" xfId="0" applyNumberFormat="1" applyFont="1" applyBorder="1"/>
    <xf numFmtId="173" fontId="308" fillId="0" borderId="6" xfId="0" applyNumberFormat="1" applyFont="1" applyBorder="1"/>
    <xf numFmtId="0" fontId="312" fillId="0" borderId="0" xfId="0" applyFont="1" applyFill="1" applyBorder="1"/>
    <xf numFmtId="0" fontId="308" fillId="0" borderId="2" xfId="0" applyFont="1" applyBorder="1" applyAlignment="1">
      <alignment horizontal="center"/>
    </xf>
    <xf numFmtId="0" fontId="308" fillId="0" borderId="110" xfId="0" applyFont="1" applyBorder="1"/>
    <xf numFmtId="0" fontId="308" fillId="0" borderId="0" xfId="0" applyFont="1" applyFill="1" applyBorder="1" applyAlignment="1">
      <alignment horizontal="center"/>
    </xf>
    <xf numFmtId="9" fontId="308" fillId="0" borderId="0" xfId="3" applyFont="1" applyFill="1" applyBorder="1" applyAlignment="1">
      <alignment horizontal="center"/>
    </xf>
    <xf numFmtId="173" fontId="312" fillId="0" borderId="0" xfId="0" applyNumberFormat="1" applyFont="1" applyFill="1" applyBorder="1"/>
    <xf numFmtId="0" fontId="313" fillId="0" borderId="0" xfId="0" applyFont="1" applyBorder="1"/>
    <xf numFmtId="0" fontId="314" fillId="0" borderId="3" xfId="0" applyFont="1" applyFill="1" applyBorder="1"/>
    <xf numFmtId="0" fontId="309" fillId="7" borderId="4" xfId="9" applyFont="1" applyFill="1" applyBorder="1" applyAlignment="1">
      <alignment horizontal="center" wrapText="1"/>
    </xf>
    <xf numFmtId="0" fontId="309" fillId="7" borderId="109" xfId="9" applyFont="1" applyFill="1" applyBorder="1" applyAlignment="1">
      <alignment horizontal="center" wrapText="1"/>
    </xf>
    <xf numFmtId="182" fontId="308" fillId="0" borderId="0" xfId="0" applyNumberFormat="1" applyFont="1" applyFill="1" applyBorder="1" applyAlignment="1">
      <alignment horizontal="center"/>
    </xf>
    <xf numFmtId="173" fontId="308" fillId="0" borderId="0" xfId="0" applyNumberFormat="1" applyFont="1" applyFill="1" applyBorder="1"/>
    <xf numFmtId="0" fontId="315" fillId="0" borderId="0" xfId="0" applyFont="1" applyFill="1" applyBorder="1" applyAlignment="1">
      <alignment horizontal="center"/>
    </xf>
    <xf numFmtId="0" fontId="313" fillId="0" borderId="0" xfId="9" applyFont="1" applyFill="1" applyBorder="1" applyAlignment="1">
      <alignment horizontal="right"/>
    </xf>
    <xf numFmtId="0" fontId="314" fillId="0" borderId="5" xfId="9" applyFont="1" applyFill="1" applyBorder="1" applyAlignment="1">
      <alignment horizontal="center"/>
    </xf>
    <xf numFmtId="0" fontId="312" fillId="0" borderId="0" xfId="0" applyNumberFormat="1" applyFont="1" applyFill="1" applyBorder="1" applyAlignment="1">
      <alignment horizontal="left"/>
    </xf>
    <xf numFmtId="0" fontId="308" fillId="2" borderId="0" xfId="0" applyFont="1" applyFill="1" applyBorder="1" applyAlignment="1">
      <alignment horizontal="center"/>
    </xf>
    <xf numFmtId="173" fontId="308" fillId="0" borderId="0" xfId="0" applyNumberFormat="1" applyFont="1" applyBorder="1" applyAlignment="1">
      <alignment horizontal="left"/>
    </xf>
    <xf numFmtId="182" fontId="308" fillId="0" borderId="0" xfId="0" applyNumberFormat="1" applyFont="1" applyBorder="1" applyAlignment="1">
      <alignment horizontal="left"/>
    </xf>
    <xf numFmtId="9" fontId="308" fillId="0" borderId="0" xfId="3" applyFont="1" applyBorder="1" applyAlignment="1">
      <alignment horizontal="left"/>
    </xf>
    <xf numFmtId="0" fontId="308" fillId="0" borderId="110" xfId="0" applyNumberFormat="1" applyFont="1" applyBorder="1" applyAlignment="1">
      <alignment horizontal="center"/>
    </xf>
    <xf numFmtId="166" fontId="308" fillId="0" borderId="0" xfId="0" applyNumberFormat="1" applyFont="1" applyBorder="1" applyAlignment="1">
      <alignment horizontal="left"/>
    </xf>
    <xf numFmtId="44" fontId="308" fillId="0" borderId="0" xfId="2" applyFont="1" applyBorder="1" applyAlignment="1">
      <alignment horizontal="left"/>
    </xf>
    <xf numFmtId="9" fontId="312" fillId="71" borderId="3" xfId="0" applyNumberFormat="1" applyFont="1" applyFill="1" applyBorder="1" applyAlignment="1">
      <alignment horizontal="center"/>
    </xf>
    <xf numFmtId="0" fontId="312" fillId="71" borderId="4" xfId="0" applyNumberFormat="1" applyFont="1" applyFill="1" applyBorder="1" applyAlignment="1">
      <alignment horizontal="center"/>
    </xf>
    <xf numFmtId="0" fontId="312" fillId="71" borderId="4" xfId="0" applyNumberFormat="1" applyFont="1" applyFill="1" applyBorder="1" applyAlignment="1">
      <alignment horizontal="center" wrapText="1"/>
    </xf>
    <xf numFmtId="0" fontId="312" fillId="72" borderId="4" xfId="0" applyNumberFormat="1" applyFont="1" applyFill="1" applyBorder="1" applyAlignment="1">
      <alignment horizontal="center"/>
    </xf>
    <xf numFmtId="0" fontId="312" fillId="72" borderId="4" xfId="0" applyNumberFormat="1" applyFont="1" applyFill="1" applyBorder="1" applyAlignment="1">
      <alignment horizontal="center" wrapText="1"/>
    </xf>
    <xf numFmtId="0" fontId="312" fillId="72" borderId="109" xfId="0" applyNumberFormat="1" applyFont="1" applyFill="1" applyBorder="1" applyAlignment="1">
      <alignment horizontal="center" wrapText="1"/>
    </xf>
    <xf numFmtId="0" fontId="308" fillId="0" borderId="5" xfId="0" applyFont="1" applyFill="1" applyBorder="1" applyAlignment="1">
      <alignment horizontal="center"/>
    </xf>
    <xf numFmtId="173" fontId="308" fillId="0" borderId="0" xfId="0" applyNumberFormat="1" applyFont="1" applyFill="1" applyBorder="1" applyAlignment="1">
      <alignment horizontal="center"/>
    </xf>
    <xf numFmtId="173" fontId="308" fillId="0" borderId="0" xfId="3" applyNumberFormat="1" applyFont="1" applyFill="1" applyBorder="1" applyAlignment="1">
      <alignment horizontal="center"/>
    </xf>
    <xf numFmtId="173" fontId="308" fillId="2" borderId="0" xfId="0" applyNumberFormat="1" applyFont="1" applyFill="1" applyBorder="1" applyAlignment="1">
      <alignment horizontal="center"/>
    </xf>
    <xf numFmtId="9" fontId="308" fillId="0" borderId="6" xfId="3" applyFont="1" applyFill="1" applyBorder="1" applyAlignment="1">
      <alignment horizontal="center"/>
    </xf>
    <xf numFmtId="0" fontId="308" fillId="0" borderId="110" xfId="0" applyFont="1" applyFill="1" applyBorder="1" applyAlignment="1">
      <alignment horizontal="center"/>
    </xf>
    <xf numFmtId="0" fontId="308" fillId="0" borderId="110" xfId="0" applyNumberFormat="1" applyFont="1" applyFill="1" applyBorder="1" applyAlignment="1">
      <alignment horizontal="center"/>
    </xf>
    <xf numFmtId="165" fontId="309" fillId="0" borderId="0" xfId="1" applyNumberFormat="1" applyFont="1" applyFill="1" applyBorder="1" applyAlignment="1">
      <alignment horizontal="right"/>
    </xf>
    <xf numFmtId="0" fontId="309" fillId="4" borderId="0" xfId="0" applyFont="1" applyFill="1" applyBorder="1"/>
    <xf numFmtId="3" fontId="309" fillId="4" borderId="0" xfId="0" applyNumberFormat="1" applyFont="1" applyFill="1" applyBorder="1"/>
    <xf numFmtId="0" fontId="314" fillId="0" borderId="0" xfId="0" applyFont="1" applyFill="1"/>
    <xf numFmtId="0" fontId="314" fillId="0" borderId="0" xfId="0" applyFont="1" applyFill="1" applyBorder="1"/>
    <xf numFmtId="3" fontId="309" fillId="0" borderId="0" xfId="0" applyNumberFormat="1" applyFont="1" applyFill="1" applyBorder="1" applyAlignment="1">
      <alignment horizontal="right"/>
    </xf>
    <xf numFmtId="0" fontId="309" fillId="4" borderId="0" xfId="0" applyFont="1" applyFill="1" applyBorder="1" applyAlignment="1"/>
    <xf numFmtId="0" fontId="309" fillId="0" borderId="0" xfId="0" applyFont="1" applyFill="1" applyBorder="1" applyAlignment="1"/>
    <xf numFmtId="0" fontId="309" fillId="2" borderId="0" xfId="0" applyFont="1" applyFill="1" applyBorder="1" applyAlignment="1"/>
    <xf numFmtId="165" fontId="314" fillId="0" borderId="0" xfId="1" applyNumberFormat="1" applyFont="1" applyFill="1"/>
    <xf numFmtId="165" fontId="309" fillId="0" borderId="0" xfId="1" applyNumberFormat="1" applyFont="1" applyFill="1" applyBorder="1" applyAlignment="1">
      <alignment horizontal="center"/>
    </xf>
    <xf numFmtId="0" fontId="309" fillId="4" borderId="3" xfId="0" applyFont="1" applyFill="1" applyBorder="1" applyAlignment="1">
      <alignment horizontal="center"/>
    </xf>
    <xf numFmtId="0" fontId="314" fillId="4" borderId="109" xfId="1" applyNumberFormat="1" applyFont="1" applyFill="1" applyBorder="1"/>
    <xf numFmtId="165" fontId="309" fillId="4" borderId="3" xfId="1" applyNumberFormat="1" applyFont="1" applyFill="1" applyBorder="1" applyAlignment="1">
      <alignment horizontal="center" vertical="center"/>
    </xf>
    <xf numFmtId="165" fontId="309" fillId="4" borderId="109" xfId="1" applyNumberFormat="1" applyFont="1" applyFill="1" applyBorder="1" applyAlignment="1">
      <alignment horizontal="center" vertical="center"/>
    </xf>
    <xf numFmtId="0" fontId="314" fillId="0" borderId="5" xfId="0" applyFont="1" applyFill="1" applyBorder="1"/>
    <xf numFmtId="173" fontId="314" fillId="0" borderId="0" xfId="1" applyNumberFormat="1" applyFont="1" applyFill="1" applyBorder="1"/>
    <xf numFmtId="0" fontId="314" fillId="2" borderId="0" xfId="1" applyNumberFormat="1" applyFont="1" applyFill="1" applyBorder="1" applyAlignment="1">
      <alignment horizontal="center"/>
    </xf>
    <xf numFmtId="0" fontId="314" fillId="0" borderId="6" xfId="1" applyNumberFormat="1" applyFont="1" applyFill="1" applyBorder="1"/>
    <xf numFmtId="173" fontId="314" fillId="0" borderId="5" xfId="1" applyNumberFormat="1" applyFont="1" applyFill="1" applyBorder="1"/>
    <xf numFmtId="165" fontId="314" fillId="0" borderId="0" xfId="1" applyNumberFormat="1" applyFont="1" applyFill="1" applyBorder="1"/>
    <xf numFmtId="177" fontId="314" fillId="0" borderId="0" xfId="1" applyNumberFormat="1" applyFont="1" applyFill="1" applyBorder="1"/>
    <xf numFmtId="167" fontId="314" fillId="0" borderId="5" xfId="3" applyNumberFormat="1" applyFont="1" applyFill="1" applyBorder="1"/>
    <xf numFmtId="173" fontId="314" fillId="0" borderId="5" xfId="1" applyNumberFormat="1" applyFont="1" applyFill="1" applyBorder="1" applyAlignment="1">
      <alignment horizontal="right"/>
    </xf>
    <xf numFmtId="0" fontId="314" fillId="0" borderId="5" xfId="1" applyNumberFormat="1" applyFont="1" applyFill="1" applyBorder="1" applyAlignment="1">
      <alignment horizontal="center"/>
    </xf>
    <xf numFmtId="0" fontId="309" fillId="0" borderId="5" xfId="0" applyFont="1" applyFill="1" applyBorder="1"/>
    <xf numFmtId="182" fontId="314" fillId="0" borderId="0" xfId="1" applyNumberFormat="1" applyFont="1" applyFill="1" applyBorder="1"/>
    <xf numFmtId="182" fontId="314" fillId="0" borderId="5" xfId="1" applyNumberFormat="1" applyFont="1" applyFill="1" applyBorder="1"/>
    <xf numFmtId="6" fontId="314" fillId="0" borderId="5" xfId="1" applyNumberFormat="1" applyFont="1" applyFill="1" applyBorder="1" applyAlignment="1">
      <alignment horizontal="center"/>
    </xf>
    <xf numFmtId="173" fontId="309" fillId="0" borderId="0" xfId="1" applyNumberFormat="1" applyFont="1" applyFill="1" applyBorder="1"/>
    <xf numFmtId="0" fontId="309" fillId="0" borderId="6" xfId="1" applyNumberFormat="1" applyFont="1" applyFill="1" applyBorder="1"/>
    <xf numFmtId="173" fontId="309" fillId="0" borderId="5" xfId="1" applyNumberFormat="1" applyFont="1" applyFill="1" applyBorder="1"/>
    <xf numFmtId="0" fontId="314" fillId="0" borderId="110" xfId="0" applyFont="1" applyFill="1" applyBorder="1"/>
    <xf numFmtId="173" fontId="309" fillId="0" borderId="110" xfId="1" applyNumberFormat="1" applyFont="1" applyFill="1" applyBorder="1"/>
    <xf numFmtId="165" fontId="309" fillId="0" borderId="0" xfId="1" applyNumberFormat="1" applyFont="1" applyFill="1" applyBorder="1"/>
    <xf numFmtId="44" fontId="314" fillId="0" borderId="0" xfId="1" applyNumberFormat="1" applyFont="1" applyFill="1" applyBorder="1"/>
    <xf numFmtId="0" fontId="314" fillId="0" borderId="0" xfId="0" applyNumberFormat="1" applyFont="1" applyFill="1"/>
    <xf numFmtId="0" fontId="314" fillId="0" borderId="0" xfId="1" applyNumberFormat="1" applyFont="1" applyFill="1"/>
    <xf numFmtId="173" fontId="314" fillId="0" borderId="0" xfId="1" applyNumberFormat="1" applyFont="1" applyFill="1"/>
    <xf numFmtId="44" fontId="314" fillId="0" borderId="0" xfId="1" applyNumberFormat="1" applyFont="1" applyFill="1"/>
    <xf numFmtId="165" fontId="309" fillId="4" borderId="0" xfId="1" applyNumberFormat="1" applyFont="1" applyFill="1" applyBorder="1" applyAlignment="1">
      <alignment horizontal="center"/>
    </xf>
    <xf numFmtId="9" fontId="314" fillId="2" borderId="0" xfId="3" applyFont="1" applyFill="1" applyBorder="1" applyAlignment="1">
      <alignment horizontal="center"/>
    </xf>
    <xf numFmtId="165" fontId="314" fillId="0" borderId="0" xfId="1" applyNumberFormat="1" applyFont="1" applyFill="1" applyBorder="1" applyAlignment="1">
      <alignment horizontal="center"/>
    </xf>
    <xf numFmtId="0" fontId="314" fillId="0" borderId="0" xfId="0" applyFont="1" applyFill="1" applyBorder="1" applyAlignment="1">
      <alignment horizontal="right" indent="1"/>
    </xf>
    <xf numFmtId="9" fontId="314" fillId="0" borderId="0" xfId="0" applyNumberFormat="1" applyFont="1" applyFill="1" applyBorder="1"/>
    <xf numFmtId="0" fontId="314" fillId="0" borderId="0" xfId="0" applyFont="1" applyFill="1" applyBorder="1" applyAlignment="1">
      <alignment horizontal="left" indent="1"/>
    </xf>
    <xf numFmtId="0" fontId="314" fillId="0" borderId="2" xfId="0" applyFont="1" applyFill="1" applyBorder="1" applyAlignment="1">
      <alignment horizontal="left" indent="1"/>
    </xf>
    <xf numFmtId="9" fontId="314" fillId="0" borderId="2" xfId="0" applyNumberFormat="1" applyFont="1" applyFill="1" applyBorder="1"/>
    <xf numFmtId="165" fontId="314" fillId="0" borderId="2" xfId="1" applyNumberFormat="1" applyFont="1" applyFill="1" applyBorder="1"/>
    <xf numFmtId="0" fontId="314" fillId="0" borderId="2" xfId="0" applyFont="1" applyFill="1" applyBorder="1"/>
    <xf numFmtId="9" fontId="314" fillId="2" borderId="2" xfId="3" applyFont="1" applyFill="1" applyBorder="1" applyAlignment="1">
      <alignment horizontal="center"/>
    </xf>
    <xf numFmtId="0" fontId="309" fillId="0" borderId="9" xfId="0" applyFont="1" applyFill="1" applyBorder="1"/>
    <xf numFmtId="0" fontId="309" fillId="0" borderId="10" xfId="0" applyFont="1" applyFill="1" applyBorder="1"/>
    <xf numFmtId="165" fontId="309" fillId="0" borderId="10" xfId="1" applyNumberFormat="1" applyFont="1" applyFill="1" applyBorder="1"/>
    <xf numFmtId="1" fontId="314" fillId="0" borderId="0" xfId="1" applyNumberFormat="1" applyFont="1" applyFill="1" applyAlignment="1">
      <alignment horizontal="center"/>
    </xf>
    <xf numFmtId="0" fontId="316" fillId="0" borderId="0" xfId="0" applyFont="1" applyFill="1" applyBorder="1"/>
    <xf numFmtId="9" fontId="314" fillId="0" borderId="0" xfId="3" applyFont="1" applyFill="1" applyBorder="1" applyAlignment="1">
      <alignment horizontal="center"/>
    </xf>
    <xf numFmtId="0" fontId="317" fillId="0" borderId="0" xfId="0" applyFont="1" applyFill="1" applyBorder="1"/>
    <xf numFmtId="0" fontId="317" fillId="0" borderId="0" xfId="3" applyNumberFormat="1" applyFont="1" applyFill="1" applyBorder="1"/>
    <xf numFmtId="9" fontId="317" fillId="0" borderId="0" xfId="3" applyFont="1" applyFill="1" applyBorder="1"/>
    <xf numFmtId="0" fontId="318" fillId="73" borderId="0" xfId="5323" applyFont="1" applyFill="1"/>
    <xf numFmtId="173" fontId="309" fillId="2" borderId="0" xfId="0" applyNumberFormat="1" applyFont="1" applyFill="1" applyBorder="1" applyAlignment="1"/>
    <xf numFmtId="173" fontId="309" fillId="0" borderId="0" xfId="1" applyNumberFormat="1" applyFont="1" applyFill="1"/>
    <xf numFmtId="182" fontId="314" fillId="0" borderId="0" xfId="1" applyNumberFormat="1" applyFont="1" applyFill="1"/>
    <xf numFmtId="0" fontId="309" fillId="0" borderId="0" xfId="0" applyFont="1" applyFill="1"/>
    <xf numFmtId="173" fontId="317" fillId="0" borderId="0" xfId="1" applyNumberFormat="1" applyFont="1" applyFill="1"/>
    <xf numFmtId="182" fontId="309" fillId="2" borderId="0" xfId="0" applyNumberFormat="1" applyFont="1" applyFill="1" applyBorder="1" applyAlignment="1"/>
    <xf numFmtId="0" fontId="319" fillId="4" borderId="0" xfId="0" applyFont="1" applyFill="1" applyBorder="1"/>
    <xf numFmtId="0" fontId="319" fillId="4" borderId="0" xfId="0" applyFont="1" applyFill="1" applyBorder="1" applyAlignment="1">
      <alignment wrapText="1"/>
    </xf>
    <xf numFmtId="165" fontId="319" fillId="4" borderId="0" xfId="1" applyNumberFormat="1" applyFont="1" applyFill="1" applyBorder="1" applyAlignment="1">
      <alignment horizontal="center" wrapText="1"/>
    </xf>
    <xf numFmtId="165" fontId="319" fillId="0" borderId="0" xfId="1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/>
    </xf>
    <xf numFmtId="0" fontId="0" fillId="0" borderId="0" xfId="0" applyFont="1" applyBorder="1"/>
    <xf numFmtId="0" fontId="0" fillId="0" borderId="0" xfId="0" applyFont="1" applyFill="1" applyBorder="1" applyAlignment="1">
      <alignment horizontal="left"/>
    </xf>
    <xf numFmtId="173" fontId="0" fillId="0" borderId="0" xfId="0" applyNumberFormat="1" applyFont="1"/>
    <xf numFmtId="182" fontId="5" fillId="2" borderId="0" xfId="0" applyNumberFormat="1" applyFont="1" applyFill="1" applyBorder="1" applyAlignment="1"/>
    <xf numFmtId="166" fontId="0" fillId="0" borderId="0" xfId="2" applyNumberFormat="1" applyFont="1" applyBorder="1"/>
    <xf numFmtId="0" fontId="0" fillId="0" borderId="0" xfId="0" applyFont="1" applyFill="1" applyBorder="1"/>
    <xf numFmtId="182" fontId="5" fillId="0" borderId="0" xfId="0" applyNumberFormat="1" applyFont="1" applyFill="1" applyBorder="1" applyAlignment="1"/>
    <xf numFmtId="0" fontId="0" fillId="0" borderId="0" xfId="0" applyFont="1" applyFill="1" applyBorder="1" applyAlignment="1">
      <alignment horizontal="right"/>
    </xf>
    <xf numFmtId="0" fontId="0" fillId="0" borderId="0" xfId="0" quotePrefix="1" applyFont="1" applyFill="1" applyBorder="1" applyAlignment="1" applyProtection="1">
      <alignment horizontal="left"/>
      <protection locked="0"/>
    </xf>
    <xf numFmtId="0" fontId="0" fillId="0" borderId="0" xfId="0" quotePrefix="1" applyFont="1" applyFill="1" applyBorder="1" applyAlignment="1">
      <alignment horizontal="left"/>
    </xf>
    <xf numFmtId="0" fontId="0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>
      <alignment horizontal="left"/>
    </xf>
    <xf numFmtId="0" fontId="314" fillId="0" borderId="0" xfId="0" applyNumberFormat="1" applyFont="1"/>
    <xf numFmtId="0" fontId="314" fillId="0" borderId="0" xfId="0" applyFont="1"/>
    <xf numFmtId="0" fontId="309" fillId="0" borderId="0" xfId="0" applyNumberFormat="1" applyFont="1"/>
    <xf numFmtId="0" fontId="314" fillId="0" borderId="0" xfId="0" applyFont="1" applyBorder="1"/>
    <xf numFmtId="6" fontId="309" fillId="0" borderId="0" xfId="0" applyNumberFormat="1" applyFont="1" applyFill="1" applyBorder="1" applyAlignment="1"/>
    <xf numFmtId="0" fontId="309" fillId="4" borderId="3" xfId="0" applyNumberFormat="1" applyFont="1" applyFill="1" applyBorder="1" applyAlignment="1"/>
    <xf numFmtId="0" fontId="309" fillId="0" borderId="0" xfId="0" applyFont="1" applyBorder="1" applyAlignment="1"/>
    <xf numFmtId="0" fontId="314" fillId="0" borderId="5" xfId="1" applyNumberFormat="1" applyFont="1" applyFill="1" applyBorder="1" applyAlignment="1">
      <alignment horizontal="right"/>
    </xf>
    <xf numFmtId="0" fontId="314" fillId="2" borderId="6" xfId="1" applyNumberFormat="1" applyFont="1" applyFill="1" applyBorder="1"/>
    <xf numFmtId="0" fontId="314" fillId="0" borderId="0" xfId="0" applyFont="1" applyFill="1" applyBorder="1" applyAlignment="1"/>
    <xf numFmtId="0" fontId="314" fillId="0" borderId="11" xfId="1" applyNumberFormat="1" applyFont="1" applyFill="1" applyBorder="1" applyAlignment="1">
      <alignment horizontal="right"/>
    </xf>
    <xf numFmtId="10" fontId="314" fillId="2" borderId="6" xfId="3" applyNumberFormat="1" applyFont="1" applyFill="1" applyBorder="1"/>
    <xf numFmtId="0" fontId="309" fillId="4" borderId="4" xfId="0" applyNumberFormat="1" applyFont="1" applyFill="1" applyBorder="1" applyAlignment="1"/>
    <xf numFmtId="0" fontId="314" fillId="4" borderId="4" xfId="0" applyFont="1" applyFill="1" applyBorder="1"/>
    <xf numFmtId="0" fontId="309" fillId="0" borderId="5" xfId="0" applyNumberFormat="1" applyFont="1" applyFill="1" applyBorder="1" applyAlignment="1">
      <alignment horizontal="center"/>
    </xf>
    <xf numFmtId="0" fontId="314" fillId="0" borderId="0" xfId="0" applyNumberFormat="1" applyFont="1" applyFill="1" applyBorder="1" applyAlignment="1">
      <alignment horizontal="center"/>
    </xf>
    <xf numFmtId="0" fontId="314" fillId="0" borderId="0" xfId="0" applyFont="1" applyBorder="1" applyAlignment="1">
      <alignment horizontal="center"/>
    </xf>
    <xf numFmtId="0" fontId="314" fillId="0" borderId="0" xfId="0" applyFont="1" applyFill="1" applyBorder="1" applyAlignment="1">
      <alignment horizontal="center"/>
    </xf>
    <xf numFmtId="0" fontId="314" fillId="0" borderId="6" xfId="0" applyFont="1" applyFill="1" applyBorder="1" applyAlignment="1">
      <alignment horizontal="center"/>
    </xf>
    <xf numFmtId="166" fontId="314" fillId="0" borderId="0" xfId="1" applyNumberFormat="1" applyFont="1" applyFill="1" applyBorder="1"/>
    <xf numFmtId="0" fontId="314" fillId="2" borderId="0" xfId="1" applyNumberFormat="1" applyFont="1" applyFill="1" applyBorder="1"/>
    <xf numFmtId="10" fontId="314" fillId="0" borderId="0" xfId="3" applyNumberFormat="1" applyFont="1" applyBorder="1" applyAlignment="1">
      <alignment horizontal="center"/>
    </xf>
    <xf numFmtId="166" fontId="314" fillId="0" borderId="6" xfId="0" applyNumberFormat="1" applyFont="1" applyFill="1" applyBorder="1" applyAlignment="1">
      <alignment horizontal="center"/>
    </xf>
    <xf numFmtId="9" fontId="314" fillId="0" borderId="0" xfId="3" applyFont="1" applyBorder="1" applyAlignment="1">
      <alignment horizontal="center"/>
    </xf>
    <xf numFmtId="0" fontId="309" fillId="0" borderId="2" xfId="0" applyFont="1" applyBorder="1" applyAlignment="1">
      <alignment horizontal="right"/>
    </xf>
    <xf numFmtId="0" fontId="309" fillId="4" borderId="2" xfId="0" applyFont="1" applyFill="1" applyBorder="1" applyAlignment="1">
      <alignment horizontal="right"/>
    </xf>
    <xf numFmtId="0" fontId="314" fillId="0" borderId="0" xfId="0" applyNumberFormat="1" applyFont="1" applyBorder="1"/>
    <xf numFmtId="10" fontId="308" fillId="0" borderId="0" xfId="3" applyNumberFormat="1" applyFont="1" applyFill="1"/>
    <xf numFmtId="165" fontId="308" fillId="0" borderId="0" xfId="1" applyNumberFormat="1" applyFont="1" applyFill="1"/>
    <xf numFmtId="0" fontId="312" fillId="0" borderId="0" xfId="0" applyFont="1" applyFill="1"/>
    <xf numFmtId="0" fontId="321" fillId="0" borderId="0" xfId="0" applyFont="1" applyFill="1" applyBorder="1" applyAlignment="1">
      <alignment horizontal="center" wrapText="1"/>
    </xf>
    <xf numFmtId="0" fontId="315" fillId="0" borderId="1" xfId="0" applyFont="1" applyFill="1" applyBorder="1" applyAlignment="1">
      <alignment horizontal="center" wrapText="1"/>
    </xf>
    <xf numFmtId="0" fontId="312" fillId="0" borderId="0" xfId="0" applyFont="1" applyFill="1" applyBorder="1" applyAlignment="1">
      <alignment horizontal="left"/>
    </xf>
    <xf numFmtId="166" fontId="321" fillId="0" borderId="0" xfId="1" applyNumberFormat="1" applyFont="1" applyFill="1" applyBorder="1" applyAlignment="1">
      <alignment horizontal="center"/>
    </xf>
    <xf numFmtId="165" fontId="321" fillId="0" borderId="0" xfId="1" applyNumberFormat="1" applyFont="1" applyFill="1" applyBorder="1" applyAlignment="1">
      <alignment horizontal="center"/>
    </xf>
    <xf numFmtId="166" fontId="308" fillId="0" borderId="1" xfId="3" applyNumberFormat="1" applyFont="1" applyFill="1" applyBorder="1" applyAlignment="1">
      <alignment horizontal="right" wrapText="1"/>
    </xf>
    <xf numFmtId="165" fontId="308" fillId="2" borderId="0" xfId="1" applyNumberFormat="1" applyFont="1" applyFill="1" applyBorder="1" applyAlignment="1"/>
    <xf numFmtId="165" fontId="308" fillId="0" borderId="0" xfId="1" applyNumberFormat="1" applyFont="1" applyFill="1" applyBorder="1" applyAlignment="1">
      <alignment horizontal="right"/>
    </xf>
    <xf numFmtId="43" fontId="308" fillId="0" borderId="0" xfId="1" applyNumberFormat="1" applyFont="1" applyFill="1" applyBorder="1" applyAlignment="1">
      <alignment horizontal="right"/>
    </xf>
    <xf numFmtId="166" fontId="308" fillId="0" borderId="0" xfId="3" applyNumberFormat="1" applyFont="1" applyFill="1" applyBorder="1" applyAlignment="1">
      <alignment horizontal="right" wrapText="1"/>
    </xf>
    <xf numFmtId="0" fontId="308" fillId="0" borderId="1" xfId="3" applyNumberFormat="1" applyFont="1" applyFill="1" applyBorder="1" applyAlignment="1">
      <alignment horizontal="left" wrapText="1"/>
    </xf>
    <xf numFmtId="165" fontId="312" fillId="0" borderId="0" xfId="1" applyNumberFormat="1" applyFont="1" applyFill="1" applyBorder="1" applyAlignment="1"/>
    <xf numFmtId="165" fontId="312" fillId="0" borderId="0" xfId="1" applyNumberFormat="1" applyFont="1" applyFill="1" applyBorder="1" applyAlignment="1">
      <alignment horizontal="right"/>
    </xf>
    <xf numFmtId="43" fontId="312" fillId="0" borderId="0" xfId="1" applyNumberFormat="1" applyFont="1" applyFill="1" applyBorder="1" applyAlignment="1">
      <alignment horizontal="right"/>
    </xf>
    <xf numFmtId="165" fontId="308" fillId="0" borderId="0" xfId="1" applyNumberFormat="1" applyFont="1" applyFill="1" applyBorder="1"/>
    <xf numFmtId="165" fontId="312" fillId="0" borderId="0" xfId="1" applyNumberFormat="1" applyFont="1" applyFill="1" applyBorder="1" applyAlignment="1">
      <alignment horizontal="right" wrapText="1"/>
    </xf>
    <xf numFmtId="43" fontId="312" fillId="0" borderId="0" xfId="1" applyNumberFormat="1" applyFont="1" applyFill="1" applyBorder="1" applyAlignment="1">
      <alignment horizontal="right" wrapText="1"/>
    </xf>
    <xf numFmtId="165" fontId="312" fillId="0" borderId="0" xfId="1" applyNumberFormat="1" applyFont="1" applyFill="1" applyBorder="1" applyAlignment="1">
      <alignment horizontal="center" wrapText="1"/>
    </xf>
    <xf numFmtId="165" fontId="312" fillId="0" borderId="0" xfId="1" applyNumberFormat="1" applyFont="1" applyFill="1" applyBorder="1" applyAlignment="1">
      <alignment horizontal="left"/>
    </xf>
    <xf numFmtId="165" fontId="321" fillId="0" borderId="0" xfId="1" applyNumberFormat="1" applyFont="1" applyFill="1" applyBorder="1" applyAlignment="1">
      <alignment horizontal="right"/>
    </xf>
    <xf numFmtId="43" fontId="321" fillId="0" borderId="0" xfId="1" applyNumberFormat="1" applyFont="1" applyFill="1" applyBorder="1" applyAlignment="1">
      <alignment horizontal="right"/>
    </xf>
    <xf numFmtId="165" fontId="308" fillId="0" borderId="0" xfId="1" applyNumberFormat="1" applyFont="1" applyFill="1" applyBorder="1" applyAlignment="1"/>
    <xf numFmtId="9" fontId="308" fillId="0" borderId="0" xfId="3" applyFont="1" applyFill="1" applyBorder="1" applyAlignment="1">
      <alignment horizontal="right" wrapText="1"/>
    </xf>
    <xf numFmtId="44" fontId="308" fillId="0" borderId="0" xfId="0" applyNumberFormat="1" applyFont="1" applyFill="1"/>
    <xf numFmtId="43" fontId="308" fillId="0" borderId="0" xfId="1" applyNumberFormat="1" applyFont="1" applyFill="1" applyBorder="1" applyAlignment="1"/>
    <xf numFmtId="166" fontId="308" fillId="0" borderId="0" xfId="1" applyNumberFormat="1" applyFont="1" applyFill="1" applyBorder="1" applyAlignment="1"/>
    <xf numFmtId="166" fontId="308" fillId="0" borderId="1" xfId="3" applyNumberFormat="1" applyFont="1" applyFill="1" applyBorder="1" applyAlignment="1">
      <alignment horizontal="right"/>
    </xf>
    <xf numFmtId="43" fontId="321" fillId="0" borderId="0" xfId="1" applyNumberFormat="1" applyFont="1" applyFill="1" applyBorder="1" applyAlignment="1">
      <alignment horizontal="center"/>
    </xf>
    <xf numFmtId="167" fontId="308" fillId="0" borderId="0" xfId="3" applyNumberFormat="1" applyFont="1" applyFill="1" applyBorder="1" applyAlignment="1">
      <alignment horizontal="right" wrapText="1"/>
    </xf>
    <xf numFmtId="9" fontId="308" fillId="2" borderId="0" xfId="3" applyNumberFormat="1" applyFont="1" applyFill="1" applyBorder="1" applyAlignment="1">
      <alignment horizontal="right" wrapText="1"/>
    </xf>
    <xf numFmtId="9" fontId="308" fillId="0" borderId="0" xfId="3" applyNumberFormat="1" applyFont="1" applyFill="1" applyBorder="1" applyAlignment="1">
      <alignment horizontal="right" wrapText="1"/>
    </xf>
    <xf numFmtId="166" fontId="308" fillId="0" borderId="0" xfId="1" applyNumberFormat="1" applyFont="1" applyFill="1" applyBorder="1" applyAlignment="1">
      <alignment horizontal="right"/>
    </xf>
    <xf numFmtId="44" fontId="308" fillId="0" borderId="0" xfId="1" applyNumberFormat="1" applyFont="1" applyFill="1" applyBorder="1" applyAlignment="1">
      <alignment horizontal="right"/>
    </xf>
    <xf numFmtId="177" fontId="308" fillId="0" borderId="0" xfId="1" applyNumberFormat="1" applyFont="1" applyFill="1" applyBorder="1" applyAlignment="1">
      <alignment horizontal="right"/>
    </xf>
    <xf numFmtId="9" fontId="308" fillId="2" borderId="0" xfId="3" applyFont="1" applyFill="1" applyBorder="1" applyAlignment="1">
      <alignment horizontal="right" wrapText="1"/>
    </xf>
    <xf numFmtId="173" fontId="308" fillId="0" borderId="0" xfId="1" applyNumberFormat="1" applyFont="1" applyFill="1" applyBorder="1" applyAlignment="1">
      <alignment horizontal="right"/>
    </xf>
    <xf numFmtId="173" fontId="308" fillId="2" borderId="0" xfId="3" applyNumberFormat="1" applyFont="1" applyFill="1" applyBorder="1" applyAlignment="1">
      <alignment horizontal="right" wrapText="1"/>
    </xf>
    <xf numFmtId="173" fontId="308" fillId="0" borderId="0" xfId="3" applyNumberFormat="1" applyFont="1" applyFill="1" applyBorder="1" applyAlignment="1">
      <alignment horizontal="right" wrapText="1"/>
    </xf>
    <xf numFmtId="10" fontId="308" fillId="0" borderId="0" xfId="3" applyNumberFormat="1" applyFont="1" applyFill="1" applyBorder="1" applyAlignment="1">
      <alignment horizontal="right" wrapText="1"/>
    </xf>
    <xf numFmtId="182" fontId="308" fillId="2" borderId="0" xfId="3" applyNumberFormat="1" applyFont="1" applyFill="1" applyBorder="1" applyAlignment="1">
      <alignment horizontal="right" wrapText="1"/>
    </xf>
    <xf numFmtId="43" fontId="312" fillId="0" borderId="0" xfId="1" applyNumberFormat="1" applyFont="1" applyFill="1" applyBorder="1" applyAlignment="1"/>
    <xf numFmtId="1" fontId="308" fillId="0" borderId="0" xfId="3" applyNumberFormat="1" applyFont="1" applyFill="1" applyBorder="1" applyAlignment="1">
      <alignment horizontal="right" wrapText="1"/>
    </xf>
    <xf numFmtId="43" fontId="308" fillId="0" borderId="0" xfId="0" applyNumberFormat="1" applyFont="1" applyFill="1"/>
    <xf numFmtId="165" fontId="308" fillId="0" borderId="0" xfId="1" applyNumberFormat="1" applyFont="1" applyFill="1" applyBorder="1" applyAlignment="1">
      <alignment horizontal="left"/>
    </xf>
    <xf numFmtId="165" fontId="321" fillId="0" borderId="0" xfId="1" applyNumberFormat="1" applyFont="1" applyFill="1" applyBorder="1" applyAlignment="1"/>
    <xf numFmtId="43" fontId="321" fillId="0" borderId="0" xfId="1" applyNumberFormat="1" applyFont="1" applyFill="1" applyBorder="1" applyAlignment="1"/>
    <xf numFmtId="9" fontId="308" fillId="0" borderId="0" xfId="3" applyFont="1" applyFill="1" applyBorder="1" applyAlignment="1">
      <alignment horizontal="right"/>
    </xf>
    <xf numFmtId="0" fontId="308" fillId="0" borderId="1" xfId="3" applyNumberFormat="1" applyFont="1" applyFill="1" applyBorder="1" applyAlignment="1">
      <alignment horizontal="left"/>
    </xf>
    <xf numFmtId="1" fontId="308" fillId="0" borderId="0" xfId="0" applyNumberFormat="1" applyFont="1" applyFill="1"/>
    <xf numFmtId="166" fontId="308" fillId="0" borderId="0" xfId="3" applyNumberFormat="1" applyFont="1" applyFill="1" applyBorder="1" applyAlignment="1">
      <alignment horizontal="right"/>
    </xf>
    <xf numFmtId="2" fontId="308" fillId="0" borderId="0" xfId="0" applyNumberFormat="1" applyFont="1" applyFill="1"/>
    <xf numFmtId="2" fontId="308" fillId="0" borderId="0" xfId="0" applyNumberFormat="1" applyFont="1" applyFill="1" applyBorder="1"/>
    <xf numFmtId="9" fontId="308" fillId="0" borderId="1" xfId="3" applyFont="1" applyFill="1" applyBorder="1" applyAlignment="1">
      <alignment horizontal="right"/>
    </xf>
    <xf numFmtId="10" fontId="308" fillId="0" borderId="0" xfId="3" applyNumberFormat="1" applyFont="1" applyFill="1" applyBorder="1"/>
    <xf numFmtId="165" fontId="308" fillId="0" borderId="0" xfId="0" applyNumberFormat="1" applyFont="1" applyFill="1"/>
    <xf numFmtId="10" fontId="309" fillId="0" borderId="0" xfId="3" applyNumberFormat="1" applyFont="1" applyFill="1" applyBorder="1" applyAlignment="1">
      <alignment horizontal="right"/>
    </xf>
    <xf numFmtId="165" fontId="323" fillId="0" borderId="0" xfId="1" applyNumberFormat="1" applyFont="1" applyFill="1"/>
    <xf numFmtId="0" fontId="309" fillId="0" borderId="0" xfId="0" applyFont="1" applyFill="1" applyBorder="1" applyAlignment="1">
      <alignment horizontal="right"/>
    </xf>
    <xf numFmtId="0" fontId="308" fillId="0" borderId="112" xfId="0" applyFont="1" applyFill="1" applyBorder="1"/>
    <xf numFmtId="165" fontId="308" fillId="0" borderId="112" xfId="1" applyNumberFormat="1" applyFont="1" applyFill="1" applyBorder="1" applyAlignment="1">
      <alignment horizontal="right"/>
    </xf>
    <xf numFmtId="10" fontId="308" fillId="0" borderId="112" xfId="3" applyNumberFormat="1" applyFont="1" applyFill="1" applyBorder="1" applyAlignment="1">
      <alignment horizontal="right"/>
    </xf>
    <xf numFmtId="9" fontId="314" fillId="0" borderId="0" xfId="3" applyNumberFormat="1" applyFont="1" applyFill="1" applyBorder="1" applyAlignment="1">
      <alignment horizontal="center"/>
    </xf>
    <xf numFmtId="9" fontId="309" fillId="0" borderId="0" xfId="0" applyNumberFormat="1" applyFont="1" applyFill="1" applyBorder="1" applyAlignment="1">
      <alignment horizontal="center"/>
    </xf>
    <xf numFmtId="9" fontId="314" fillId="0" borderId="0" xfId="3" applyFont="1" applyFill="1" applyAlignment="1">
      <alignment horizontal="center"/>
    </xf>
    <xf numFmtId="38" fontId="314" fillId="0" borderId="0" xfId="0" applyNumberFormat="1" applyFont="1" applyFill="1"/>
    <xf numFmtId="3" fontId="324" fillId="2" borderId="0" xfId="0" applyNumberFormat="1" applyFont="1" applyFill="1" applyBorder="1" applyAlignment="1" applyProtection="1">
      <alignment horizontal="center"/>
    </xf>
    <xf numFmtId="10" fontId="309" fillId="0" borderId="0" xfId="0" applyNumberFormat="1" applyFont="1" applyFill="1" applyBorder="1"/>
    <xf numFmtId="0" fontId="310" fillId="0" borderId="0" xfId="0" applyFont="1" applyFill="1" applyAlignment="1" applyProtection="1">
      <alignment horizontal="right"/>
    </xf>
    <xf numFmtId="0" fontId="323" fillId="0" borderId="0" xfId="0" applyFont="1" applyFill="1" applyBorder="1" applyAlignment="1"/>
    <xf numFmtId="10" fontId="323" fillId="0" borderId="0" xfId="0" applyNumberFormat="1" applyFont="1" applyFill="1" applyBorder="1"/>
    <xf numFmtId="0" fontId="323" fillId="0" borderId="0" xfId="0" applyFont="1" applyFill="1" applyBorder="1"/>
    <xf numFmtId="0" fontId="314" fillId="0" borderId="0" xfId="0" applyFont="1" applyFill="1" applyAlignment="1"/>
    <xf numFmtId="175" fontId="324" fillId="0" borderId="0" xfId="0" applyNumberFormat="1" applyFont="1" applyFill="1" applyAlignment="1" applyProtection="1">
      <alignment horizontal="right"/>
    </xf>
    <xf numFmtId="0" fontId="325" fillId="4" borderId="3" xfId="0" applyFont="1" applyFill="1" applyBorder="1" applyAlignment="1" applyProtection="1">
      <alignment horizontal="right"/>
    </xf>
    <xf numFmtId="0" fontId="325" fillId="4" borderId="4" xfId="0" applyFont="1" applyFill="1" applyBorder="1" applyAlignment="1" applyProtection="1">
      <alignment horizontal="center"/>
    </xf>
    <xf numFmtId="0" fontId="309" fillId="4" borderId="4" xfId="0" applyFont="1" applyFill="1" applyBorder="1"/>
    <xf numFmtId="0" fontId="309" fillId="4" borderId="4" xfId="0" applyFont="1" applyFill="1" applyBorder="1" applyAlignment="1">
      <alignment horizontal="right"/>
    </xf>
    <xf numFmtId="10" fontId="314" fillId="0" borderId="5" xfId="0" applyNumberFormat="1" applyFont="1" applyFill="1" applyBorder="1"/>
    <xf numFmtId="3" fontId="324" fillId="0" borderId="0" xfId="0" applyNumberFormat="1" applyFont="1" applyFill="1" applyBorder="1" applyAlignment="1" applyProtection="1">
      <alignment horizontal="center"/>
    </xf>
    <xf numFmtId="0" fontId="324" fillId="0" borderId="0" xfId="0" applyFont="1" applyFill="1" applyBorder="1" applyAlignment="1" applyProtection="1">
      <alignment horizontal="left"/>
    </xf>
    <xf numFmtId="10" fontId="314" fillId="0" borderId="6" xfId="3" applyNumberFormat="1" applyFont="1" applyFill="1" applyBorder="1"/>
    <xf numFmtId="3" fontId="309" fillId="0" borderId="0" xfId="0" applyNumberFormat="1" applyFont="1" applyFill="1" applyBorder="1"/>
    <xf numFmtId="0" fontId="309" fillId="0" borderId="6" xfId="0" applyFont="1" applyFill="1" applyBorder="1"/>
    <xf numFmtId="0" fontId="324" fillId="0" borderId="6" xfId="0" applyFont="1" applyFill="1" applyBorder="1" applyAlignment="1" applyProtection="1">
      <alignment horizontal="center"/>
    </xf>
    <xf numFmtId="0" fontId="325" fillId="0" borderId="0" xfId="0" applyFont="1" applyFill="1" applyBorder="1" applyAlignment="1" applyProtection="1">
      <alignment horizontal="left"/>
    </xf>
    <xf numFmtId="0" fontId="324" fillId="0" borderId="0" xfId="0" applyFont="1" applyFill="1" applyBorder="1" applyAlignment="1" applyProtection="1">
      <alignment horizontal="centerContinuous"/>
    </xf>
    <xf numFmtId="173" fontId="324" fillId="0" borderId="0" xfId="0" applyNumberFormat="1" applyFont="1" applyFill="1" applyBorder="1" applyAlignment="1" applyProtection="1">
      <alignment horizontal="centerContinuous"/>
    </xf>
    <xf numFmtId="165" fontId="309" fillId="4" borderId="3" xfId="1" applyNumberFormat="1" applyFont="1" applyFill="1" applyBorder="1" applyAlignment="1">
      <alignment horizontal="right"/>
    </xf>
    <xf numFmtId="165" fontId="309" fillId="4" borderId="4" xfId="1" applyNumberFormat="1" applyFont="1" applyFill="1" applyBorder="1" applyAlignment="1">
      <alignment horizontal="right"/>
    </xf>
    <xf numFmtId="165" fontId="309" fillId="4" borderId="4" xfId="1" applyNumberFormat="1" applyFont="1" applyFill="1" applyBorder="1" applyAlignment="1">
      <alignment horizontal="right" wrapText="1"/>
    </xf>
    <xf numFmtId="0" fontId="312" fillId="4" borderId="4" xfId="0" applyFont="1" applyFill="1" applyBorder="1" applyAlignment="1">
      <alignment horizontal="right"/>
    </xf>
    <xf numFmtId="0" fontId="308" fillId="0" borderId="0" xfId="0" applyFont="1" applyAlignment="1">
      <alignment horizontal="right"/>
    </xf>
    <xf numFmtId="9" fontId="314" fillId="0" borderId="0" xfId="3" applyFont="1" applyFill="1" applyBorder="1" applyAlignment="1">
      <alignment horizontal="right"/>
    </xf>
    <xf numFmtId="165" fontId="308" fillId="0" borderId="6" xfId="1" applyNumberFormat="1" applyFont="1" applyFill="1" applyBorder="1" applyAlignment="1">
      <alignment horizontal="right"/>
    </xf>
    <xf numFmtId="0" fontId="325" fillId="0" borderId="0" xfId="0" applyFont="1" applyFill="1" applyBorder="1" applyAlignment="1" applyProtection="1">
      <alignment horizontal="right"/>
    </xf>
    <xf numFmtId="176" fontId="325" fillId="0" borderId="0" xfId="0" applyNumberFormat="1" applyFont="1" applyFill="1" applyBorder="1" applyAlignment="1" applyProtection="1">
      <alignment horizontal="right"/>
    </xf>
    <xf numFmtId="0" fontId="314" fillId="0" borderId="0" xfId="0" applyFont="1" applyFill="1" applyAlignment="1">
      <alignment horizontal="right"/>
    </xf>
    <xf numFmtId="10" fontId="314" fillId="0" borderId="0" xfId="0" applyNumberFormat="1" applyFont="1" applyFill="1" applyAlignment="1">
      <alignment horizontal="right"/>
    </xf>
    <xf numFmtId="0" fontId="308" fillId="0" borderId="0" xfId="0" applyFont="1" applyFill="1" applyBorder="1" applyAlignment="1">
      <alignment horizontal="right"/>
    </xf>
    <xf numFmtId="0" fontId="312" fillId="0" borderId="0" xfId="0" applyFont="1"/>
    <xf numFmtId="0" fontId="309" fillId="4" borderId="109" xfId="0" applyFont="1" applyFill="1" applyBorder="1"/>
    <xf numFmtId="9" fontId="325" fillId="0" borderId="110" xfId="3" applyFont="1" applyFill="1" applyBorder="1" applyAlignment="1" applyProtection="1">
      <alignment horizontal="right"/>
    </xf>
    <xf numFmtId="165" fontId="312" fillId="4" borderId="109" xfId="1" applyNumberFormat="1" applyFont="1" applyFill="1" applyBorder="1" applyAlignment="1">
      <alignment horizontal="right"/>
    </xf>
    <xf numFmtId="0" fontId="309" fillId="0" borderId="110" xfId="1" applyNumberFormat="1" applyFont="1" applyFill="1" applyBorder="1" applyAlignment="1">
      <alignment horizontal="right"/>
    </xf>
    <xf numFmtId="165" fontId="309" fillId="4" borderId="141" xfId="1" applyNumberFormat="1" applyFont="1" applyFill="1" applyBorder="1" applyAlignment="1">
      <alignment horizontal="right"/>
    </xf>
    <xf numFmtId="0" fontId="312" fillId="4" borderId="141" xfId="0" applyFont="1" applyFill="1" applyBorder="1" applyAlignment="1">
      <alignment horizontal="right"/>
    </xf>
    <xf numFmtId="165" fontId="312" fillId="4" borderId="141" xfId="1" applyNumberFormat="1" applyFont="1" applyFill="1" applyBorder="1" applyAlignment="1">
      <alignment horizontal="right"/>
    </xf>
    <xf numFmtId="0" fontId="314" fillId="0" borderId="141" xfId="1" applyNumberFormat="1" applyFont="1" applyFill="1" applyBorder="1" applyAlignment="1">
      <alignment horizontal="right"/>
    </xf>
    <xf numFmtId="165" fontId="314" fillId="0" borderId="141" xfId="1" applyNumberFormat="1" applyFont="1" applyFill="1" applyBorder="1" applyAlignment="1">
      <alignment horizontal="right"/>
    </xf>
    <xf numFmtId="3" fontId="324" fillId="2" borderId="141" xfId="0" applyNumberFormat="1" applyFont="1" applyFill="1" applyBorder="1" applyAlignment="1" applyProtection="1">
      <alignment horizontal="center"/>
    </xf>
    <xf numFmtId="0" fontId="309" fillId="0" borderId="141" xfId="1" applyNumberFormat="1" applyFont="1" applyFill="1" applyBorder="1" applyAlignment="1">
      <alignment horizontal="right"/>
    </xf>
    <xf numFmtId="165" fontId="312" fillId="0" borderId="141" xfId="0" applyNumberFormat="1" applyFont="1" applyFill="1" applyBorder="1" applyAlignment="1">
      <alignment horizontal="right"/>
    </xf>
    <xf numFmtId="165" fontId="312" fillId="0" borderId="141" xfId="1" applyNumberFormat="1" applyFont="1" applyFill="1" applyBorder="1" applyAlignment="1">
      <alignment horizontal="right"/>
    </xf>
    <xf numFmtId="0" fontId="308" fillId="0" borderId="142" xfId="0" applyFont="1" applyFill="1" applyBorder="1" applyAlignment="1">
      <alignment horizontal="right"/>
    </xf>
    <xf numFmtId="0" fontId="312" fillId="3" borderId="141" xfId="0" applyFont="1" applyFill="1" applyBorder="1" applyAlignment="1">
      <alignment horizontal="right"/>
    </xf>
    <xf numFmtId="173" fontId="314" fillId="0" borderId="141" xfId="1" applyNumberFormat="1" applyFont="1" applyFill="1" applyBorder="1" applyAlignment="1">
      <alignment horizontal="right"/>
    </xf>
    <xf numFmtId="9" fontId="314" fillId="0" borderId="141" xfId="0" applyNumberFormat="1" applyFont="1" applyFill="1" applyBorder="1" applyAlignment="1">
      <alignment horizontal="right"/>
    </xf>
    <xf numFmtId="3" fontId="324" fillId="0" borderId="141" xfId="0" applyNumberFormat="1" applyFont="1" applyFill="1" applyBorder="1" applyAlignment="1" applyProtection="1">
      <alignment horizontal="center"/>
    </xf>
    <xf numFmtId="173" fontId="308" fillId="0" borderId="141" xfId="0" applyNumberFormat="1" applyFont="1" applyBorder="1" applyAlignment="1">
      <alignment horizontal="right"/>
    </xf>
    <xf numFmtId="0" fontId="309" fillId="0" borderId="118" xfId="0" applyFont="1" applyFill="1" applyBorder="1" applyAlignment="1">
      <alignment horizontal="left"/>
    </xf>
    <xf numFmtId="0" fontId="309" fillId="0" borderId="118" xfId="0" applyFont="1" applyFill="1" applyBorder="1" applyAlignment="1">
      <alignment horizontal="right"/>
    </xf>
    <xf numFmtId="0" fontId="314" fillId="0" borderId="118" xfId="0" applyFont="1" applyFill="1" applyBorder="1" applyAlignment="1">
      <alignment horizontal="right"/>
    </xf>
    <xf numFmtId="0" fontId="308" fillId="0" borderId="141" xfId="0" applyFont="1" applyFill="1" applyBorder="1" applyAlignment="1">
      <alignment horizontal="left"/>
    </xf>
    <xf numFmtId="165" fontId="314" fillId="0" borderId="141" xfId="1" applyNumberFormat="1" applyFont="1" applyFill="1" applyBorder="1" applyAlignment="1">
      <alignment horizontal="center"/>
    </xf>
    <xf numFmtId="177" fontId="314" fillId="0" borderId="141" xfId="1" applyNumberFormat="1" applyFont="1" applyFill="1" applyBorder="1" applyAlignment="1">
      <alignment horizontal="center"/>
    </xf>
    <xf numFmtId="9" fontId="314" fillId="0" borderId="141" xfId="3" applyFont="1" applyFill="1" applyBorder="1" applyAlignment="1">
      <alignment horizontal="center"/>
    </xf>
    <xf numFmtId="165" fontId="309" fillId="0" borderId="141" xfId="1" applyNumberFormat="1" applyFont="1" applyFill="1" applyBorder="1" applyAlignment="1">
      <alignment horizontal="center"/>
    </xf>
    <xf numFmtId="9" fontId="309" fillId="0" borderId="141" xfId="3" applyFont="1" applyFill="1" applyBorder="1" applyAlignment="1">
      <alignment horizontal="center"/>
    </xf>
    <xf numFmtId="0" fontId="314" fillId="0" borderId="141" xfId="0" applyFont="1" applyFill="1" applyBorder="1" applyAlignment="1">
      <alignment horizontal="left"/>
    </xf>
    <xf numFmtId="0" fontId="314" fillId="0" borderId="141" xfId="0" applyFont="1" applyFill="1" applyBorder="1" applyAlignment="1">
      <alignment horizontal="center"/>
    </xf>
    <xf numFmtId="0" fontId="309" fillId="0" borderId="118" xfId="0" applyFont="1" applyFill="1" applyBorder="1"/>
    <xf numFmtId="165" fontId="308" fillId="0" borderId="141" xfId="1" applyNumberFormat="1" applyFont="1" applyFill="1" applyBorder="1" applyAlignment="1">
      <alignment horizontal="center"/>
    </xf>
    <xf numFmtId="9" fontId="308" fillId="0" borderId="141" xfId="3" applyNumberFormat="1" applyFont="1" applyFill="1" applyBorder="1" applyAlignment="1">
      <alignment horizontal="center"/>
    </xf>
    <xf numFmtId="0" fontId="308" fillId="0" borderId="142" xfId="0" applyFont="1" applyFill="1" applyBorder="1"/>
    <xf numFmtId="0" fontId="322" fillId="0" borderId="142" xfId="0" applyFont="1" applyFill="1" applyBorder="1" applyAlignment="1">
      <alignment horizontal="left"/>
    </xf>
    <xf numFmtId="0" fontId="308" fillId="0" borderId="142" xfId="0" applyFont="1" applyFill="1" applyBorder="1" applyAlignment="1">
      <alignment horizontal="left"/>
    </xf>
    <xf numFmtId="0" fontId="321" fillId="0" borderId="142" xfId="0" applyFont="1" applyFill="1" applyBorder="1" applyAlignment="1">
      <alignment horizontal="right"/>
    </xf>
    <xf numFmtId="0" fontId="321" fillId="0" borderId="142" xfId="0" applyFont="1" applyFill="1" applyBorder="1" applyAlignment="1">
      <alignment horizontal="left"/>
    </xf>
    <xf numFmtId="0" fontId="308" fillId="0" borderId="142" xfId="0" quotePrefix="1" applyFont="1" applyFill="1" applyBorder="1" applyAlignment="1" applyProtection="1">
      <alignment horizontal="left"/>
      <protection locked="0"/>
    </xf>
    <xf numFmtId="0" fontId="308" fillId="0" borderId="142" xfId="0" quotePrefix="1" applyFont="1" applyFill="1" applyBorder="1" applyAlignment="1">
      <alignment horizontal="left"/>
    </xf>
    <xf numFmtId="0" fontId="312" fillId="0" borderId="142" xfId="0" applyFont="1" applyFill="1" applyBorder="1" applyAlignment="1">
      <alignment horizontal="left"/>
    </xf>
    <xf numFmtId="0" fontId="308" fillId="0" borderId="142" xfId="0" applyFont="1" applyFill="1" applyBorder="1" applyAlignment="1" applyProtection="1">
      <alignment horizontal="left"/>
      <protection locked="0"/>
    </xf>
    <xf numFmtId="0" fontId="315" fillId="0" borderId="142" xfId="0" applyFont="1" applyFill="1" applyBorder="1" applyAlignment="1">
      <alignment horizontal="left"/>
    </xf>
    <xf numFmtId="0" fontId="322" fillId="0" borderId="143" xfId="0" applyFont="1" applyFill="1" applyBorder="1" applyAlignment="1">
      <alignment horizontal="left"/>
    </xf>
    <xf numFmtId="165" fontId="321" fillId="0" borderId="140" xfId="1" applyNumberFormat="1" applyFont="1" applyFill="1" applyBorder="1" applyAlignment="1"/>
    <xf numFmtId="43" fontId="321" fillId="0" borderId="140" xfId="1" applyNumberFormat="1" applyFont="1" applyFill="1" applyBorder="1" applyAlignment="1"/>
    <xf numFmtId="9" fontId="308" fillId="0" borderId="140" xfId="3" applyFont="1" applyFill="1" applyBorder="1" applyAlignment="1">
      <alignment horizontal="right"/>
    </xf>
    <xf numFmtId="0" fontId="308" fillId="0" borderId="144" xfId="3" applyNumberFormat="1" applyFont="1" applyFill="1" applyBorder="1" applyAlignment="1">
      <alignment horizontal="left"/>
    </xf>
    <xf numFmtId="0" fontId="312" fillId="3" borderId="121" xfId="0" applyFont="1" applyFill="1" applyBorder="1" applyAlignment="1">
      <alignment horizontal="right"/>
    </xf>
    <xf numFmtId="0" fontId="312" fillId="0" borderId="143" xfId="0" applyFont="1" applyFill="1" applyBorder="1" applyAlignment="1">
      <alignment horizontal="left"/>
    </xf>
    <xf numFmtId="165" fontId="312" fillId="0" borderId="140" xfId="1" applyNumberFormat="1" applyFont="1" applyFill="1" applyBorder="1" applyAlignment="1">
      <alignment horizontal="right"/>
    </xf>
    <xf numFmtId="0" fontId="321" fillId="0" borderId="144" xfId="1" applyNumberFormat="1" applyFont="1" applyFill="1" applyBorder="1" applyAlignment="1"/>
    <xf numFmtId="0" fontId="309" fillId="4" borderId="109" xfId="0" applyNumberFormat="1" applyFont="1" applyFill="1" applyBorder="1" applyAlignment="1"/>
    <xf numFmtId="0" fontId="314" fillId="2" borderId="145" xfId="1" applyNumberFormat="1" applyFont="1" applyFill="1" applyBorder="1"/>
    <xf numFmtId="0" fontId="309" fillId="0" borderId="110" xfId="0" applyNumberFormat="1" applyFont="1" applyBorder="1" applyAlignment="1">
      <alignment horizontal="right"/>
    </xf>
    <xf numFmtId="0" fontId="314" fillId="0" borderId="110" xfId="1" applyNumberFormat="1" applyFont="1" applyFill="1" applyBorder="1" applyAlignment="1">
      <alignment horizontal="right"/>
    </xf>
    <xf numFmtId="0" fontId="314" fillId="4" borderId="109" xfId="0" applyFont="1" applyFill="1" applyBorder="1"/>
    <xf numFmtId="0" fontId="314" fillId="0" borderId="110" xfId="0" applyNumberFormat="1" applyFont="1" applyBorder="1"/>
    <xf numFmtId="0" fontId="309" fillId="4" borderId="110" xfId="0" applyFont="1" applyFill="1" applyBorder="1" applyAlignment="1">
      <alignment horizontal="right"/>
    </xf>
    <xf numFmtId="0" fontId="15" fillId="0" borderId="141" xfId="0" applyNumberFormat="1" applyFont="1" applyBorder="1" applyAlignment="1">
      <alignment horizontal="center"/>
    </xf>
    <xf numFmtId="9" fontId="15" fillId="0" borderId="141" xfId="0" applyNumberFormat="1" applyFont="1" applyFill="1" applyBorder="1" applyAlignment="1">
      <alignment horizontal="center"/>
    </xf>
    <xf numFmtId="0" fontId="15" fillId="0" borderId="118" xfId="0" applyFont="1" applyFill="1" applyBorder="1" applyAlignment="1">
      <alignment horizontal="center"/>
    </xf>
    <xf numFmtId="165" fontId="13" fillId="0" borderId="118" xfId="1" applyNumberFormat="1" applyFont="1" applyBorder="1"/>
    <xf numFmtId="0" fontId="14" fillId="0" borderId="118" xfId="1" applyNumberFormat="1" applyFont="1" applyBorder="1" applyAlignment="1">
      <alignment horizontal="center"/>
    </xf>
    <xf numFmtId="41" fontId="12" fillId="0" borderId="143" xfId="0" quotePrefix="1" applyNumberFormat="1" applyFont="1" applyFill="1" applyBorder="1" applyAlignment="1">
      <alignment horizontal="center"/>
    </xf>
    <xf numFmtId="9" fontId="15" fillId="0" borderId="143" xfId="0" applyNumberFormat="1" applyFont="1" applyBorder="1" applyAlignment="1">
      <alignment horizontal="center"/>
    </xf>
    <xf numFmtId="9" fontId="15" fillId="0" borderId="118" xfId="0" applyNumberFormat="1" applyFont="1" applyBorder="1" applyAlignment="1">
      <alignment horizontal="center"/>
    </xf>
    <xf numFmtId="165" fontId="13" fillId="0" borderId="143" xfId="1" applyNumberFormat="1" applyFont="1" applyFill="1" applyBorder="1"/>
    <xf numFmtId="177" fontId="13" fillId="0" borderId="118" xfId="1" applyNumberFormat="1" applyFont="1" applyFill="1" applyBorder="1"/>
    <xf numFmtId="165" fontId="13" fillId="0" borderId="143" xfId="1" applyNumberFormat="1" applyFont="1" applyBorder="1"/>
    <xf numFmtId="165" fontId="13" fillId="0" borderId="142" xfId="1" applyNumberFormat="1" applyFont="1" applyBorder="1"/>
    <xf numFmtId="0" fontId="13" fillId="0" borderId="142" xfId="0" applyNumberFormat="1" applyFont="1" applyBorder="1" applyAlignment="1">
      <alignment horizontal="left"/>
    </xf>
    <xf numFmtId="9" fontId="13" fillId="0" borderId="118" xfId="3" applyFont="1" applyBorder="1" applyAlignment="1">
      <alignment horizontal="center"/>
    </xf>
    <xf numFmtId="165" fontId="13" fillId="0" borderId="118" xfId="1" applyNumberFormat="1" applyFont="1" applyFill="1" applyBorder="1"/>
    <xf numFmtId="0" fontId="13" fillId="0" borderId="142" xfId="0" applyFont="1" applyBorder="1"/>
    <xf numFmtId="0" fontId="0" fillId="0" borderId="109" xfId="0" applyFont="1" applyBorder="1"/>
    <xf numFmtId="0" fontId="0" fillId="0" borderId="110" xfId="0" applyFont="1" applyBorder="1" applyAlignment="1">
      <alignment horizontal="right"/>
    </xf>
    <xf numFmtId="0" fontId="312" fillId="4" borderId="109" xfId="0" applyFont="1" applyFill="1" applyBorder="1" applyAlignment="1">
      <alignment horizontal="center"/>
    </xf>
    <xf numFmtId="0" fontId="308" fillId="0" borderId="110" xfId="0" applyFont="1" applyBorder="1" applyAlignment="1">
      <alignment horizontal="center"/>
    </xf>
    <xf numFmtId="0" fontId="308" fillId="0" borderId="2" xfId="0" applyFont="1" applyBorder="1"/>
    <xf numFmtId="173" fontId="314" fillId="0" borderId="141" xfId="0" applyNumberFormat="1" applyFont="1" applyFill="1" applyBorder="1" applyAlignment="1">
      <alignment horizontal="center"/>
    </xf>
    <xf numFmtId="173" fontId="308" fillId="0" borderId="141" xfId="0" applyNumberFormat="1" applyFont="1" applyBorder="1" applyAlignment="1">
      <alignment horizontal="center"/>
    </xf>
    <xf numFmtId="173" fontId="308" fillId="0" borderId="146" xfId="0" applyNumberFormat="1" applyFont="1" applyFill="1" applyBorder="1" applyAlignment="1">
      <alignment horizontal="center"/>
    </xf>
    <xf numFmtId="0" fontId="308" fillId="4" borderId="141" xfId="0" applyFont="1" applyFill="1" applyBorder="1" applyAlignment="1">
      <alignment horizontal="center"/>
    </xf>
    <xf numFmtId="9" fontId="308" fillId="4" borderId="141" xfId="3" applyFont="1" applyFill="1" applyBorder="1" applyAlignment="1">
      <alignment horizontal="center"/>
    </xf>
    <xf numFmtId="173" fontId="308" fillId="0" borderId="2" xfId="0" applyNumberFormat="1" applyFont="1" applyFill="1" applyBorder="1" applyAlignment="1">
      <alignment horizontal="center"/>
    </xf>
    <xf numFmtId="173" fontId="308" fillId="0" borderId="2" xfId="3" applyNumberFormat="1" applyFont="1" applyFill="1" applyBorder="1" applyAlignment="1">
      <alignment horizontal="center"/>
    </xf>
    <xf numFmtId="9" fontId="308" fillId="0" borderId="2" xfId="3" applyFont="1" applyFill="1" applyBorder="1" applyAlignment="1">
      <alignment horizontal="center"/>
    </xf>
    <xf numFmtId="1" fontId="308" fillId="0" borderId="2" xfId="0" applyNumberFormat="1" applyFont="1" applyFill="1" applyBorder="1" applyAlignment="1">
      <alignment horizontal="center"/>
    </xf>
    <xf numFmtId="0" fontId="308" fillId="0" borderId="2" xfId="0" applyFont="1" applyFill="1" applyBorder="1"/>
    <xf numFmtId="165" fontId="308" fillId="0" borderId="2" xfId="1" applyNumberFormat="1" applyFont="1" applyFill="1" applyBorder="1" applyAlignment="1">
      <alignment horizontal="left"/>
    </xf>
    <xf numFmtId="182" fontId="308" fillId="0" borderId="2" xfId="0" applyNumberFormat="1" applyFont="1" applyFill="1" applyBorder="1" applyAlignment="1">
      <alignment horizontal="center"/>
    </xf>
    <xf numFmtId="182" fontId="308" fillId="0" borderId="2" xfId="0" applyNumberFormat="1" applyFont="1" applyFill="1" applyBorder="1" applyAlignment="1">
      <alignment horizontal="right"/>
    </xf>
    <xf numFmtId="3" fontId="12" fillId="0" borderId="142" xfId="7" applyNumberFormat="1" applyFont="1" applyFill="1" applyBorder="1" applyAlignment="1">
      <alignment horizontal="center"/>
    </xf>
    <xf numFmtId="0" fontId="14" fillId="0" borderId="142" xfId="7" applyFont="1" applyBorder="1" applyAlignment="1">
      <alignment horizontal="left"/>
    </xf>
    <xf numFmtId="3" fontId="12" fillId="0" borderId="121" xfId="7" applyNumberFormat="1" applyFont="1" applyFill="1" applyBorder="1" applyAlignment="1">
      <alignment horizontal="center"/>
    </xf>
    <xf numFmtId="0" fontId="14" fillId="0" borderId="121" xfId="7" applyFont="1" applyFill="1" applyBorder="1" applyAlignment="1">
      <alignment horizontal="left"/>
    </xf>
    <xf numFmtId="0" fontId="14" fillId="0" borderId="121" xfId="7" applyFont="1" applyBorder="1"/>
    <xf numFmtId="0" fontId="14" fillId="0" borderId="140" xfId="7" applyFont="1" applyBorder="1" applyAlignment="1">
      <alignment horizontal="center"/>
    </xf>
    <xf numFmtId="0" fontId="14" fillId="0" borderId="140" xfId="7" applyFont="1" applyBorder="1"/>
    <xf numFmtId="0" fontId="14" fillId="4" borderId="121" xfId="7" applyFont="1" applyFill="1" applyBorder="1"/>
    <xf numFmtId="178" fontId="26" fillId="4" borderId="121" xfId="7" applyNumberFormat="1" applyFont="1" applyFill="1" applyBorder="1" applyAlignment="1"/>
    <xf numFmtId="0" fontId="14" fillId="4" borderId="121" xfId="7" applyFont="1" applyFill="1" applyBorder="1" applyAlignment="1">
      <alignment horizontal="center"/>
    </xf>
    <xf numFmtId="0" fontId="14" fillId="4" borderId="142" xfId="7" applyFont="1" applyFill="1" applyBorder="1" applyAlignment="1">
      <alignment horizontal="center"/>
    </xf>
    <xf numFmtId="0" fontId="14" fillId="4" borderId="142" xfId="7" applyFont="1" applyFill="1" applyBorder="1"/>
    <xf numFmtId="0" fontId="14" fillId="4" borderId="143" xfId="7" applyFont="1" applyFill="1" applyBorder="1" applyAlignment="1">
      <alignment horizontal="center"/>
    </xf>
    <xf numFmtId="0" fontId="14" fillId="4" borderId="140" xfId="7" applyFont="1" applyFill="1" applyBorder="1" applyAlignment="1">
      <alignment horizontal="center"/>
    </xf>
    <xf numFmtId="0" fontId="14" fillId="4" borderId="140" xfId="9" applyFont="1" applyFill="1" applyBorder="1" applyAlignment="1">
      <alignment horizontal="center"/>
    </xf>
    <xf numFmtId="9" fontId="14" fillId="4" borderId="140" xfId="9" applyNumberFormat="1" applyFont="1" applyFill="1" applyBorder="1" applyAlignment="1">
      <alignment horizontal="center"/>
    </xf>
    <xf numFmtId="180" fontId="14" fillId="4" borderId="140" xfId="7" applyNumberFormat="1" applyFont="1" applyFill="1" applyBorder="1" applyAlignment="1">
      <alignment horizontal="center" wrapText="1"/>
    </xf>
    <xf numFmtId="0" fontId="14" fillId="4" borderId="140" xfId="7" applyFont="1" applyFill="1" applyBorder="1" applyAlignment="1">
      <alignment horizontal="center" wrapText="1"/>
    </xf>
    <xf numFmtId="0" fontId="14" fillId="4" borderId="140" xfId="9" applyFont="1" applyFill="1" applyBorder="1" applyAlignment="1">
      <alignment horizontal="center" wrapText="1"/>
    </xf>
    <xf numFmtId="0" fontId="14" fillId="4" borderId="144" xfId="9" applyFont="1" applyFill="1" applyBorder="1" applyAlignment="1">
      <alignment horizontal="center" wrapText="1"/>
    </xf>
    <xf numFmtId="165" fontId="309" fillId="4" borderId="4" xfId="1" applyNumberFormat="1" applyFont="1" applyFill="1" applyBorder="1" applyAlignment="1">
      <alignment horizontal="center" vertical="center"/>
    </xf>
    <xf numFmtId="0" fontId="313" fillId="0" borderId="141" xfId="5318" applyFont="1" applyBorder="1" applyAlignment="1">
      <alignment horizontal="center" vertical="center"/>
    </xf>
    <xf numFmtId="0" fontId="311" fillId="0" borderId="141" xfId="5318" applyFont="1" applyBorder="1" applyAlignment="1" applyProtection="1">
      <alignment horizontal="right" vertical="center"/>
    </xf>
    <xf numFmtId="6" fontId="313" fillId="0" borderId="141" xfId="5318" applyNumberFormat="1" applyFont="1" applyBorder="1" applyAlignment="1">
      <alignment horizontal="center" vertical="center"/>
    </xf>
    <xf numFmtId="173" fontId="309" fillId="0" borderId="2" xfId="1" applyNumberFormat="1" applyFont="1" applyFill="1" applyBorder="1"/>
    <xf numFmtId="0" fontId="0" fillId="0" borderId="142" xfId="0" applyFont="1" applyFill="1" applyBorder="1" applyAlignment="1">
      <alignment horizontal="left"/>
    </xf>
    <xf numFmtId="0" fontId="312" fillId="4" borderId="121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312" fillId="4" borderId="0" xfId="0" applyFont="1" applyFill="1" applyBorder="1" applyAlignment="1">
      <alignment horizontal="center"/>
    </xf>
    <xf numFmtId="0" fontId="12" fillId="0" borderId="0" xfId="7" applyFont="1" applyFill="1" applyBorder="1" applyAlignment="1">
      <alignment horizontal="center"/>
    </xf>
    <xf numFmtId="9" fontId="26" fillId="0" borderId="0" xfId="8" applyFont="1" applyFill="1" applyBorder="1" applyAlignment="1">
      <alignment horizontal="center"/>
    </xf>
    <xf numFmtId="0" fontId="309" fillId="0" borderId="0" xfId="0" applyFont="1" applyFill="1" applyBorder="1" applyAlignment="1">
      <alignment horizontal="left"/>
    </xf>
    <xf numFmtId="0" fontId="309" fillId="0" borderId="0" xfId="0" applyFont="1" applyFill="1" applyBorder="1" applyAlignment="1">
      <alignment horizontal="center"/>
    </xf>
    <xf numFmtId="0" fontId="309" fillId="0" borderId="147" xfId="0" applyFont="1" applyFill="1" applyBorder="1"/>
    <xf numFmtId="165" fontId="312" fillId="0" borderId="147" xfId="1" applyNumberFormat="1" applyFont="1" applyFill="1" applyBorder="1" applyAlignment="1">
      <alignment horizontal="right"/>
    </xf>
    <xf numFmtId="0" fontId="308" fillId="0" borderId="148" xfId="0" applyFont="1" applyFill="1" applyBorder="1"/>
    <xf numFmtId="165" fontId="308" fillId="0" borderId="149" xfId="1" applyNumberFormat="1" applyFont="1" applyFill="1" applyBorder="1" applyAlignment="1">
      <alignment horizontal="right"/>
    </xf>
    <xf numFmtId="165" fontId="308" fillId="0" borderId="148" xfId="1" applyNumberFormat="1" applyFont="1" applyFill="1" applyBorder="1" applyAlignment="1">
      <alignment horizontal="right"/>
    </xf>
    <xf numFmtId="10" fontId="308" fillId="0" borderId="148" xfId="3" applyNumberFormat="1" applyFont="1" applyFill="1" applyBorder="1" applyAlignment="1">
      <alignment horizontal="right"/>
    </xf>
    <xf numFmtId="0" fontId="312" fillId="4" borderId="150" xfId="0" applyFont="1" applyFill="1" applyBorder="1" applyAlignment="1">
      <alignment horizontal="left"/>
    </xf>
    <xf numFmtId="0" fontId="312" fillId="3" borderId="150" xfId="0" applyFont="1" applyFill="1" applyBorder="1" applyAlignment="1">
      <alignment horizontal="left"/>
    </xf>
    <xf numFmtId="0" fontId="312" fillId="3" borderId="151" xfId="0" applyFont="1" applyFill="1" applyBorder="1" applyAlignment="1">
      <alignment horizontal="right"/>
    </xf>
    <xf numFmtId="0" fontId="309" fillId="0" borderId="147" xfId="0" applyNumberFormat="1" applyFont="1" applyBorder="1"/>
    <xf numFmtId="10" fontId="314" fillId="0" borderId="147" xfId="1" applyNumberFormat="1" applyFont="1" applyFill="1" applyBorder="1"/>
    <xf numFmtId="166" fontId="309" fillId="4" borderId="147" xfId="0" applyNumberFormat="1" applyFont="1" applyFill="1" applyBorder="1" applyAlignment="1">
      <alignment horizontal="center"/>
    </xf>
    <xf numFmtId="9" fontId="15" fillId="0" borderId="152" xfId="0" applyNumberFormat="1" applyFont="1" applyFill="1" applyBorder="1" applyAlignment="1">
      <alignment horizontal="center"/>
    </xf>
    <xf numFmtId="41" fontId="12" fillId="0" borderId="153" xfId="0" quotePrefix="1" applyNumberFormat="1" applyFont="1" applyFill="1" applyBorder="1" applyAlignment="1">
      <alignment horizontal="center"/>
    </xf>
    <xf numFmtId="165" fontId="14" fillId="0" borderId="153" xfId="1" applyNumberFormat="1" applyFont="1" applyBorder="1"/>
    <xf numFmtId="0" fontId="15" fillId="0" borderId="150" xfId="0" applyNumberFormat="1" applyFont="1" applyBorder="1" applyAlignment="1">
      <alignment horizontal="center"/>
    </xf>
    <xf numFmtId="0" fontId="15" fillId="0" borderId="152" xfId="0" applyNumberFormat="1" applyFont="1" applyBorder="1" applyAlignment="1">
      <alignment horizontal="center"/>
    </xf>
    <xf numFmtId="165" fontId="13" fillId="0" borderId="153" xfId="1" applyNumberFormat="1" applyFont="1" applyBorder="1"/>
    <xf numFmtId="0" fontId="15" fillId="0" borderId="153" xfId="0" applyFont="1" applyBorder="1" applyAlignment="1">
      <alignment horizontal="left"/>
    </xf>
    <xf numFmtId="0" fontId="15" fillId="0" borderId="154" xfId="0" applyFont="1" applyBorder="1" applyAlignment="1">
      <alignment horizontal="center"/>
    </xf>
    <xf numFmtId="0" fontId="15" fillId="0" borderId="155" xfId="0" applyFont="1" applyBorder="1" applyAlignment="1">
      <alignment horizontal="center"/>
    </xf>
    <xf numFmtId="0" fontId="0" fillId="0" borderId="147" xfId="0" applyFont="1" applyBorder="1"/>
    <xf numFmtId="165" fontId="308" fillId="0" borderId="147" xfId="1" applyNumberFormat="1" applyFont="1" applyBorder="1"/>
    <xf numFmtId="0" fontId="308" fillId="0" borderId="147" xfId="0" applyFont="1" applyBorder="1"/>
    <xf numFmtId="173" fontId="308" fillId="0" borderId="156" xfId="0" applyNumberFormat="1" applyFont="1" applyFill="1" applyBorder="1" applyAlignment="1">
      <alignment horizontal="center"/>
    </xf>
    <xf numFmtId="9" fontId="308" fillId="0" borderId="147" xfId="3" applyFont="1" applyFill="1" applyBorder="1" applyAlignment="1">
      <alignment horizontal="center"/>
    </xf>
    <xf numFmtId="9" fontId="29" fillId="0" borderId="152" xfId="7" applyNumberFormat="1" applyFont="1" applyFill="1" applyBorder="1" applyAlignment="1">
      <alignment horizontal="center"/>
    </xf>
    <xf numFmtId="9" fontId="15" fillId="0" borderId="152" xfId="7" applyNumberFormat="1" applyFont="1" applyFill="1" applyBorder="1" applyAlignment="1">
      <alignment horizontal="left"/>
    </xf>
    <xf numFmtId="0" fontId="14" fillId="4" borderId="150" xfId="7" applyFont="1" applyFill="1" applyBorder="1"/>
    <xf numFmtId="0" fontId="14" fillId="4" borderId="151" xfId="7" applyFont="1" applyFill="1" applyBorder="1" applyAlignment="1">
      <alignment horizontal="center"/>
    </xf>
    <xf numFmtId="178" fontId="26" fillId="4" borderId="150" xfId="7" applyNumberFormat="1" applyFont="1" applyFill="1" applyBorder="1" applyAlignment="1"/>
    <xf numFmtId="0" fontId="14" fillId="0" borderId="153" xfId="9" applyFont="1" applyFill="1" applyBorder="1" applyAlignment="1">
      <alignment horizontal="center"/>
    </xf>
    <xf numFmtId="2" fontId="14" fillId="0" borderId="154" xfId="9" applyNumberFormat="1" applyFont="1" applyFill="1" applyBorder="1" applyAlignment="1">
      <alignment horizontal="center"/>
    </xf>
    <xf numFmtId="0" fontId="14" fillId="0" borderId="154" xfId="9" applyFont="1" applyFill="1" applyBorder="1" applyAlignment="1">
      <alignment horizontal="center"/>
    </xf>
    <xf numFmtId="39" fontId="14" fillId="0" borderId="154" xfId="9" applyNumberFormat="1" applyFont="1" applyFill="1" applyBorder="1" applyAlignment="1">
      <alignment horizontal="center"/>
    </xf>
    <xf numFmtId="3" fontId="12" fillId="0" borderId="153" xfId="7" applyNumberFormat="1" applyFont="1" applyFill="1" applyBorder="1" applyAlignment="1">
      <alignment horizontal="center"/>
    </xf>
    <xf numFmtId="3" fontId="12" fillId="0" borderId="154" xfId="7" applyNumberFormat="1" applyFont="1" applyFill="1" applyBorder="1" applyAlignment="1">
      <alignment horizontal="center"/>
    </xf>
    <xf numFmtId="3" fontId="12" fillId="0" borderId="155" xfId="7" applyNumberFormat="1" applyFont="1" applyFill="1" applyBorder="1" applyAlignment="1">
      <alignment horizontal="center"/>
    </xf>
    <xf numFmtId="37" fontId="14" fillId="0" borderId="154" xfId="9" applyNumberFormat="1" applyFont="1" applyFill="1" applyBorder="1" applyAlignment="1">
      <alignment horizontal="center"/>
    </xf>
    <xf numFmtId="0" fontId="309" fillId="0" borderId="147" xfId="1" applyNumberFormat="1" applyFont="1" applyFill="1" applyBorder="1"/>
    <xf numFmtId="0" fontId="4" fillId="0" borderId="157" xfId="0" applyFont="1" applyFill="1" applyBorder="1" applyAlignment="1">
      <alignment horizontal="left"/>
    </xf>
    <xf numFmtId="173" fontId="0" fillId="0" borderId="157" xfId="0" applyNumberFormat="1" applyFont="1" applyBorder="1"/>
    <xf numFmtId="182" fontId="5" fillId="2" borderId="157" xfId="0" applyNumberFormat="1" applyFont="1" applyFill="1" applyBorder="1" applyAlignment="1"/>
    <xf numFmtId="166" fontId="0" fillId="0" borderId="157" xfId="2" applyNumberFormat="1" applyFont="1" applyBorder="1"/>
    <xf numFmtId="0" fontId="0" fillId="0" borderId="157" xfId="0" applyFont="1" applyBorder="1"/>
    <xf numFmtId="182" fontId="5" fillId="0" borderId="157" xfId="0" applyNumberFormat="1" applyFont="1" applyFill="1" applyBorder="1" applyAlignment="1"/>
    <xf numFmtId="182" fontId="0" fillId="0" borderId="157" xfId="0" applyNumberFormat="1" applyFont="1" applyBorder="1"/>
    <xf numFmtId="0" fontId="320" fillId="0" borderId="157" xfId="0" applyFont="1" applyFill="1" applyBorder="1" applyAlignment="1">
      <alignment horizontal="left"/>
    </xf>
    <xf numFmtId="0" fontId="13" fillId="0" borderId="157" xfId="0" applyFont="1" applyFill="1" applyBorder="1" applyAlignment="1">
      <alignment horizontal="left"/>
    </xf>
    <xf numFmtId="0" fontId="13" fillId="0" borderId="157" xfId="0" applyFont="1" applyBorder="1"/>
    <xf numFmtId="182" fontId="13" fillId="0" borderId="157" xfId="0" applyNumberFormat="1" applyFont="1" applyBorder="1"/>
    <xf numFmtId="182" fontId="14" fillId="0" borderId="157" xfId="0" applyNumberFormat="1" applyFont="1" applyFill="1" applyBorder="1" applyAlignment="1"/>
    <xf numFmtId="0" fontId="0" fillId="0" borderId="157" xfId="0" applyBorder="1"/>
    <xf numFmtId="310" fontId="308" fillId="0" borderId="0" xfId="1" applyNumberFormat="1" applyFont="1" applyFill="1" applyBorder="1" applyAlignment="1"/>
    <xf numFmtId="3" fontId="309" fillId="2" borderId="2" xfId="0" applyNumberFormat="1" applyFont="1" applyFill="1" applyBorder="1" applyAlignment="1">
      <alignment horizontal="center"/>
    </xf>
    <xf numFmtId="0" fontId="309" fillId="0" borderId="2" xfId="0" applyFont="1" applyFill="1" applyBorder="1"/>
    <xf numFmtId="3" fontId="309" fillId="0" borderId="2" xfId="0" applyNumberFormat="1" applyFont="1" applyFill="1" applyBorder="1"/>
    <xf numFmtId="165" fontId="312" fillId="0" borderId="2" xfId="1" applyNumberFormat="1" applyFont="1" applyFill="1" applyBorder="1" applyAlignment="1">
      <alignment horizontal="right"/>
    </xf>
    <xf numFmtId="9" fontId="312" fillId="0" borderId="2" xfId="3" applyFont="1" applyFill="1" applyBorder="1" applyAlignment="1">
      <alignment horizontal="right"/>
    </xf>
    <xf numFmtId="9" fontId="15" fillId="2" borderId="153" xfId="0" applyNumberFormat="1" applyFont="1" applyFill="1" applyBorder="1" applyAlignment="1">
      <alignment horizontal="center"/>
    </xf>
    <xf numFmtId="0" fontId="12" fillId="0" borderId="141" xfId="6" applyFont="1" applyFill="1" applyBorder="1" applyAlignment="1">
      <alignment horizontal="center"/>
    </xf>
    <xf numFmtId="0" fontId="15" fillId="0" borderId="141" xfId="0" applyFont="1" applyBorder="1" applyAlignment="1">
      <alignment horizontal="center"/>
    </xf>
    <xf numFmtId="0" fontId="15" fillId="0" borderId="141" xfId="0" applyFont="1" applyFill="1" applyBorder="1" applyAlignment="1">
      <alignment horizontal="center"/>
    </xf>
    <xf numFmtId="0" fontId="14" fillId="0" borderId="141" xfId="0" applyFont="1" applyBorder="1" applyAlignment="1">
      <alignment horizontal="center"/>
    </xf>
    <xf numFmtId="165" fontId="13" fillId="0" borderId="141" xfId="1" applyNumberFormat="1" applyFont="1" applyBorder="1"/>
    <xf numFmtId="165" fontId="13" fillId="0" borderId="141" xfId="1" applyNumberFormat="1" applyFont="1" applyFill="1" applyBorder="1"/>
    <xf numFmtId="0" fontId="14" fillId="0" borderId="141" xfId="1" applyNumberFormat="1" applyFont="1" applyBorder="1" applyAlignment="1">
      <alignment horizontal="center"/>
    </xf>
    <xf numFmtId="165" fontId="14" fillId="0" borderId="141" xfId="1" applyNumberFormat="1" applyFont="1" applyBorder="1"/>
    <xf numFmtId="0" fontId="13" fillId="0" borderId="141" xfId="0" applyNumberFormat="1" applyFont="1" applyFill="1" applyBorder="1" applyAlignment="1">
      <alignment horizontal="center"/>
    </xf>
    <xf numFmtId="165" fontId="13" fillId="0" borderId="141" xfId="1" applyNumberFormat="1" applyFont="1" applyFill="1" applyBorder="1" applyAlignment="1"/>
    <xf numFmtId="0" fontId="13" fillId="0" borderId="141" xfId="0" applyNumberFormat="1" applyFont="1" applyFill="1" applyBorder="1" applyAlignment="1">
      <alignment horizontal="right"/>
    </xf>
    <xf numFmtId="177" fontId="13" fillId="0" borderId="141" xfId="1" applyNumberFormat="1" applyFont="1" applyFill="1" applyBorder="1"/>
    <xf numFmtId="0" fontId="13" fillId="0" borderId="141" xfId="0" applyNumberFormat="1" applyFont="1" applyBorder="1" applyAlignment="1">
      <alignment horizontal="right"/>
    </xf>
    <xf numFmtId="177" fontId="13" fillId="0" borderId="141" xfId="1" applyNumberFormat="1" applyFont="1" applyBorder="1"/>
    <xf numFmtId="43" fontId="13" fillId="0" borderId="141" xfId="1" applyNumberFormat="1" applyFont="1" applyFill="1" applyBorder="1"/>
    <xf numFmtId="9" fontId="15" fillId="2" borderId="141" xfId="0" applyNumberFormat="1" applyFont="1" applyFill="1" applyBorder="1" applyAlignment="1">
      <alignment horizontal="center"/>
    </xf>
    <xf numFmtId="9" fontId="15" fillId="0" borderId="141" xfId="0" applyNumberFormat="1" applyFont="1" applyBorder="1" applyAlignment="1">
      <alignment horizontal="center"/>
    </xf>
    <xf numFmtId="0" fontId="14" fillId="0" borderId="141" xfId="0" applyFont="1" applyFill="1" applyBorder="1" applyAlignment="1">
      <alignment horizontal="center"/>
    </xf>
    <xf numFmtId="9" fontId="13" fillId="0" borderId="141" xfId="3" applyFont="1" applyBorder="1" applyAlignment="1">
      <alignment horizontal="center"/>
    </xf>
    <xf numFmtId="0" fontId="13" fillId="0" borderId="141" xfId="0" applyNumberFormat="1" applyFont="1" applyBorder="1" applyAlignment="1">
      <alignment horizontal="left"/>
    </xf>
    <xf numFmtId="10" fontId="13" fillId="2" borderId="141" xfId="0" applyNumberFormat="1" applyFont="1" applyFill="1" applyBorder="1" applyAlignment="1">
      <alignment horizontal="center"/>
    </xf>
    <xf numFmtId="1" fontId="13" fillId="2" borderId="141" xfId="0" applyNumberFormat="1" applyFont="1" applyFill="1" applyBorder="1" applyAlignment="1">
      <alignment horizontal="center"/>
    </xf>
    <xf numFmtId="0" fontId="13" fillId="0" borderId="141" xfId="0" applyFont="1" applyBorder="1"/>
    <xf numFmtId="0" fontId="13" fillId="0" borderId="141" xfId="0" applyFont="1" applyBorder="1" applyAlignment="1">
      <alignment horizontal="right"/>
    </xf>
    <xf numFmtId="0" fontId="13" fillId="0" borderId="141" xfId="0" applyFont="1" applyBorder="1" applyAlignment="1">
      <alignment horizontal="center"/>
    </xf>
    <xf numFmtId="177" fontId="13" fillId="0" borderId="141" xfId="0" applyNumberFormat="1" applyFont="1" applyBorder="1" applyAlignment="1">
      <alignment horizontal="left" indent="4"/>
    </xf>
    <xf numFmtId="0" fontId="15" fillId="0" borderId="141" xfId="0" applyFont="1" applyBorder="1" applyAlignment="1">
      <alignment horizontal="right"/>
    </xf>
    <xf numFmtId="165" fontId="15" fillId="0" borderId="141" xfId="0" applyNumberFormat="1" applyFont="1" applyBorder="1"/>
    <xf numFmtId="177" fontId="15" fillId="0" borderId="141" xfId="0" applyNumberFormat="1" applyFont="1" applyBorder="1"/>
    <xf numFmtId="0" fontId="15" fillId="0" borderId="141" xfId="0" applyFont="1" applyBorder="1"/>
    <xf numFmtId="174" fontId="13" fillId="0" borderId="141" xfId="3" applyNumberFormat="1" applyFont="1" applyBorder="1" applyAlignment="1">
      <alignment horizontal="right"/>
    </xf>
    <xf numFmtId="165" fontId="13" fillId="0" borderId="141" xfId="1" applyNumberFormat="1" applyFont="1" applyBorder="1" applyAlignment="1">
      <alignment horizontal="center"/>
    </xf>
    <xf numFmtId="0" fontId="15" fillId="0" borderId="141" xfId="0" applyFont="1" applyBorder="1" applyAlignment="1"/>
    <xf numFmtId="165" fontId="13" fillId="0" borderId="141" xfId="1" applyNumberFormat="1" applyFont="1" applyBorder="1" applyAlignment="1"/>
    <xf numFmtId="49" fontId="4" fillId="0" borderId="157" xfId="0" applyNumberFormat="1" applyFont="1" applyBorder="1" applyAlignment="1">
      <alignment horizontal="center" wrapText="1"/>
    </xf>
    <xf numFmtId="0" fontId="4" fillId="0" borderId="157" xfId="0" applyFont="1" applyBorder="1"/>
    <xf numFmtId="165" fontId="4" fillId="0" borderId="157" xfId="1" applyNumberFormat="1" applyFont="1" applyBorder="1" applyAlignment="1">
      <alignment horizontal="center"/>
    </xf>
    <xf numFmtId="0" fontId="4" fillId="0" borderId="157" xfId="0" applyFont="1" applyBorder="1" applyAlignment="1">
      <alignment horizontal="center"/>
    </xf>
    <xf numFmtId="0" fontId="4" fillId="0" borderId="157" xfId="0" applyFont="1" applyBorder="1" applyAlignment="1">
      <alignment horizontal="right"/>
    </xf>
    <xf numFmtId="14" fontId="4" fillId="0" borderId="157" xfId="0" applyNumberFormat="1" applyFont="1" applyBorder="1" applyAlignment="1">
      <alignment horizontal="right"/>
    </xf>
    <xf numFmtId="14" fontId="8" fillId="0" borderId="157" xfId="0" applyNumberFormat="1" applyFont="1" applyBorder="1" applyAlignment="1">
      <alignment horizontal="center"/>
    </xf>
    <xf numFmtId="173" fontId="314" fillId="0" borderId="158" xfId="0" applyNumberFormat="1" applyFont="1" applyFill="1" applyBorder="1" applyAlignment="1">
      <alignment horizontal="center"/>
    </xf>
    <xf numFmtId="173" fontId="308" fillId="0" borderId="158" xfId="0" applyNumberFormat="1" applyFont="1" applyBorder="1" applyAlignment="1">
      <alignment horizontal="center"/>
    </xf>
    <xf numFmtId="0" fontId="308" fillId="2" borderId="141" xfId="0" applyFont="1" applyFill="1" applyBorder="1" applyAlignment="1">
      <alignment horizontal="center"/>
    </xf>
    <xf numFmtId="173" fontId="308" fillId="2" borderId="141" xfId="2" applyNumberFormat="1" applyFont="1" applyFill="1" applyBorder="1" applyAlignment="1">
      <alignment horizontal="center"/>
    </xf>
    <xf numFmtId="0" fontId="308" fillId="2" borderId="141" xfId="3" applyNumberFormat="1" applyFont="1" applyFill="1" applyBorder="1" applyAlignment="1">
      <alignment horizontal="center"/>
    </xf>
    <xf numFmtId="182" fontId="308" fillId="2" borderId="141" xfId="0" applyNumberFormat="1" applyFont="1" applyFill="1" applyBorder="1" applyAlignment="1">
      <alignment horizontal="center"/>
    </xf>
    <xf numFmtId="3" fontId="12" fillId="0" borderId="141" xfId="7" applyNumberFormat="1" applyFont="1" applyFill="1" applyBorder="1" applyAlignment="1">
      <alignment horizontal="center"/>
    </xf>
    <xf numFmtId="0" fontId="12" fillId="0" borderId="141" xfId="7" applyFont="1" applyFill="1" applyBorder="1" applyAlignment="1">
      <alignment horizontal="center"/>
    </xf>
    <xf numFmtId="9" fontId="12" fillId="0" borderId="141" xfId="7" applyNumberFormat="1" applyFont="1" applyFill="1" applyBorder="1" applyAlignment="1">
      <alignment horizontal="center"/>
    </xf>
    <xf numFmtId="14" fontId="12" fillId="0" borderId="141" xfId="7" applyNumberFormat="1" applyFont="1" applyFill="1" applyBorder="1" applyAlignment="1">
      <alignment horizontal="center"/>
    </xf>
    <xf numFmtId="0" fontId="309" fillId="4" borderId="153" xfId="0" applyFont="1" applyFill="1" applyBorder="1" applyAlignment="1">
      <alignment horizontal="center"/>
    </xf>
    <xf numFmtId="0" fontId="309" fillId="4" borderId="154" xfId="0" applyFont="1" applyFill="1" applyBorder="1" applyAlignment="1">
      <alignment horizontal="center"/>
    </xf>
    <xf numFmtId="0" fontId="309" fillId="4" borderId="155" xfId="0" applyFont="1" applyFill="1" applyBorder="1" applyAlignment="1">
      <alignment horizontal="center"/>
    </xf>
    <xf numFmtId="0" fontId="312" fillId="4" borderId="141" xfId="0" applyFont="1" applyFill="1" applyBorder="1" applyAlignment="1">
      <alignment horizontal="center"/>
    </xf>
    <xf numFmtId="0" fontId="312" fillId="4" borderId="121" xfId="0" applyFont="1" applyFill="1" applyBorder="1" applyAlignment="1">
      <alignment horizontal="center" wrapText="1"/>
    </xf>
    <xf numFmtId="0" fontId="312" fillId="4" borderId="151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4" fillId="0" borderId="0" xfId="0" applyNumberFormat="1" applyFont="1" applyAlignment="1">
      <alignment horizontal="left"/>
    </xf>
    <xf numFmtId="0" fontId="312" fillId="0" borderId="0" xfId="0" applyFont="1" applyFill="1" applyBorder="1" applyAlignment="1">
      <alignment horizontal="center"/>
    </xf>
    <xf numFmtId="0" fontId="312" fillId="4" borderId="0" xfId="0" applyFont="1" applyFill="1" applyBorder="1" applyAlignment="1">
      <alignment horizontal="center"/>
    </xf>
    <xf numFmtId="0" fontId="12" fillId="0" borderId="0" xfId="7" applyFont="1" applyFill="1" applyBorder="1" applyAlignment="1">
      <alignment horizontal="center"/>
    </xf>
    <xf numFmtId="9" fontId="26" fillId="0" borderId="0" xfId="8" applyFont="1" applyFill="1" applyBorder="1" applyAlignment="1">
      <alignment horizontal="center"/>
    </xf>
    <xf numFmtId="0" fontId="309" fillId="0" borderId="0" xfId="0" applyFont="1" applyFill="1" applyBorder="1" applyAlignment="1">
      <alignment horizontal="left"/>
    </xf>
    <xf numFmtId="0" fontId="309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166" fontId="308" fillId="0" borderId="141" xfId="1" applyNumberFormat="1" applyFont="1" applyFill="1" applyBorder="1"/>
  </cellXfs>
  <cellStyles count="6544">
    <cellStyle name="$" xfId="256" xr:uid="{00000000-0005-0000-0000-000000000000}"/>
    <cellStyle name="$ / sq Ft" xfId="254" xr:uid="{00000000-0005-0000-0000-000001000000}"/>
    <cellStyle name="$ 0 decimal" xfId="253" xr:uid="{00000000-0005-0000-0000-000002000000}"/>
    <cellStyle name="$ 1 decimal" xfId="252" xr:uid="{00000000-0005-0000-0000-000003000000}"/>
    <cellStyle name="$ 2 decimals" xfId="244" xr:uid="{00000000-0005-0000-0000-000004000000}"/>
    <cellStyle name="$,000.  t10" xfId="245" xr:uid="{00000000-0005-0000-0000-000005000000}"/>
    <cellStyle name="$,000.  t10 2" xfId="246" xr:uid="{00000000-0005-0000-0000-000006000000}"/>
    <cellStyle name="$,000.  t10 2 2" xfId="247" xr:uid="{00000000-0005-0000-0000-000007000000}"/>
    <cellStyle name="$,000.  t10 2 2 2" xfId="3124" xr:uid="{00000000-0005-0000-0000-000008000000}"/>
    <cellStyle name="$,000.  t10 2 2 2 2" xfId="5990" xr:uid="{8CE7ED9D-F93F-423F-9AFC-7223882C0E12}"/>
    <cellStyle name="$,000.  t10 2 2 3" xfId="3306" xr:uid="{00000000-0005-0000-0000-000009000000}"/>
    <cellStyle name="$,000.  t10 2 2 3 2" xfId="6052" xr:uid="{46EAA3F9-471E-4539-B851-831449610475}"/>
    <cellStyle name="$,000.  t10 2 2 4" xfId="5864" xr:uid="{D4C971B3-1B2A-4722-A93D-8EC7A3BF999B}"/>
    <cellStyle name="$,000.  t10 2 3" xfId="3123" xr:uid="{00000000-0005-0000-0000-00000A000000}"/>
    <cellStyle name="$,000.  t10 2 3 2" xfId="5989" xr:uid="{5E728801-D6E3-4B55-8B77-7870947A156B}"/>
    <cellStyle name="$,000.  t10 2 4" xfId="3307" xr:uid="{00000000-0005-0000-0000-00000B000000}"/>
    <cellStyle name="$,000.  t10 2 4 2" xfId="6053" xr:uid="{01C443CE-ABEC-49A6-B3C9-86ECFC580337}"/>
    <cellStyle name="$,000.  t10 2 5" xfId="5863" xr:uid="{BDEE7776-C5B0-4435-A9C4-05F17385631A}"/>
    <cellStyle name="$,000.  t10 3" xfId="248" xr:uid="{00000000-0005-0000-0000-00000C000000}"/>
    <cellStyle name="$,000.  t10 3 2" xfId="249" xr:uid="{00000000-0005-0000-0000-00000D000000}"/>
    <cellStyle name="$,000.  t10 3 2 2" xfId="3126" xr:uid="{00000000-0005-0000-0000-00000E000000}"/>
    <cellStyle name="$,000.  t10 3 2 2 2" xfId="5992" xr:uid="{C232F7BB-9A98-41F0-9003-59A8B6620E2C}"/>
    <cellStyle name="$,000.  t10 3 2 3" xfId="3304" xr:uid="{00000000-0005-0000-0000-00000F000000}"/>
    <cellStyle name="$,000.  t10 3 2 3 2" xfId="6050" xr:uid="{F666D2CA-E0C5-4FCE-964E-82040CE00E4A}"/>
    <cellStyle name="$,000.  t10 3 2 4" xfId="5866" xr:uid="{4406E305-01B7-42F2-80F6-88C62119F09F}"/>
    <cellStyle name="$,000.  t10 3 3" xfId="3125" xr:uid="{00000000-0005-0000-0000-000010000000}"/>
    <cellStyle name="$,000.  t10 3 3 2" xfId="5991" xr:uid="{9C70DAF5-8E26-43D2-AC6E-868426CA0E44}"/>
    <cellStyle name="$,000.  t10 3 4" xfId="3305" xr:uid="{00000000-0005-0000-0000-000011000000}"/>
    <cellStyle name="$,000.  t10 3 4 2" xfId="6051" xr:uid="{0D6D6ED7-16C8-4032-AB08-5A6B82CF6A69}"/>
    <cellStyle name="$,000.  t10 3 5" xfId="5865" xr:uid="{91E58828-1EC5-44AD-858E-EB31014DC82D}"/>
    <cellStyle name="$,000.  t10 4" xfId="3122" xr:uid="{00000000-0005-0000-0000-000012000000}"/>
    <cellStyle name="$,000.  t10 4 2" xfId="5988" xr:uid="{A4CFF223-9EB0-455E-AFAB-6008B451186F}"/>
    <cellStyle name="$,000.  t10 5" xfId="3308" xr:uid="{00000000-0005-0000-0000-000013000000}"/>
    <cellStyle name="$,000.  t10 5 2" xfId="6054" xr:uid="{669B4C65-2FCE-4317-BF11-98ACABFE9B0A}"/>
    <cellStyle name="$,000.  t10 6" xfId="5862" xr:uid="{FF957A7E-C775-4CA9-9AA9-C93D81B8CA44}"/>
    <cellStyle name="$,000.  t12" xfId="250" xr:uid="{00000000-0005-0000-0000-000014000000}"/>
    <cellStyle name="$,000.  t12 2" xfId="251" xr:uid="{00000000-0005-0000-0000-000015000000}"/>
    <cellStyle name="$,000.  t12 2 2" xfId="258" xr:uid="{00000000-0005-0000-0000-000016000000}"/>
    <cellStyle name="$,000.  t12 2 2 2" xfId="3130" xr:uid="{00000000-0005-0000-0000-000017000000}"/>
    <cellStyle name="$,000.  t12 2 2 2 2" xfId="5995" xr:uid="{A6F1137D-A287-4F14-A4B0-BE8DEBF3E4D9}"/>
    <cellStyle name="$,000.  t12 2 2 3" xfId="3301" xr:uid="{00000000-0005-0000-0000-000018000000}"/>
    <cellStyle name="$,000.  t12 2 2 3 2" xfId="6047" xr:uid="{5D6DF046-9A36-433F-A79B-6002C15AB34F}"/>
    <cellStyle name="$,000.  t12 2 2 4" xfId="5869" xr:uid="{9B8BED6E-949B-45C8-956A-DB6879CF0D7D}"/>
    <cellStyle name="$,000.  t12 2 3" xfId="3128" xr:uid="{00000000-0005-0000-0000-000019000000}"/>
    <cellStyle name="$,000.  t12 2 3 2" xfId="5994" xr:uid="{B040FCD5-19CB-446D-BE16-98A3BA5645FA}"/>
    <cellStyle name="$,000.  t12 2 4" xfId="3302" xr:uid="{00000000-0005-0000-0000-00001A000000}"/>
    <cellStyle name="$,000.  t12 2 4 2" xfId="6048" xr:uid="{D986940A-22C3-4427-BF70-A5C4E5C1E0AF}"/>
    <cellStyle name="$,000.  t12 2 5" xfId="5868" xr:uid="{8AF8A863-1210-453B-9229-40E8D3D04F15}"/>
    <cellStyle name="$,000.  t12 3" xfId="259" xr:uid="{00000000-0005-0000-0000-00001B000000}"/>
    <cellStyle name="$,000.  t12 3 2" xfId="260" xr:uid="{00000000-0005-0000-0000-00001C000000}"/>
    <cellStyle name="$,000.  t12 3 2 2" xfId="3132" xr:uid="{00000000-0005-0000-0000-00001D000000}"/>
    <cellStyle name="$,000.  t12 3 2 2 2" xfId="5997" xr:uid="{11D86CC3-3746-46E4-8F1F-DD790F59889B}"/>
    <cellStyle name="$,000.  t12 3 2 3" xfId="3299" xr:uid="{00000000-0005-0000-0000-00001E000000}"/>
    <cellStyle name="$,000.  t12 3 2 3 2" xfId="6045" xr:uid="{5860B1F8-5BA2-4045-A9C7-6AA514A78D58}"/>
    <cellStyle name="$,000.  t12 3 2 4" xfId="5871" xr:uid="{63BA2258-661A-45E1-8FEC-10B03F4D9464}"/>
    <cellStyle name="$,000.  t12 3 3" xfId="3131" xr:uid="{00000000-0005-0000-0000-00001F000000}"/>
    <cellStyle name="$,000.  t12 3 3 2" xfId="5996" xr:uid="{600A62D7-567A-43BD-9888-A30A55610339}"/>
    <cellStyle name="$,000.  t12 3 4" xfId="3300" xr:uid="{00000000-0005-0000-0000-000020000000}"/>
    <cellStyle name="$,000.  t12 3 4 2" xfId="6046" xr:uid="{35793686-D6F5-47CE-BAEE-0AEEC6A87404}"/>
    <cellStyle name="$,000.  t12 3 5" xfId="5870" xr:uid="{D2C4740D-BA7F-4277-8B26-47EC9099C210}"/>
    <cellStyle name="$,000.  t12 4" xfId="3127" xr:uid="{00000000-0005-0000-0000-000021000000}"/>
    <cellStyle name="$,000.  t12 4 2" xfId="5993" xr:uid="{E9CE22D4-1069-48B3-81D1-7788CB464836}"/>
    <cellStyle name="$,000.  t12 5" xfId="3303" xr:uid="{00000000-0005-0000-0000-000022000000}"/>
    <cellStyle name="$,000.  t12 5 2" xfId="6049" xr:uid="{B378A32C-66DC-4E25-AAC4-7395D554834E}"/>
    <cellStyle name="$,000.  t12 6" xfId="5867" xr:uid="{EB64E6D6-FD10-4702-B6F4-F90ED3C8C1A0}"/>
    <cellStyle name="$,000.00  t12" xfId="261" xr:uid="{00000000-0005-0000-0000-000023000000}"/>
    <cellStyle name="$,000.00  t12 2" xfId="262" xr:uid="{00000000-0005-0000-0000-000024000000}"/>
    <cellStyle name="$,000.00  t12 2 2" xfId="263" xr:uid="{00000000-0005-0000-0000-000025000000}"/>
    <cellStyle name="$,000.00  t12 2 2 2" xfId="3135" xr:uid="{00000000-0005-0000-0000-000026000000}"/>
    <cellStyle name="$,000.00  t12 2 2 2 2" xfId="6000" xr:uid="{809EE8A7-ECB2-4EF2-962D-595580A46BB4}"/>
    <cellStyle name="$,000.00  t12 2 2 3" xfId="3329" xr:uid="{00000000-0005-0000-0000-000027000000}"/>
    <cellStyle name="$,000.00  t12 2 2 3 2" xfId="6064" xr:uid="{24D93159-2B3D-43AD-8A41-6023B9E42F02}"/>
    <cellStyle name="$,000.00  t12 2 2 4" xfId="5874" xr:uid="{E8E7C4A2-0822-4713-AD5F-F4D2C35238DC}"/>
    <cellStyle name="$,000.00  t12 2 3" xfId="3134" xr:uid="{00000000-0005-0000-0000-000028000000}"/>
    <cellStyle name="$,000.00  t12 2 3 2" xfId="5999" xr:uid="{C59D95A5-AEFB-4119-B0EB-6AEC2DA28FA7}"/>
    <cellStyle name="$,000.00  t12 2 4" xfId="3297" xr:uid="{00000000-0005-0000-0000-000029000000}"/>
    <cellStyle name="$,000.00  t12 2 4 2" xfId="6043" xr:uid="{07F0EE30-9756-41A8-B464-24941F9A14C8}"/>
    <cellStyle name="$,000.00  t12 2 5" xfId="5873" xr:uid="{1756FFE0-5A51-4CE6-BCA2-53CD12749B51}"/>
    <cellStyle name="$,000.00  t12 3" xfId="264" xr:uid="{00000000-0005-0000-0000-00002A000000}"/>
    <cellStyle name="$,000.00  t12 3 2" xfId="265" xr:uid="{00000000-0005-0000-0000-00002B000000}"/>
    <cellStyle name="$,000.00  t12 3 2 2" xfId="3137" xr:uid="{00000000-0005-0000-0000-00002C000000}"/>
    <cellStyle name="$,000.00  t12 3 2 2 2" xfId="6002" xr:uid="{83411AD2-CD8C-44D1-93EB-BA122D5F9003}"/>
    <cellStyle name="$,000.00  t12 3 2 3" xfId="3295" xr:uid="{00000000-0005-0000-0000-00002D000000}"/>
    <cellStyle name="$,000.00  t12 3 2 3 2" xfId="6041" xr:uid="{2F2B5931-2DE5-4805-9141-C48A4B64CFE5}"/>
    <cellStyle name="$,000.00  t12 3 2 4" xfId="5876" xr:uid="{28225511-5C9A-4BA5-91CC-7B5248A3489F}"/>
    <cellStyle name="$,000.00  t12 3 3" xfId="3136" xr:uid="{00000000-0005-0000-0000-00002E000000}"/>
    <cellStyle name="$,000.00  t12 3 3 2" xfId="6001" xr:uid="{6A78D75D-F944-4522-BE24-718C6FD716CB}"/>
    <cellStyle name="$,000.00  t12 3 4" xfId="3112" xr:uid="{00000000-0005-0000-0000-00002F000000}"/>
    <cellStyle name="$,000.00  t12 3 4 2" xfId="5986" xr:uid="{770E4417-B7B8-45D7-BBE6-1B01FD30F9A3}"/>
    <cellStyle name="$,000.00  t12 3 5" xfId="5875" xr:uid="{220048C4-D4BB-469B-B00B-9C3C2E5BAD24}"/>
    <cellStyle name="$,000.00  t12 4" xfId="3133" xr:uid="{00000000-0005-0000-0000-000030000000}"/>
    <cellStyle name="$,000.00  t12 4 2" xfId="5998" xr:uid="{86B3AC4E-B154-4EA5-96C5-369120086E21}"/>
    <cellStyle name="$,000.00  t12 5" xfId="3298" xr:uid="{00000000-0005-0000-0000-000031000000}"/>
    <cellStyle name="$,000.00  t12 5 2" xfId="6044" xr:uid="{F4C918D7-F334-4647-8967-0EF50F592253}"/>
    <cellStyle name="$,000.00  t12 6" xfId="5872" xr:uid="{7A518239-9E5C-4988-BF96-ACD335DC4D4B}"/>
    <cellStyle name="$0.0" xfId="266" xr:uid="{00000000-0005-0000-0000-000032000000}"/>
    <cellStyle name="$0.0 2" xfId="267" xr:uid="{00000000-0005-0000-0000-000033000000}"/>
    <cellStyle name="$0.0 2 2" xfId="268" xr:uid="{00000000-0005-0000-0000-000034000000}"/>
    <cellStyle name="$0.0 2 2 2" xfId="269" xr:uid="{00000000-0005-0000-0000-000035000000}"/>
    <cellStyle name="$0.0 2 3" xfId="270" xr:uid="{00000000-0005-0000-0000-000036000000}"/>
    <cellStyle name="$0.0 2_120403-Utica-3rd Flr Gym" xfId="271" xr:uid="{00000000-0005-0000-0000-000037000000}"/>
    <cellStyle name="$0.0 3" xfId="272" xr:uid="{00000000-0005-0000-0000-000038000000}"/>
    <cellStyle name="$0.0_120403-Utica-3rd Flr Gym" xfId="273" xr:uid="{00000000-0005-0000-0000-000039000000}"/>
    <cellStyle name="$0.00" xfId="274" xr:uid="{00000000-0005-0000-0000-00003A000000}"/>
    <cellStyle name="$0.000" xfId="275" xr:uid="{00000000-0005-0000-0000-00003B000000}"/>
    <cellStyle name="$00.00" xfId="34" xr:uid="{00000000-0005-0000-0000-00003C000000}"/>
    <cellStyle name="% Presentation" xfId="5345" xr:uid="{00000000-0005-0000-0000-00003D000000}"/>
    <cellStyle name="**" xfId="276" xr:uid="{00000000-0005-0000-0000-00003E000000}"/>
    <cellStyle name="******************************************" xfId="5364" xr:uid="{00000000-0005-0000-0000-00003F000000}"/>
    <cellStyle name="_ heading$" xfId="277" xr:uid="{00000000-0005-0000-0000-000040000000}"/>
    <cellStyle name="_ heading$ 2" xfId="278" xr:uid="{00000000-0005-0000-0000-000041000000}"/>
    <cellStyle name="_ heading$ 2 2" xfId="279" xr:uid="{00000000-0005-0000-0000-000042000000}"/>
    <cellStyle name="_ heading$ 2 2 2" xfId="280" xr:uid="{00000000-0005-0000-0000-000043000000}"/>
    <cellStyle name="_ heading$ 2 3" xfId="281" xr:uid="{00000000-0005-0000-0000-000044000000}"/>
    <cellStyle name="_ heading$ 3" xfId="282" xr:uid="{00000000-0005-0000-0000-000045000000}"/>
    <cellStyle name="_ heading%" xfId="283" xr:uid="{00000000-0005-0000-0000-000046000000}"/>
    <cellStyle name="_ heading% 2" xfId="284" xr:uid="{00000000-0005-0000-0000-000047000000}"/>
    <cellStyle name="_ heading% 2 2" xfId="285" xr:uid="{00000000-0005-0000-0000-000048000000}"/>
    <cellStyle name="_ heading% 2 2 2" xfId="286" xr:uid="{00000000-0005-0000-0000-000049000000}"/>
    <cellStyle name="_ heading% 2 3" xfId="287" xr:uid="{00000000-0005-0000-0000-00004A000000}"/>
    <cellStyle name="_ heading% 3" xfId="288" xr:uid="{00000000-0005-0000-0000-00004B000000}"/>
    <cellStyle name="_ heading£" xfId="289" xr:uid="{00000000-0005-0000-0000-00004C000000}"/>
    <cellStyle name="_ heading£ 2" xfId="290" xr:uid="{00000000-0005-0000-0000-00004D000000}"/>
    <cellStyle name="_ heading£ 2 2" xfId="291" xr:uid="{00000000-0005-0000-0000-00004E000000}"/>
    <cellStyle name="_ heading£ 2 2 2" xfId="292" xr:uid="{00000000-0005-0000-0000-00004F000000}"/>
    <cellStyle name="_ heading£ 2 3" xfId="293" xr:uid="{00000000-0005-0000-0000-000050000000}"/>
    <cellStyle name="_ heading£ 3" xfId="294" xr:uid="{00000000-0005-0000-0000-000051000000}"/>
    <cellStyle name="_ heading¥" xfId="295" xr:uid="{00000000-0005-0000-0000-000052000000}"/>
    <cellStyle name="_ heading¥ 2" xfId="296" xr:uid="{00000000-0005-0000-0000-000053000000}"/>
    <cellStyle name="_ heading¥ 2 2" xfId="297" xr:uid="{00000000-0005-0000-0000-000054000000}"/>
    <cellStyle name="_ heading¥ 2 2 2" xfId="298" xr:uid="{00000000-0005-0000-0000-000055000000}"/>
    <cellStyle name="_ heading¥ 2 3" xfId="299" xr:uid="{00000000-0005-0000-0000-000056000000}"/>
    <cellStyle name="_ heading¥ 3" xfId="300" xr:uid="{00000000-0005-0000-0000-000057000000}"/>
    <cellStyle name="_ heading€" xfId="301" xr:uid="{00000000-0005-0000-0000-000058000000}"/>
    <cellStyle name="_ heading€ 2" xfId="302" xr:uid="{00000000-0005-0000-0000-000059000000}"/>
    <cellStyle name="_ heading€ 2 2" xfId="303" xr:uid="{00000000-0005-0000-0000-00005A000000}"/>
    <cellStyle name="_ heading€ 2 2 2" xfId="304" xr:uid="{00000000-0005-0000-0000-00005B000000}"/>
    <cellStyle name="_ heading€ 2 3" xfId="305" xr:uid="{00000000-0005-0000-0000-00005C000000}"/>
    <cellStyle name="_ heading€ 3" xfId="306" xr:uid="{00000000-0005-0000-0000-00005D000000}"/>
    <cellStyle name="_ headingx" xfId="307" xr:uid="{00000000-0005-0000-0000-00005E000000}"/>
    <cellStyle name="_ headingx 2" xfId="308" xr:uid="{00000000-0005-0000-0000-00005F000000}"/>
    <cellStyle name="_ headingx 2 2" xfId="309" xr:uid="{00000000-0005-0000-0000-000060000000}"/>
    <cellStyle name="_ headingx 2 2 2" xfId="310" xr:uid="{00000000-0005-0000-0000-000061000000}"/>
    <cellStyle name="_ headingx 2 3" xfId="311" xr:uid="{00000000-0005-0000-0000-000062000000}"/>
    <cellStyle name="_ headingx 3" xfId="312" xr:uid="{00000000-0005-0000-0000-000063000000}"/>
    <cellStyle name="_%(SignOnly)" xfId="313" xr:uid="{00000000-0005-0000-0000-000064000000}"/>
    <cellStyle name="_%(SignOnly) 2" xfId="314" xr:uid="{00000000-0005-0000-0000-000065000000}"/>
    <cellStyle name="_%(SignOnly) 2 2" xfId="315" xr:uid="{00000000-0005-0000-0000-000066000000}"/>
    <cellStyle name="_%(SignOnly) 2 2 2" xfId="316" xr:uid="{00000000-0005-0000-0000-000067000000}"/>
    <cellStyle name="_%(SignOnly) 2 3" xfId="317" xr:uid="{00000000-0005-0000-0000-000068000000}"/>
    <cellStyle name="_%(SignOnly) 3" xfId="5348" xr:uid="{00000000-0005-0000-0000-000069000000}"/>
    <cellStyle name="_%(SignSpaceOnly)" xfId="318" xr:uid="{00000000-0005-0000-0000-00006A000000}"/>
    <cellStyle name="_%(SignSpaceOnly) 2" xfId="319" xr:uid="{00000000-0005-0000-0000-00006B000000}"/>
    <cellStyle name="_%(SignSpaceOnly) 2 2" xfId="320" xr:uid="{00000000-0005-0000-0000-00006C000000}"/>
    <cellStyle name="_%(SignSpaceOnly) 2 2 2" xfId="321" xr:uid="{00000000-0005-0000-0000-00006D000000}"/>
    <cellStyle name="_%(SignSpaceOnly) 2 3" xfId="322" xr:uid="{00000000-0005-0000-0000-00006E000000}"/>
    <cellStyle name="_%(SignSpaceOnly) 3" xfId="5335" xr:uid="{00000000-0005-0000-0000-00006F000000}"/>
    <cellStyle name="_%(SignSpaceOnly)_ControlTables" xfId="323" xr:uid="{00000000-0005-0000-0000-000070000000}"/>
    <cellStyle name="_%(SignSpaceOnly)_ControlTablesI" xfId="324" xr:uid="{00000000-0005-0000-0000-000071000000}"/>
    <cellStyle name="_%(SignSpaceOnly)_Database - Comparables" xfId="325" xr:uid="{00000000-0005-0000-0000-000072000000}"/>
    <cellStyle name="_%(SignSpaceOnly)_DB_Eye" xfId="326" xr:uid="{00000000-0005-0000-0000-000073000000}"/>
    <cellStyle name="_%(SignSpaceOnly)_Exec Summary" xfId="327" xr:uid="{00000000-0005-0000-0000-000074000000}"/>
    <cellStyle name="_%(SignSpaceOnly)_Exec Summary_1" xfId="328" xr:uid="{00000000-0005-0000-0000-000075000000}"/>
    <cellStyle name="_%(SignSpaceOnly)_Sheet1" xfId="329" xr:uid="{00000000-0005-0000-0000-000076000000}"/>
    <cellStyle name="_0.0[1space]" xfId="330" xr:uid="{00000000-0005-0000-0000-000077000000}"/>
    <cellStyle name="_0.0[1space] 2" xfId="331" xr:uid="{00000000-0005-0000-0000-000078000000}"/>
    <cellStyle name="_0.0[1space] 2 2" xfId="332" xr:uid="{00000000-0005-0000-0000-000079000000}"/>
    <cellStyle name="_0.0[1space] 2 2 2" xfId="333" xr:uid="{00000000-0005-0000-0000-00007A000000}"/>
    <cellStyle name="_0.0[1space] 2 3" xfId="334" xr:uid="{00000000-0005-0000-0000-00007B000000}"/>
    <cellStyle name="_0.0[1space] 3" xfId="335" xr:uid="{00000000-0005-0000-0000-00007C000000}"/>
    <cellStyle name="_0.0[2space]" xfId="336" xr:uid="{00000000-0005-0000-0000-00007D000000}"/>
    <cellStyle name="_0.0[2space] 2" xfId="337" xr:uid="{00000000-0005-0000-0000-00007E000000}"/>
    <cellStyle name="_0.0[2space] 2 2" xfId="338" xr:uid="{00000000-0005-0000-0000-00007F000000}"/>
    <cellStyle name="_0.0[2space] 2 2 2" xfId="339" xr:uid="{00000000-0005-0000-0000-000080000000}"/>
    <cellStyle name="_0.0[2space] 2 3" xfId="340" xr:uid="{00000000-0005-0000-0000-000081000000}"/>
    <cellStyle name="_0.0[2space] 3" xfId="341" xr:uid="{00000000-0005-0000-0000-000082000000}"/>
    <cellStyle name="_0.0[3space]" xfId="342" xr:uid="{00000000-0005-0000-0000-000083000000}"/>
    <cellStyle name="_0.0[3space] 2" xfId="343" xr:uid="{00000000-0005-0000-0000-000084000000}"/>
    <cellStyle name="_0.0[3space] 2 2" xfId="344" xr:uid="{00000000-0005-0000-0000-000085000000}"/>
    <cellStyle name="_0.0[3space] 2 2 2" xfId="345" xr:uid="{00000000-0005-0000-0000-000086000000}"/>
    <cellStyle name="_0.0[3space] 2 3" xfId="346" xr:uid="{00000000-0005-0000-0000-000087000000}"/>
    <cellStyle name="_0.0[3space] 3" xfId="347" xr:uid="{00000000-0005-0000-0000-000088000000}"/>
    <cellStyle name="_0.0[4space]" xfId="348" xr:uid="{00000000-0005-0000-0000-000089000000}"/>
    <cellStyle name="_0.0[4space] 2" xfId="349" xr:uid="{00000000-0005-0000-0000-00008A000000}"/>
    <cellStyle name="_0.0[4space] 2 2" xfId="350" xr:uid="{00000000-0005-0000-0000-00008B000000}"/>
    <cellStyle name="_0.0[4space] 2 2 2" xfId="351" xr:uid="{00000000-0005-0000-0000-00008C000000}"/>
    <cellStyle name="_0.0[4space] 2 3" xfId="352" xr:uid="{00000000-0005-0000-0000-00008D000000}"/>
    <cellStyle name="_0.0[4space] 3" xfId="353" xr:uid="{00000000-0005-0000-0000-00008E000000}"/>
    <cellStyle name="_0.00[1space]" xfId="354" xr:uid="{00000000-0005-0000-0000-00008F000000}"/>
    <cellStyle name="_0.00[1space] 2" xfId="355" xr:uid="{00000000-0005-0000-0000-000090000000}"/>
    <cellStyle name="_0.00[1space] 2 2" xfId="356" xr:uid="{00000000-0005-0000-0000-000091000000}"/>
    <cellStyle name="_0.00[1space] 2 2 2" xfId="357" xr:uid="{00000000-0005-0000-0000-000092000000}"/>
    <cellStyle name="_0.00[1space] 2 3" xfId="358" xr:uid="{00000000-0005-0000-0000-000093000000}"/>
    <cellStyle name="_0.00[1space] 3" xfId="359" xr:uid="{00000000-0005-0000-0000-000094000000}"/>
    <cellStyle name="_0.00[2space]" xfId="360" xr:uid="{00000000-0005-0000-0000-000095000000}"/>
    <cellStyle name="_0.00[2space] 2" xfId="361" xr:uid="{00000000-0005-0000-0000-000096000000}"/>
    <cellStyle name="_0.00[2space] 2 2" xfId="362" xr:uid="{00000000-0005-0000-0000-000097000000}"/>
    <cellStyle name="_0.00[2space] 2 2 2" xfId="363" xr:uid="{00000000-0005-0000-0000-000098000000}"/>
    <cellStyle name="_0.00[2space] 2 3" xfId="364" xr:uid="{00000000-0005-0000-0000-000099000000}"/>
    <cellStyle name="_0.00[2space] 3" xfId="365" xr:uid="{00000000-0005-0000-0000-00009A000000}"/>
    <cellStyle name="_0.00[3space]" xfId="366" xr:uid="{00000000-0005-0000-0000-00009B000000}"/>
    <cellStyle name="_0.00[3space] 2" xfId="367" xr:uid="{00000000-0005-0000-0000-00009C000000}"/>
    <cellStyle name="_0.00[3space] 2 2" xfId="368" xr:uid="{00000000-0005-0000-0000-00009D000000}"/>
    <cellStyle name="_0.00[3space] 2 2 2" xfId="369" xr:uid="{00000000-0005-0000-0000-00009E000000}"/>
    <cellStyle name="_0.00[3space] 2 3" xfId="370" xr:uid="{00000000-0005-0000-0000-00009F000000}"/>
    <cellStyle name="_0.00[3space] 3" xfId="371" xr:uid="{00000000-0005-0000-0000-0000A0000000}"/>
    <cellStyle name="_0.00[4space]" xfId="372" xr:uid="{00000000-0005-0000-0000-0000A1000000}"/>
    <cellStyle name="_0.00[4space] 2" xfId="373" xr:uid="{00000000-0005-0000-0000-0000A2000000}"/>
    <cellStyle name="_0.00[4space] 2 2" xfId="374" xr:uid="{00000000-0005-0000-0000-0000A3000000}"/>
    <cellStyle name="_0.00[4space] 2 2 2" xfId="375" xr:uid="{00000000-0005-0000-0000-0000A4000000}"/>
    <cellStyle name="_0.00[4space] 2 3" xfId="376" xr:uid="{00000000-0005-0000-0000-0000A5000000}"/>
    <cellStyle name="_0.00[4space] 3" xfId="377" xr:uid="{00000000-0005-0000-0000-0000A6000000}"/>
    <cellStyle name="_0[1space]" xfId="378" xr:uid="{00000000-0005-0000-0000-0000A7000000}"/>
    <cellStyle name="_0[1space] 2" xfId="379" xr:uid="{00000000-0005-0000-0000-0000A8000000}"/>
    <cellStyle name="_0[2space]" xfId="380" xr:uid="{00000000-0005-0000-0000-0000A9000000}"/>
    <cellStyle name="_0[2space] 2" xfId="381" xr:uid="{00000000-0005-0000-0000-0000AA000000}"/>
    <cellStyle name="_0[3space]" xfId="382" xr:uid="{00000000-0005-0000-0000-0000AB000000}"/>
    <cellStyle name="_0[3space] 2" xfId="383" xr:uid="{00000000-0005-0000-0000-0000AC000000}"/>
    <cellStyle name="_0[4space]" xfId="384" xr:uid="{00000000-0005-0000-0000-0000AD000000}"/>
    <cellStyle name="_0[4space]_Options" xfId="385" xr:uid="{00000000-0005-0000-0000-0000AE000000}"/>
    <cellStyle name="_0[4space]_Options 2" xfId="386" xr:uid="{00000000-0005-0000-0000-0000AF000000}"/>
    <cellStyle name="_0[4space]_Options1" xfId="387" xr:uid="{00000000-0005-0000-0000-0000B0000000}"/>
    <cellStyle name="_0[4space]_Options1 2" xfId="388" xr:uid="{00000000-0005-0000-0000-0000B1000000}"/>
    <cellStyle name="_0[5space]" xfId="389" xr:uid="{00000000-0005-0000-0000-0000B2000000}"/>
    <cellStyle name="_Comma" xfId="390" xr:uid="{00000000-0005-0000-0000-0000B3000000}"/>
    <cellStyle name="_Comma 10" xfId="5381" xr:uid="{00000000-0005-0000-0000-0000B4000000}"/>
    <cellStyle name="_Comma 2" xfId="391" xr:uid="{00000000-0005-0000-0000-0000B5000000}"/>
    <cellStyle name="_Comma 2 2" xfId="392" xr:uid="{00000000-0005-0000-0000-0000B6000000}"/>
    <cellStyle name="_Comma 2 2 2" xfId="393" xr:uid="{00000000-0005-0000-0000-0000B7000000}"/>
    <cellStyle name="_Comma 2 3" xfId="394" xr:uid="{00000000-0005-0000-0000-0000B8000000}"/>
    <cellStyle name="_Comma 3" xfId="395" xr:uid="{00000000-0005-0000-0000-0000B9000000}"/>
    <cellStyle name="_Comma 3 2" xfId="396" xr:uid="{00000000-0005-0000-0000-0000BA000000}"/>
    <cellStyle name="_Comma 4" xfId="397" xr:uid="{00000000-0005-0000-0000-0000BB000000}"/>
    <cellStyle name="_Comma 4 2" xfId="398" xr:uid="{00000000-0005-0000-0000-0000BC000000}"/>
    <cellStyle name="_Comma 5" xfId="399" xr:uid="{00000000-0005-0000-0000-0000BD000000}"/>
    <cellStyle name="_Comma 5 2" xfId="400" xr:uid="{00000000-0005-0000-0000-0000BE000000}"/>
    <cellStyle name="_Comma 6" xfId="401" xr:uid="{00000000-0005-0000-0000-0000BF000000}"/>
    <cellStyle name="_Comma 6 2" xfId="402" xr:uid="{00000000-0005-0000-0000-0000C0000000}"/>
    <cellStyle name="_Comma 7" xfId="403" xr:uid="{00000000-0005-0000-0000-0000C1000000}"/>
    <cellStyle name="_Comma 7 2" xfId="404" xr:uid="{00000000-0005-0000-0000-0000C2000000}"/>
    <cellStyle name="_Comma 8" xfId="405" xr:uid="{00000000-0005-0000-0000-0000C3000000}"/>
    <cellStyle name="_Comma 8 2" xfId="406" xr:uid="{00000000-0005-0000-0000-0000C4000000}"/>
    <cellStyle name="_Comma 9" xfId="407" xr:uid="{00000000-0005-0000-0000-0000C5000000}"/>
    <cellStyle name="_Comma 9 2" xfId="408" xr:uid="{00000000-0005-0000-0000-0000C6000000}"/>
    <cellStyle name="_Comma_Assumptions" xfId="409" xr:uid="{00000000-0005-0000-0000-0000C7000000}"/>
    <cellStyle name="_Comma_Assumptions 2" xfId="410" xr:uid="{00000000-0005-0000-0000-0000C8000000}"/>
    <cellStyle name="_Comma_AVP" xfId="411" xr:uid="{00000000-0005-0000-0000-0000C9000000}"/>
    <cellStyle name="_Comma_AVP 2" xfId="412" xr:uid="{00000000-0005-0000-0000-0000CA000000}"/>
    <cellStyle name="_Comma_AVP 2 2" xfId="413" xr:uid="{00000000-0005-0000-0000-0000CB000000}"/>
    <cellStyle name="_Comma_AVP 2 2 2" xfId="414" xr:uid="{00000000-0005-0000-0000-0000CC000000}"/>
    <cellStyle name="_Comma_AVP 2 3" xfId="415" xr:uid="{00000000-0005-0000-0000-0000CD000000}"/>
    <cellStyle name="_Comma_AVP 3" xfId="416" xr:uid="{00000000-0005-0000-0000-0000CE000000}"/>
    <cellStyle name="_Comma_Balance Sheet" xfId="417" xr:uid="{00000000-0005-0000-0000-0000CF000000}"/>
    <cellStyle name="_Comma_Balance Sheet_ControlTables" xfId="418" xr:uid="{00000000-0005-0000-0000-0000D0000000}"/>
    <cellStyle name="_Comma_Balance Sheet_ControlTablesI" xfId="419" xr:uid="{00000000-0005-0000-0000-0000D1000000}"/>
    <cellStyle name="_Comma_Balance Sheet_Database - Comparables" xfId="420" xr:uid="{00000000-0005-0000-0000-0000D2000000}"/>
    <cellStyle name="_Comma_Balance Sheet_DB_Eye" xfId="421" xr:uid="{00000000-0005-0000-0000-0000D3000000}"/>
    <cellStyle name="_Comma_Balance Sheet_Exec Summary" xfId="422" xr:uid="{00000000-0005-0000-0000-0000D4000000}"/>
    <cellStyle name="_Comma_Balance Sheet_Sheet1" xfId="423" xr:uid="{00000000-0005-0000-0000-0000D5000000}"/>
    <cellStyle name="_Comma_Bolt Financials and Comps" xfId="424" xr:uid="{00000000-0005-0000-0000-0000D6000000}"/>
    <cellStyle name="_Comma_Bolt Financials and Comps 2" xfId="425" xr:uid="{00000000-0005-0000-0000-0000D7000000}"/>
    <cellStyle name="_Comma_Bolt Financials and Comps 2 2" xfId="426" xr:uid="{00000000-0005-0000-0000-0000D8000000}"/>
    <cellStyle name="_Comma_Bolt Financials and Comps 2 2 2" xfId="427" xr:uid="{00000000-0005-0000-0000-0000D9000000}"/>
    <cellStyle name="_Comma_Bolt Financials and Comps 2 3" xfId="428" xr:uid="{00000000-0005-0000-0000-0000DA000000}"/>
    <cellStyle name="_Comma_Bolt Financials and Comps 3" xfId="429" xr:uid="{00000000-0005-0000-0000-0000DB000000}"/>
    <cellStyle name="_Comma_Book1" xfId="430" xr:uid="{00000000-0005-0000-0000-0000DC000000}"/>
    <cellStyle name="_Comma_Book1 2" xfId="431" xr:uid="{00000000-0005-0000-0000-0000DD000000}"/>
    <cellStyle name="_Comma_Book1 2 2" xfId="432" xr:uid="{00000000-0005-0000-0000-0000DE000000}"/>
    <cellStyle name="_Comma_Book1 2 2 2" xfId="433" xr:uid="{00000000-0005-0000-0000-0000DF000000}"/>
    <cellStyle name="_Comma_Book1 2 3" xfId="434" xr:uid="{00000000-0005-0000-0000-0000E0000000}"/>
    <cellStyle name="_Comma_Book1 3" xfId="435" xr:uid="{00000000-0005-0000-0000-0000E1000000}"/>
    <cellStyle name="_Comma_Book1_1" xfId="436" xr:uid="{00000000-0005-0000-0000-0000E2000000}"/>
    <cellStyle name="_Comma_Book1_1 2" xfId="437" xr:uid="{00000000-0005-0000-0000-0000E3000000}"/>
    <cellStyle name="_Comma_Book1_1 2 2" xfId="438" xr:uid="{00000000-0005-0000-0000-0000E4000000}"/>
    <cellStyle name="_Comma_Book1_1 2 2 2" xfId="439" xr:uid="{00000000-0005-0000-0000-0000E5000000}"/>
    <cellStyle name="_Comma_Book1_1 2 3" xfId="440" xr:uid="{00000000-0005-0000-0000-0000E6000000}"/>
    <cellStyle name="_Comma_Book1_1 3" xfId="441" xr:uid="{00000000-0005-0000-0000-0000E7000000}"/>
    <cellStyle name="_Comma_contribution_analysis" xfId="442" xr:uid="{00000000-0005-0000-0000-0000E8000000}"/>
    <cellStyle name="_Comma_ControlTables" xfId="443" xr:uid="{00000000-0005-0000-0000-0000E9000000}"/>
    <cellStyle name="_Comma_ControlTablesI" xfId="444" xr:uid="{00000000-0005-0000-0000-0000EA000000}"/>
    <cellStyle name="_Comma_Criteria" xfId="445" xr:uid="{00000000-0005-0000-0000-0000EB000000}"/>
    <cellStyle name="_Comma_Criteria_ControlTables" xfId="446" xr:uid="{00000000-0005-0000-0000-0000EC000000}"/>
    <cellStyle name="_Comma_Criteria_ControlTablesI" xfId="447" xr:uid="{00000000-0005-0000-0000-0000ED000000}"/>
    <cellStyle name="_Comma_Criteria_Database - Comparables" xfId="448" xr:uid="{00000000-0005-0000-0000-0000EE000000}"/>
    <cellStyle name="_Comma_Criteria_DB_Eye" xfId="449" xr:uid="{00000000-0005-0000-0000-0000EF000000}"/>
    <cellStyle name="_Comma_Criteria_Exec Summary" xfId="450" xr:uid="{00000000-0005-0000-0000-0000F0000000}"/>
    <cellStyle name="_Comma_Criteria_Sheet1" xfId="451" xr:uid="{00000000-0005-0000-0000-0000F1000000}"/>
    <cellStyle name="_Comma_Data Tape" xfId="452" xr:uid="{00000000-0005-0000-0000-0000F2000000}"/>
    <cellStyle name="_Comma_Data Tape_ControlTables" xfId="453" xr:uid="{00000000-0005-0000-0000-0000F3000000}"/>
    <cellStyle name="_Comma_Data Tape_ControlTablesI" xfId="454" xr:uid="{00000000-0005-0000-0000-0000F4000000}"/>
    <cellStyle name="_Comma_Data Tape_Database - Comparables" xfId="455" xr:uid="{00000000-0005-0000-0000-0000F5000000}"/>
    <cellStyle name="_Comma_Data Tape_DB_Eye" xfId="456" xr:uid="{00000000-0005-0000-0000-0000F6000000}"/>
    <cellStyle name="_Comma_Data Tape_Exec Summary" xfId="457" xr:uid="{00000000-0005-0000-0000-0000F7000000}"/>
    <cellStyle name="_Comma_Data Tape_Sheet1" xfId="458" xr:uid="{00000000-0005-0000-0000-0000F8000000}"/>
    <cellStyle name="_Comma_Data_Tape" xfId="459" xr:uid="{00000000-0005-0000-0000-0000F9000000}"/>
    <cellStyle name="_Comma_Database - Comparables" xfId="460" xr:uid="{00000000-0005-0000-0000-0000FA000000}"/>
    <cellStyle name="_Comma_DB_Eye" xfId="461" xr:uid="{00000000-0005-0000-0000-0000FB000000}"/>
    <cellStyle name="_Comma_Exec Summary" xfId="462" xr:uid="{00000000-0005-0000-0000-0000FC000000}"/>
    <cellStyle name="_Comma_EyeChart" xfId="463" xr:uid="{00000000-0005-0000-0000-0000FD000000}"/>
    <cellStyle name="_Comma_EyeChart 090503" xfId="464" xr:uid="{00000000-0005-0000-0000-0000FE000000}"/>
    <cellStyle name="_Comma_Input" xfId="465" xr:uid="{00000000-0005-0000-0000-0000FF000000}"/>
    <cellStyle name="_Comma_Input_1" xfId="466" xr:uid="{00000000-0005-0000-0000-000000010000}"/>
    <cellStyle name="_Comma_Input_ControlTables" xfId="467" xr:uid="{00000000-0005-0000-0000-000001010000}"/>
    <cellStyle name="_Comma_Input_ControlTablesI" xfId="468" xr:uid="{00000000-0005-0000-0000-000002010000}"/>
    <cellStyle name="_Comma_Input_Database - Comparables" xfId="469" xr:uid="{00000000-0005-0000-0000-000003010000}"/>
    <cellStyle name="_Comma_Input_DB_Eye" xfId="470" xr:uid="{00000000-0005-0000-0000-000004010000}"/>
    <cellStyle name="_Comma_Input_Exec Summary" xfId="471" xr:uid="{00000000-0005-0000-0000-000005010000}"/>
    <cellStyle name="_Comma_Input_Sheet1" xfId="472" xr:uid="{00000000-0005-0000-0000-000006010000}"/>
    <cellStyle name="_Comma_Pools" xfId="473" xr:uid="{00000000-0005-0000-0000-000007010000}"/>
    <cellStyle name="_Comma_Pricing" xfId="474" xr:uid="{00000000-0005-0000-0000-000008010000}"/>
    <cellStyle name="_Comma_Senario Input Assumptions" xfId="475" xr:uid="{00000000-0005-0000-0000-000009010000}"/>
    <cellStyle name="_Comma_Senario Input Assumptions_ControlTables" xfId="476" xr:uid="{00000000-0005-0000-0000-00000A010000}"/>
    <cellStyle name="_Comma_Senario Input Assumptions_ControlTablesI" xfId="477" xr:uid="{00000000-0005-0000-0000-00000B010000}"/>
    <cellStyle name="_Comma_Senario Input Assumptions_Database - Comparables" xfId="478" xr:uid="{00000000-0005-0000-0000-00000C010000}"/>
    <cellStyle name="_Comma_Senario Input Assumptions_DB_Eye" xfId="479" xr:uid="{00000000-0005-0000-0000-00000D010000}"/>
    <cellStyle name="_Comma_Senario Input Assumptions_Exec Summary" xfId="480" xr:uid="{00000000-0005-0000-0000-00000E010000}"/>
    <cellStyle name="_Comma_Senario Input Assumptions_Sheet1" xfId="481" xr:uid="{00000000-0005-0000-0000-00000F010000}"/>
    <cellStyle name="_Comma_Sheet1" xfId="482" xr:uid="{00000000-0005-0000-0000-000010010000}"/>
    <cellStyle name="_Comma_Sheet1_1" xfId="483" xr:uid="{00000000-0005-0000-0000-000011010000}"/>
    <cellStyle name="_Comma_Sheet1_Balance Sheet" xfId="484" xr:uid="{00000000-0005-0000-0000-000012010000}"/>
    <cellStyle name="_Comma_Sheet1_Criteria" xfId="485" xr:uid="{00000000-0005-0000-0000-000013010000}"/>
    <cellStyle name="_Comma_Sheet1_Data Tape" xfId="486" xr:uid="{00000000-0005-0000-0000-000014010000}"/>
    <cellStyle name="_Comma_Sheet1_Data_Tape" xfId="487" xr:uid="{00000000-0005-0000-0000-000015010000}"/>
    <cellStyle name="_Comma_Sheet1_Data_Tape_ControlTables" xfId="488" xr:uid="{00000000-0005-0000-0000-000016010000}"/>
    <cellStyle name="_Comma_Sheet1_Data_Tape_ControlTablesI" xfId="489" xr:uid="{00000000-0005-0000-0000-000017010000}"/>
    <cellStyle name="_Comma_Sheet1_Data_Tape_Database - Comparables" xfId="490" xr:uid="{00000000-0005-0000-0000-000018010000}"/>
    <cellStyle name="_Comma_Sheet1_Data_Tape_DB_Eye" xfId="491" xr:uid="{00000000-0005-0000-0000-000019010000}"/>
    <cellStyle name="_Comma_Sheet1_Data_Tape_Exec Summary" xfId="492" xr:uid="{00000000-0005-0000-0000-00001A010000}"/>
    <cellStyle name="_Comma_Sheet1_Data_Tape_Sheet1" xfId="493" xr:uid="{00000000-0005-0000-0000-00001B010000}"/>
    <cellStyle name="_Comma_Sheet1_Input" xfId="494" xr:uid="{00000000-0005-0000-0000-00001C010000}"/>
    <cellStyle name="_Comma_Sheet1_Pools" xfId="495" xr:uid="{00000000-0005-0000-0000-00001D010000}"/>
    <cellStyle name="_Comma_Sheet1_Pools_ControlTables" xfId="496" xr:uid="{00000000-0005-0000-0000-00001E010000}"/>
    <cellStyle name="_Comma_Sheet1_Pools_ControlTablesI" xfId="497" xr:uid="{00000000-0005-0000-0000-00001F010000}"/>
    <cellStyle name="_Comma_Sheet1_Pools_Database - Comparables" xfId="498" xr:uid="{00000000-0005-0000-0000-000020010000}"/>
    <cellStyle name="_Comma_Sheet1_Pools_DB_Eye" xfId="499" xr:uid="{00000000-0005-0000-0000-000021010000}"/>
    <cellStyle name="_Comma_Sheet1_Pools_Exec Summary" xfId="500" xr:uid="{00000000-0005-0000-0000-000022010000}"/>
    <cellStyle name="_Comma_Sheet1_Pools_Sheet1" xfId="501" xr:uid="{00000000-0005-0000-0000-000023010000}"/>
    <cellStyle name="_Comma_Sheet1_Senario Input Assumptions" xfId="502" xr:uid="{00000000-0005-0000-0000-000024010000}"/>
    <cellStyle name="_Comma_Sheet1_Structure Model_2003_test2" xfId="503" xr:uid="{00000000-0005-0000-0000-000025010000}"/>
    <cellStyle name="_Comma_Sheet2" xfId="504" xr:uid="{00000000-0005-0000-0000-000026010000}"/>
    <cellStyle name="_Comma_Sheet3" xfId="505" xr:uid="{00000000-0005-0000-0000-000027010000}"/>
    <cellStyle name="_Comma_Sheet4" xfId="506" xr:uid="{00000000-0005-0000-0000-000028010000}"/>
    <cellStyle name="_Comma_Structure Model_2003_test2" xfId="507" xr:uid="{00000000-0005-0000-0000-000029010000}"/>
    <cellStyle name="_Comma_Structure Model_2003_test2_ControlTables" xfId="508" xr:uid="{00000000-0005-0000-0000-00002A010000}"/>
    <cellStyle name="_Comma_Structure Model_2003_test2_ControlTablesI" xfId="509" xr:uid="{00000000-0005-0000-0000-00002B010000}"/>
    <cellStyle name="_Comma_Structure Model_2003_test2_Database - Comparables" xfId="510" xr:uid="{00000000-0005-0000-0000-00002C010000}"/>
    <cellStyle name="_Comma_Structure Model_2003_test2_DB_Eye" xfId="511" xr:uid="{00000000-0005-0000-0000-00002D010000}"/>
    <cellStyle name="_Comma_Structure Model_2003_test2_Exec Summary" xfId="512" xr:uid="{00000000-0005-0000-0000-00002E010000}"/>
    <cellStyle name="_Comma_Structure Model_2003_test2_Sheet1" xfId="513" xr:uid="{00000000-0005-0000-0000-00002F010000}"/>
    <cellStyle name="_Currency" xfId="514" xr:uid="{00000000-0005-0000-0000-000030010000}"/>
    <cellStyle name="_Currency 10" xfId="5328" xr:uid="{00000000-0005-0000-0000-000031010000}"/>
    <cellStyle name="_Currency 2" xfId="515" xr:uid="{00000000-0005-0000-0000-000032010000}"/>
    <cellStyle name="_Currency 2 2" xfId="516" xr:uid="{00000000-0005-0000-0000-000033010000}"/>
    <cellStyle name="_Currency 2 2 2" xfId="517" xr:uid="{00000000-0005-0000-0000-000034010000}"/>
    <cellStyle name="_Currency 2 3" xfId="518" xr:uid="{00000000-0005-0000-0000-000035010000}"/>
    <cellStyle name="_Currency 3" xfId="519" xr:uid="{00000000-0005-0000-0000-000036010000}"/>
    <cellStyle name="_Currency 3 2" xfId="520" xr:uid="{00000000-0005-0000-0000-000037010000}"/>
    <cellStyle name="_Currency 4" xfId="521" xr:uid="{00000000-0005-0000-0000-000038010000}"/>
    <cellStyle name="_Currency 4 2" xfId="522" xr:uid="{00000000-0005-0000-0000-000039010000}"/>
    <cellStyle name="_Currency 5" xfId="523" xr:uid="{00000000-0005-0000-0000-00003A010000}"/>
    <cellStyle name="_Currency 5 2" xfId="524" xr:uid="{00000000-0005-0000-0000-00003B010000}"/>
    <cellStyle name="_Currency 6" xfId="525" xr:uid="{00000000-0005-0000-0000-00003C010000}"/>
    <cellStyle name="_Currency 6 2" xfId="526" xr:uid="{00000000-0005-0000-0000-00003D010000}"/>
    <cellStyle name="_Currency 7" xfId="527" xr:uid="{00000000-0005-0000-0000-00003E010000}"/>
    <cellStyle name="_Currency 7 2" xfId="528" xr:uid="{00000000-0005-0000-0000-00003F010000}"/>
    <cellStyle name="_Currency 8" xfId="529" xr:uid="{00000000-0005-0000-0000-000040010000}"/>
    <cellStyle name="_Currency 8 2" xfId="530" xr:uid="{00000000-0005-0000-0000-000041010000}"/>
    <cellStyle name="_Currency 9" xfId="531" xr:uid="{00000000-0005-0000-0000-000042010000}"/>
    <cellStyle name="_Currency 9 2" xfId="532" xr:uid="{00000000-0005-0000-0000-000043010000}"/>
    <cellStyle name="_Currency_03-05-31 Final OBS Reports" xfId="533" xr:uid="{00000000-0005-0000-0000-000044010000}"/>
    <cellStyle name="_Currency_Assumptions" xfId="534" xr:uid="{00000000-0005-0000-0000-000045010000}"/>
    <cellStyle name="_Currency_Assumptions 2" xfId="535" xr:uid="{00000000-0005-0000-0000-000046010000}"/>
    <cellStyle name="_Currency_AVP" xfId="536" xr:uid="{00000000-0005-0000-0000-000047010000}"/>
    <cellStyle name="_Currency_AVP 2" xfId="537" xr:uid="{00000000-0005-0000-0000-000048010000}"/>
    <cellStyle name="_Currency_AVP 2 2" xfId="538" xr:uid="{00000000-0005-0000-0000-000049010000}"/>
    <cellStyle name="_Currency_AVP 2 2 2" xfId="539" xr:uid="{00000000-0005-0000-0000-00004A010000}"/>
    <cellStyle name="_Currency_AVP 2 3" xfId="540" xr:uid="{00000000-0005-0000-0000-00004B010000}"/>
    <cellStyle name="_Currency_AVP 3" xfId="541" xr:uid="{00000000-0005-0000-0000-00004C010000}"/>
    <cellStyle name="_Currency_Balance Sheet" xfId="542" xr:uid="{00000000-0005-0000-0000-00004D010000}"/>
    <cellStyle name="_Currency_Balance Sheet_ControlTables" xfId="543" xr:uid="{00000000-0005-0000-0000-00004E010000}"/>
    <cellStyle name="_Currency_Balance Sheet_ControlTablesI" xfId="544" xr:uid="{00000000-0005-0000-0000-00004F010000}"/>
    <cellStyle name="_Currency_Balance Sheet_Database - Comparables" xfId="545" xr:uid="{00000000-0005-0000-0000-000050010000}"/>
    <cellStyle name="_Currency_Balance Sheet_DB_Eye" xfId="546" xr:uid="{00000000-0005-0000-0000-000051010000}"/>
    <cellStyle name="_Currency_Balance Sheet_Exec Summary" xfId="547" xr:uid="{00000000-0005-0000-0000-000052010000}"/>
    <cellStyle name="_Currency_Balance Sheet_Exec Summary_1" xfId="548" xr:uid="{00000000-0005-0000-0000-000053010000}"/>
    <cellStyle name="_Currency_Balance Sheet_Sheet1" xfId="549" xr:uid="{00000000-0005-0000-0000-000054010000}"/>
    <cellStyle name="_Currency_Bolt Financials and Comps" xfId="550" xr:uid="{00000000-0005-0000-0000-000055010000}"/>
    <cellStyle name="_Currency_Bolt Financials and Comps 2" xfId="551" xr:uid="{00000000-0005-0000-0000-000056010000}"/>
    <cellStyle name="_Currency_Bolt Financials and Comps 2 2" xfId="552" xr:uid="{00000000-0005-0000-0000-000057010000}"/>
    <cellStyle name="_Currency_Bolt Financials and Comps 2 2 2" xfId="553" xr:uid="{00000000-0005-0000-0000-000058010000}"/>
    <cellStyle name="_Currency_Bolt Financials and Comps 2 3" xfId="554" xr:uid="{00000000-0005-0000-0000-000059010000}"/>
    <cellStyle name="_Currency_Bolt Financials and Comps 3" xfId="555" xr:uid="{00000000-0005-0000-0000-00005A010000}"/>
    <cellStyle name="_Currency_Book1" xfId="556" xr:uid="{00000000-0005-0000-0000-00005B010000}"/>
    <cellStyle name="_Currency_Book1 2" xfId="557" xr:uid="{00000000-0005-0000-0000-00005C010000}"/>
    <cellStyle name="_Currency_Book1 2 2" xfId="558" xr:uid="{00000000-0005-0000-0000-00005D010000}"/>
    <cellStyle name="_Currency_Book1 2 2 2" xfId="559" xr:uid="{00000000-0005-0000-0000-00005E010000}"/>
    <cellStyle name="_Currency_Book1 2 3" xfId="560" xr:uid="{00000000-0005-0000-0000-00005F010000}"/>
    <cellStyle name="_Currency_Book1 3" xfId="561" xr:uid="{00000000-0005-0000-0000-000060010000}"/>
    <cellStyle name="_Currency_Book1_1" xfId="562" xr:uid="{00000000-0005-0000-0000-000061010000}"/>
    <cellStyle name="_Currency_Book1_1 2" xfId="563" xr:uid="{00000000-0005-0000-0000-000062010000}"/>
    <cellStyle name="_Currency_Book1_1 2 2" xfId="564" xr:uid="{00000000-0005-0000-0000-000063010000}"/>
    <cellStyle name="_Currency_Book1_1 2 2 2" xfId="565" xr:uid="{00000000-0005-0000-0000-000064010000}"/>
    <cellStyle name="_Currency_Book1_1 2 3" xfId="566" xr:uid="{00000000-0005-0000-0000-000065010000}"/>
    <cellStyle name="_Currency_Book1_1 3" xfId="567" xr:uid="{00000000-0005-0000-0000-000066010000}"/>
    <cellStyle name="_Currency_contribution_analysis" xfId="568" xr:uid="{00000000-0005-0000-0000-000067010000}"/>
    <cellStyle name="_Currency_ControlTables" xfId="569" xr:uid="{00000000-0005-0000-0000-000068010000}"/>
    <cellStyle name="_Currency_ControlTablesI" xfId="570" xr:uid="{00000000-0005-0000-0000-000069010000}"/>
    <cellStyle name="_Currency_Criteria" xfId="571" xr:uid="{00000000-0005-0000-0000-00006A010000}"/>
    <cellStyle name="_Currency_Criteria_ControlTables" xfId="572" xr:uid="{00000000-0005-0000-0000-00006B010000}"/>
    <cellStyle name="_Currency_Criteria_ControlTablesI" xfId="573" xr:uid="{00000000-0005-0000-0000-00006C010000}"/>
    <cellStyle name="_Currency_Criteria_Database - Comparables" xfId="574" xr:uid="{00000000-0005-0000-0000-00006D010000}"/>
    <cellStyle name="_Currency_Criteria_DB_Eye" xfId="575" xr:uid="{00000000-0005-0000-0000-00006E010000}"/>
    <cellStyle name="_Currency_Criteria_Exec Summary" xfId="576" xr:uid="{00000000-0005-0000-0000-00006F010000}"/>
    <cellStyle name="_Currency_Criteria_Exec Summary_1" xfId="577" xr:uid="{00000000-0005-0000-0000-000070010000}"/>
    <cellStyle name="_Currency_Criteria_Sheet1" xfId="578" xr:uid="{00000000-0005-0000-0000-000071010000}"/>
    <cellStyle name="_Currency_Data Tape" xfId="579" xr:uid="{00000000-0005-0000-0000-000072010000}"/>
    <cellStyle name="_Currency_Data Tape_ControlTables" xfId="580" xr:uid="{00000000-0005-0000-0000-000073010000}"/>
    <cellStyle name="_Currency_Data Tape_ControlTablesI" xfId="581" xr:uid="{00000000-0005-0000-0000-000074010000}"/>
    <cellStyle name="_Currency_Data Tape_Database - Comparables" xfId="582" xr:uid="{00000000-0005-0000-0000-000075010000}"/>
    <cellStyle name="_Currency_Data Tape_DB_Eye" xfId="583" xr:uid="{00000000-0005-0000-0000-000076010000}"/>
    <cellStyle name="_Currency_Data Tape_Exec Summary" xfId="584" xr:uid="{00000000-0005-0000-0000-000077010000}"/>
    <cellStyle name="_Currency_Data Tape_Exec Summary_1" xfId="585" xr:uid="{00000000-0005-0000-0000-000078010000}"/>
    <cellStyle name="_Currency_Data Tape_Sheet1" xfId="586" xr:uid="{00000000-0005-0000-0000-000079010000}"/>
    <cellStyle name="_Currency_Data_Tape" xfId="587" xr:uid="{00000000-0005-0000-0000-00007A010000}"/>
    <cellStyle name="_Currency_Data_Tape_ControlTables" xfId="588" xr:uid="{00000000-0005-0000-0000-00007B010000}"/>
    <cellStyle name="_Currency_Data_Tape_ControlTablesI" xfId="589" xr:uid="{00000000-0005-0000-0000-00007C010000}"/>
    <cellStyle name="_Currency_Data_Tape_Database - Comparables" xfId="590" xr:uid="{00000000-0005-0000-0000-00007D010000}"/>
    <cellStyle name="_Currency_Data_Tape_DB_Eye" xfId="591" xr:uid="{00000000-0005-0000-0000-00007E010000}"/>
    <cellStyle name="_Currency_Data_Tape_Exec Summary" xfId="592" xr:uid="{00000000-0005-0000-0000-00007F010000}"/>
    <cellStyle name="_Currency_Data_Tape_Exec Summary_1" xfId="593" xr:uid="{00000000-0005-0000-0000-000080010000}"/>
    <cellStyle name="_Currency_Data_Tape_Sheet1" xfId="594" xr:uid="{00000000-0005-0000-0000-000081010000}"/>
    <cellStyle name="_Currency_Database - Comparables" xfId="595" xr:uid="{00000000-0005-0000-0000-000082010000}"/>
    <cellStyle name="_Currency_DB_Eye" xfId="596" xr:uid="{00000000-0005-0000-0000-000083010000}"/>
    <cellStyle name="_Currency_Exec Summary" xfId="597" xr:uid="{00000000-0005-0000-0000-000084010000}"/>
    <cellStyle name="_Currency_Exec Summary_1" xfId="598" xr:uid="{00000000-0005-0000-0000-000085010000}"/>
    <cellStyle name="_Currency_EyeChart" xfId="599" xr:uid="{00000000-0005-0000-0000-000086010000}"/>
    <cellStyle name="_Currency_EyeChart 090503" xfId="600" xr:uid="{00000000-0005-0000-0000-000087010000}"/>
    <cellStyle name="_Currency_GMACCH_Loans_OBS_033103_Final_v2" xfId="601" xr:uid="{00000000-0005-0000-0000-000088010000}"/>
    <cellStyle name="_Currency_Input" xfId="602" xr:uid="{00000000-0005-0000-0000-000089010000}"/>
    <cellStyle name="_Currency_Input_1" xfId="603" xr:uid="{00000000-0005-0000-0000-00008A010000}"/>
    <cellStyle name="_Currency_Input_ControlTables" xfId="604" xr:uid="{00000000-0005-0000-0000-00008B010000}"/>
    <cellStyle name="_Currency_Input_ControlTablesI" xfId="605" xr:uid="{00000000-0005-0000-0000-00008C010000}"/>
    <cellStyle name="_Currency_Input_Database - Comparables" xfId="606" xr:uid="{00000000-0005-0000-0000-00008D010000}"/>
    <cellStyle name="_Currency_Input_DB_Eye" xfId="607" xr:uid="{00000000-0005-0000-0000-00008E010000}"/>
    <cellStyle name="_Currency_Input_Exec Summary" xfId="608" xr:uid="{00000000-0005-0000-0000-00008F010000}"/>
    <cellStyle name="_Currency_Input_Exec Summary_1" xfId="609" xr:uid="{00000000-0005-0000-0000-000090010000}"/>
    <cellStyle name="_Currency_Input_Sheet1" xfId="610" xr:uid="{00000000-0005-0000-0000-000091010000}"/>
    <cellStyle name="_Currency_Pools" xfId="611" xr:uid="{00000000-0005-0000-0000-000092010000}"/>
    <cellStyle name="_Currency_Pools_ControlTables" xfId="612" xr:uid="{00000000-0005-0000-0000-000093010000}"/>
    <cellStyle name="_Currency_Pools_ControlTablesI" xfId="613" xr:uid="{00000000-0005-0000-0000-000094010000}"/>
    <cellStyle name="_Currency_Pools_Database - Comparables" xfId="614" xr:uid="{00000000-0005-0000-0000-000095010000}"/>
    <cellStyle name="_Currency_Pools_DB_Eye" xfId="615" xr:uid="{00000000-0005-0000-0000-000096010000}"/>
    <cellStyle name="_Currency_Pools_Exec Summary" xfId="616" xr:uid="{00000000-0005-0000-0000-000097010000}"/>
    <cellStyle name="_Currency_Pools_Exec Summary_1" xfId="617" xr:uid="{00000000-0005-0000-0000-000098010000}"/>
    <cellStyle name="_Currency_Pools_Sheet1" xfId="618" xr:uid="{00000000-0005-0000-0000-000099010000}"/>
    <cellStyle name="_Currency_Pricing" xfId="619" xr:uid="{00000000-0005-0000-0000-00009A010000}"/>
    <cellStyle name="_Currency_Senario Input Assumptions" xfId="620" xr:uid="{00000000-0005-0000-0000-00009B010000}"/>
    <cellStyle name="_Currency_Senario Input Assumptions_ControlTables" xfId="621" xr:uid="{00000000-0005-0000-0000-00009C010000}"/>
    <cellStyle name="_Currency_Senario Input Assumptions_ControlTablesI" xfId="622" xr:uid="{00000000-0005-0000-0000-00009D010000}"/>
    <cellStyle name="_Currency_Senario Input Assumptions_Database - Comparables" xfId="623" xr:uid="{00000000-0005-0000-0000-00009E010000}"/>
    <cellStyle name="_Currency_Senario Input Assumptions_DB_Eye" xfId="624" xr:uid="{00000000-0005-0000-0000-00009F010000}"/>
    <cellStyle name="_Currency_Senario Input Assumptions_Exec Summary" xfId="625" xr:uid="{00000000-0005-0000-0000-0000A0010000}"/>
    <cellStyle name="_Currency_Senario Input Assumptions_Exec Summary_1" xfId="626" xr:uid="{00000000-0005-0000-0000-0000A1010000}"/>
    <cellStyle name="_Currency_Senario Input Assumptions_Sheet1" xfId="627" xr:uid="{00000000-0005-0000-0000-0000A2010000}"/>
    <cellStyle name="_Currency_Sheet1" xfId="628" xr:uid="{00000000-0005-0000-0000-0000A3010000}"/>
    <cellStyle name="_Currency_Sheet1_1" xfId="629" xr:uid="{00000000-0005-0000-0000-0000A4010000}"/>
    <cellStyle name="_Currency_Sheet1_Balance Sheet" xfId="630" xr:uid="{00000000-0005-0000-0000-0000A5010000}"/>
    <cellStyle name="_Currency_Sheet1_Balance Sheet_ControlTables" xfId="631" xr:uid="{00000000-0005-0000-0000-0000A6010000}"/>
    <cellStyle name="_Currency_Sheet1_Balance Sheet_ControlTablesI" xfId="632" xr:uid="{00000000-0005-0000-0000-0000A7010000}"/>
    <cellStyle name="_Currency_Sheet1_Balance Sheet_Database - Comparables" xfId="633" xr:uid="{00000000-0005-0000-0000-0000A8010000}"/>
    <cellStyle name="_Currency_Sheet1_Balance Sheet_DB_Eye" xfId="634" xr:uid="{00000000-0005-0000-0000-0000A9010000}"/>
    <cellStyle name="_Currency_Sheet1_Balance Sheet_Exec Summary" xfId="635" xr:uid="{00000000-0005-0000-0000-0000AA010000}"/>
    <cellStyle name="_Currency_Sheet1_Balance Sheet_Exec Summary_1" xfId="636" xr:uid="{00000000-0005-0000-0000-0000AB010000}"/>
    <cellStyle name="_Currency_Sheet1_Balance Sheet_Sheet1" xfId="637" xr:uid="{00000000-0005-0000-0000-0000AC010000}"/>
    <cellStyle name="_Currency_Sheet1_ControlTables" xfId="638" xr:uid="{00000000-0005-0000-0000-0000AD010000}"/>
    <cellStyle name="_Currency_Sheet1_ControlTablesI" xfId="639" xr:uid="{00000000-0005-0000-0000-0000AE010000}"/>
    <cellStyle name="_Currency_Sheet1_Criteria" xfId="640" xr:uid="{00000000-0005-0000-0000-0000AF010000}"/>
    <cellStyle name="_Currency_Sheet1_Criteria_ControlTables" xfId="641" xr:uid="{00000000-0005-0000-0000-0000B0010000}"/>
    <cellStyle name="_Currency_Sheet1_Criteria_ControlTablesI" xfId="642" xr:uid="{00000000-0005-0000-0000-0000B1010000}"/>
    <cellStyle name="_Currency_Sheet1_Criteria_Database - Comparables" xfId="643" xr:uid="{00000000-0005-0000-0000-0000B2010000}"/>
    <cellStyle name="_Currency_Sheet1_Criteria_DB_Eye" xfId="644" xr:uid="{00000000-0005-0000-0000-0000B3010000}"/>
    <cellStyle name="_Currency_Sheet1_Criteria_Exec Summary" xfId="645" xr:uid="{00000000-0005-0000-0000-0000B4010000}"/>
    <cellStyle name="_Currency_Sheet1_Criteria_Exec Summary_1" xfId="646" xr:uid="{00000000-0005-0000-0000-0000B5010000}"/>
    <cellStyle name="_Currency_Sheet1_Criteria_Sheet1" xfId="647" xr:uid="{00000000-0005-0000-0000-0000B6010000}"/>
    <cellStyle name="_Currency_Sheet1_Data Tape" xfId="648" xr:uid="{00000000-0005-0000-0000-0000B7010000}"/>
    <cellStyle name="_Currency_Sheet1_Data Tape_ControlTables" xfId="649" xr:uid="{00000000-0005-0000-0000-0000B8010000}"/>
    <cellStyle name="_Currency_Sheet1_Data Tape_ControlTablesI" xfId="650" xr:uid="{00000000-0005-0000-0000-0000B9010000}"/>
    <cellStyle name="_Currency_Sheet1_Data Tape_Database - Comparables" xfId="651" xr:uid="{00000000-0005-0000-0000-0000BA010000}"/>
    <cellStyle name="_Currency_Sheet1_Data Tape_DB_Eye" xfId="652" xr:uid="{00000000-0005-0000-0000-0000BB010000}"/>
    <cellStyle name="_Currency_Sheet1_Data Tape_Exec Summary" xfId="653" xr:uid="{00000000-0005-0000-0000-0000BC010000}"/>
    <cellStyle name="_Currency_Sheet1_Data Tape_Exec Summary_1" xfId="654" xr:uid="{00000000-0005-0000-0000-0000BD010000}"/>
    <cellStyle name="_Currency_Sheet1_Data Tape_Sheet1" xfId="655" xr:uid="{00000000-0005-0000-0000-0000BE010000}"/>
    <cellStyle name="_Currency_Sheet1_Data_Tape" xfId="656" xr:uid="{00000000-0005-0000-0000-0000BF010000}"/>
    <cellStyle name="_Currency_Sheet1_Data_Tape_ControlTables" xfId="657" xr:uid="{00000000-0005-0000-0000-0000C0010000}"/>
    <cellStyle name="_Currency_Sheet1_Data_Tape_ControlTablesI" xfId="658" xr:uid="{00000000-0005-0000-0000-0000C1010000}"/>
    <cellStyle name="_Currency_Sheet1_Data_Tape_DB_Eye" xfId="659" xr:uid="{00000000-0005-0000-0000-0000C2010000}"/>
    <cellStyle name="_Currency_Sheet1_Data_Tape_Exec Summary" xfId="660" xr:uid="{00000000-0005-0000-0000-0000C3010000}"/>
    <cellStyle name="_Currency_Sheet1_Data_Tape_Exec Summary_1" xfId="661" xr:uid="{00000000-0005-0000-0000-0000C4010000}"/>
    <cellStyle name="_Currency_Sheet1_Data_Tape_Sheet1" xfId="662" xr:uid="{00000000-0005-0000-0000-0000C5010000}"/>
    <cellStyle name="_Currency_Sheet1_Database - Comparables" xfId="663" xr:uid="{00000000-0005-0000-0000-0000C6010000}"/>
    <cellStyle name="_Currency_Sheet1_DB_Eye" xfId="664" xr:uid="{00000000-0005-0000-0000-0000C7010000}"/>
    <cellStyle name="_Currency_Sheet1_Exec Summary" xfId="665" xr:uid="{00000000-0005-0000-0000-0000C8010000}"/>
    <cellStyle name="_Currency_Sheet1_Exec Summary_1" xfId="666" xr:uid="{00000000-0005-0000-0000-0000C9010000}"/>
    <cellStyle name="_Currency_Sheet1_Input" xfId="667" xr:uid="{00000000-0005-0000-0000-0000CA010000}"/>
    <cellStyle name="_Currency_Sheet1_Input_ControlTables" xfId="668" xr:uid="{00000000-0005-0000-0000-0000CB010000}"/>
    <cellStyle name="_Currency_Sheet1_Input_ControlTablesI" xfId="669" xr:uid="{00000000-0005-0000-0000-0000CC010000}"/>
    <cellStyle name="_Currency_Sheet1_Input_DB_Eye" xfId="670" xr:uid="{00000000-0005-0000-0000-0000CD010000}"/>
    <cellStyle name="_Currency_Sheet1_Input_Exec Summary" xfId="671" xr:uid="{00000000-0005-0000-0000-0000CE010000}"/>
    <cellStyle name="_Currency_Sheet1_Input_Exec Summary_1" xfId="672" xr:uid="{00000000-0005-0000-0000-0000CF010000}"/>
    <cellStyle name="_Currency_Sheet1_Input_Sheet1" xfId="673" xr:uid="{00000000-0005-0000-0000-0000D0010000}"/>
    <cellStyle name="_Currency_Sheet1_Pools" xfId="674" xr:uid="{00000000-0005-0000-0000-0000D1010000}"/>
    <cellStyle name="_Currency_Sheet1_Pools_ControlTables" xfId="675" xr:uid="{00000000-0005-0000-0000-0000D2010000}"/>
    <cellStyle name="_Currency_Sheet1_Pools_ControlTablesI" xfId="676" xr:uid="{00000000-0005-0000-0000-0000D3010000}"/>
    <cellStyle name="_Currency_Sheet1_Pools_DB_Eye" xfId="677" xr:uid="{00000000-0005-0000-0000-0000D4010000}"/>
    <cellStyle name="_Currency_Sheet1_Pools_Exec Summary" xfId="678" xr:uid="{00000000-0005-0000-0000-0000D5010000}"/>
    <cellStyle name="_Currency_Sheet1_Pools_Exec Summary_1" xfId="679" xr:uid="{00000000-0005-0000-0000-0000D6010000}"/>
    <cellStyle name="_Currency_Sheet1_Pools_Sheet1" xfId="680" xr:uid="{00000000-0005-0000-0000-0000D7010000}"/>
    <cellStyle name="_Currency_Sheet1_Senario Input Assumptions" xfId="681" xr:uid="{00000000-0005-0000-0000-0000D8010000}"/>
    <cellStyle name="_Currency_Sheet1_Senario Input Assumptions_ControlTables" xfId="682" xr:uid="{00000000-0005-0000-0000-0000D9010000}"/>
    <cellStyle name="_Currency_Sheet1_Senario Input Assumptions_ControlTablesI" xfId="683" xr:uid="{00000000-0005-0000-0000-0000DA010000}"/>
    <cellStyle name="_Currency_Sheet1_Senario Input Assumptions_DB_Eye" xfId="684" xr:uid="{00000000-0005-0000-0000-0000DB010000}"/>
    <cellStyle name="_Currency_Sheet1_Senario Input Assumptions_Exec Summary" xfId="685" xr:uid="{00000000-0005-0000-0000-0000DC010000}"/>
    <cellStyle name="_Currency_Sheet1_Senario Input Assumptions_Exec Summary_1" xfId="686" xr:uid="{00000000-0005-0000-0000-0000DD010000}"/>
    <cellStyle name="_Currency_Sheet1_Senario Input Assumptions_Sheet1" xfId="687" xr:uid="{00000000-0005-0000-0000-0000DE010000}"/>
    <cellStyle name="_Currency_Sheet1_Sheet1" xfId="688" xr:uid="{00000000-0005-0000-0000-0000DF010000}"/>
    <cellStyle name="_Currency_Sheet1_Structure Model_2003_test2" xfId="689" xr:uid="{00000000-0005-0000-0000-0000E0010000}"/>
    <cellStyle name="_Currency_Sheet1_Structure Model_2003_test2_ControlTables" xfId="690" xr:uid="{00000000-0005-0000-0000-0000E1010000}"/>
    <cellStyle name="_Currency_Sheet1_Structure Model_2003_test2_ControlTablesI" xfId="691" xr:uid="{00000000-0005-0000-0000-0000E2010000}"/>
    <cellStyle name="_Currency_Sheet1_Structure Model_2003_test2_DB_Eye" xfId="692" xr:uid="{00000000-0005-0000-0000-0000E3010000}"/>
    <cellStyle name="_Currency_Sheet1_Structure Model_2003_test2_Exec Summary" xfId="693" xr:uid="{00000000-0005-0000-0000-0000E4010000}"/>
    <cellStyle name="_Currency_Sheet1_Structure Model_2003_test2_Exec Summary_1" xfId="694" xr:uid="{00000000-0005-0000-0000-0000E5010000}"/>
    <cellStyle name="_Currency_Sheet1_Structure Model_2003_test2_Sheet1" xfId="695" xr:uid="{00000000-0005-0000-0000-0000E6010000}"/>
    <cellStyle name="_Currency_Sheet2" xfId="696" xr:uid="{00000000-0005-0000-0000-0000E7010000}"/>
    <cellStyle name="_Currency_Sheet3" xfId="697" xr:uid="{00000000-0005-0000-0000-0000E8010000}"/>
    <cellStyle name="_Currency_Sheet3_ControlTables" xfId="698" xr:uid="{00000000-0005-0000-0000-0000E9010000}"/>
    <cellStyle name="_Currency_Sheet3_ControlTablesI" xfId="699" xr:uid="{00000000-0005-0000-0000-0000EA010000}"/>
    <cellStyle name="_Currency_Sheet3_DB_Eye" xfId="700" xr:uid="{00000000-0005-0000-0000-0000EB010000}"/>
    <cellStyle name="_Currency_Sheet3_Exec Summary" xfId="701" xr:uid="{00000000-0005-0000-0000-0000EC010000}"/>
    <cellStyle name="_Currency_Sheet3_Exec Summary_1" xfId="702" xr:uid="{00000000-0005-0000-0000-0000ED010000}"/>
    <cellStyle name="_Currency_Sheet3_Sheet1" xfId="703" xr:uid="{00000000-0005-0000-0000-0000EE010000}"/>
    <cellStyle name="_Currency_Sheet4" xfId="704" xr:uid="{00000000-0005-0000-0000-0000EF010000}"/>
    <cellStyle name="_Currency_Structure Model_2003_test2" xfId="705" xr:uid="{00000000-0005-0000-0000-0000F0010000}"/>
    <cellStyle name="_Currency_Structure Model_2003_test2_ControlTables" xfId="706" xr:uid="{00000000-0005-0000-0000-0000F1010000}"/>
    <cellStyle name="_Currency_Structure Model_2003_test2_ControlTablesI" xfId="707" xr:uid="{00000000-0005-0000-0000-0000F2010000}"/>
    <cellStyle name="_Currency_Structure Model_2003_test2_DB_Eye" xfId="708" xr:uid="{00000000-0005-0000-0000-0000F3010000}"/>
    <cellStyle name="_Currency_Structure Model_2003_test2_Exec Summary" xfId="709" xr:uid="{00000000-0005-0000-0000-0000F4010000}"/>
    <cellStyle name="_Currency_Structure Model_2003_test2_Exec Summary_1" xfId="710" xr:uid="{00000000-0005-0000-0000-0000F5010000}"/>
    <cellStyle name="_Currency_Structure Model_2003_test2_Sheet1" xfId="711" xr:uid="{00000000-0005-0000-0000-0000F6010000}"/>
    <cellStyle name="_CurrencySpace" xfId="712" xr:uid="{00000000-0005-0000-0000-0000F7010000}"/>
    <cellStyle name="_CurrencySpace 2" xfId="713" xr:uid="{00000000-0005-0000-0000-0000F8010000}"/>
    <cellStyle name="_CurrencySpace 2 2" xfId="714" xr:uid="{00000000-0005-0000-0000-0000F9010000}"/>
    <cellStyle name="_CurrencySpace 2 2 2" xfId="715" xr:uid="{00000000-0005-0000-0000-0000FA010000}"/>
    <cellStyle name="_CurrencySpace 2 3" xfId="716" xr:uid="{00000000-0005-0000-0000-0000FB010000}"/>
    <cellStyle name="_CurrencySpace 3" xfId="5355" xr:uid="{00000000-0005-0000-0000-0000FC010000}"/>
    <cellStyle name="_CurrencySpace_09 Bolt Financial Performance" xfId="717" xr:uid="{00000000-0005-0000-0000-0000FD010000}"/>
    <cellStyle name="_CurrencySpace_09 Bolt Financial Performance 2" xfId="718" xr:uid="{00000000-0005-0000-0000-0000FE010000}"/>
    <cellStyle name="_CurrencySpace_09 Bolt Financial Performance 2 2" xfId="719" xr:uid="{00000000-0005-0000-0000-0000FF010000}"/>
    <cellStyle name="_CurrencySpace_09 Bolt Financial Performance 2 2 2" xfId="720" xr:uid="{00000000-0005-0000-0000-000000020000}"/>
    <cellStyle name="_CurrencySpace_09 Bolt Financial Performance 2 3" xfId="721" xr:uid="{00000000-0005-0000-0000-000001020000}"/>
    <cellStyle name="_CurrencySpace_09 Bolt Financial Performance 3" xfId="722" xr:uid="{00000000-0005-0000-0000-000002020000}"/>
    <cellStyle name="_CurrencySpace_Arena budget (6-11-07)" xfId="5382" xr:uid="{00000000-0005-0000-0000-000003020000}"/>
    <cellStyle name="_CurrencySpace_Arena budget (9-9-07)" xfId="5378" xr:uid="{00000000-0005-0000-0000-000004020000}"/>
    <cellStyle name="_CurrencySpace_Assumptions" xfId="723" xr:uid="{00000000-0005-0000-0000-000005020000}"/>
    <cellStyle name="_CurrencySpace_Assumptions 2" xfId="724" xr:uid="{00000000-0005-0000-0000-000006020000}"/>
    <cellStyle name="_CurrencySpace_AVP" xfId="725" xr:uid="{00000000-0005-0000-0000-000007020000}"/>
    <cellStyle name="_CurrencySpace_AVP 2" xfId="726" xr:uid="{00000000-0005-0000-0000-000008020000}"/>
    <cellStyle name="_CurrencySpace_AVP 2 2" xfId="727" xr:uid="{00000000-0005-0000-0000-000009020000}"/>
    <cellStyle name="_CurrencySpace_AVP 2 2 2" xfId="728" xr:uid="{00000000-0005-0000-0000-00000A020000}"/>
    <cellStyle name="_CurrencySpace_AVP 2 3" xfId="729" xr:uid="{00000000-0005-0000-0000-00000B020000}"/>
    <cellStyle name="_CurrencySpace_AVP 3" xfId="730" xr:uid="{00000000-0005-0000-0000-00000C020000}"/>
    <cellStyle name="_CurrencySpace_AY &amp; Arena Interest Estimate 11-01-06_russell" xfId="5383" xr:uid="{00000000-0005-0000-0000-00000D020000}"/>
    <cellStyle name="_CurrencySpace_AY Aug 2006 Capital Call_07-18-06 (final)" xfId="5361" xr:uid="{00000000-0005-0000-0000-00000E020000}"/>
    <cellStyle name="_CurrencySpace_AY Land Cash Flow 11_01_06_russell dr" xfId="5341" xr:uid="{00000000-0005-0000-0000-00000F020000}"/>
    <cellStyle name="_CurrencySpace_AY Land Cash Flow 11_01_06_russell_11-28-06" xfId="5374" xr:uid="{00000000-0005-0000-0000-000010020000}"/>
    <cellStyle name="_CurrencySpace_AY Land Cash Flow 2-13-07 (2)" xfId="5337" xr:uid="{00000000-0005-0000-0000-000011020000}"/>
    <cellStyle name="_CurrencySpace_AY Land Cash Flow 2-13-07_est. tenant payment" xfId="5368" xr:uid="{00000000-0005-0000-0000-000012020000}"/>
    <cellStyle name="_CurrencySpace_AY Land Cash Flow 4-3-07" xfId="5386" xr:uid="{00000000-0005-0000-0000-000013020000}"/>
    <cellStyle name="_CurrencySpace_AY Land Cash Flow 4-4-07" xfId="5389" xr:uid="{00000000-0005-0000-0000-000014020000}"/>
    <cellStyle name="_CurrencySpace_Balance Sheet" xfId="731" xr:uid="{00000000-0005-0000-0000-000015020000}"/>
    <cellStyle name="_CurrencySpace_Balance Sheet_ControlTables" xfId="732" xr:uid="{00000000-0005-0000-0000-000016020000}"/>
    <cellStyle name="_CurrencySpace_Balance Sheet_ControlTablesI" xfId="733" xr:uid="{00000000-0005-0000-0000-000017020000}"/>
    <cellStyle name="_CurrencySpace_Balance Sheet_DB_Eye" xfId="734" xr:uid="{00000000-0005-0000-0000-000018020000}"/>
    <cellStyle name="_CurrencySpace_Balance Sheet_Exec Summary" xfId="735" xr:uid="{00000000-0005-0000-0000-000019020000}"/>
    <cellStyle name="_CurrencySpace_Balance Sheet_Exec Summary_1" xfId="736" xr:uid="{00000000-0005-0000-0000-00001A020000}"/>
    <cellStyle name="_CurrencySpace_Balance Sheet_Sheet1" xfId="737" xr:uid="{00000000-0005-0000-0000-00001B020000}"/>
    <cellStyle name="_CurrencySpace_bdmeetingmarch2005 (3)" xfId="5391" xr:uid="{00000000-0005-0000-0000-00001C020000}"/>
    <cellStyle name="_CurrencySpace_bdmeetingmarch2005 (3)_Lieberman Reconciliation " xfId="5392" xr:uid="{00000000-0005-0000-0000-00001D020000}"/>
    <cellStyle name="_CurrencySpace_bdmeetingmarch2005 (3)_Lieberman Reconciliation _Nets and Arena Financials 4-17-06 dsit to NBA" xfId="5394" xr:uid="{00000000-0005-0000-0000-00001E020000}"/>
    <cellStyle name="_CurrencySpace_bdmeetingmarch2005 (3)_Nets Pro Forma Financials 4-14-05 Lieberman" xfId="5396" xr:uid="{00000000-0005-0000-0000-00001F020000}"/>
    <cellStyle name="_CurrencySpace_bdmeetingmarch2005 (3)_Nets Pro Forma Financials 4-14-05 Lieberman_ESDC IRR II" xfId="5397" xr:uid="{00000000-0005-0000-0000-000020020000}"/>
    <cellStyle name="_CurrencySpace_bdmeetingmarch2005 (3)_Nets Pro Forma Financials 4-14-05 Lieberman_Infrastructure 07 08 29" xfId="5399" xr:uid="{00000000-0005-0000-0000-000021020000}"/>
    <cellStyle name="_CurrencySpace_bdmeetingmarch2005 (3)_Nets Pro Forma Financials 4-14-05 Lieberman_Nets and Arena Financials 4-17-06 dsit to NBA" xfId="5402" xr:uid="{00000000-0005-0000-0000-000022020000}"/>
    <cellStyle name="_CurrencySpace_bdmeetingmarch2005 (3)_Nets Pro Forma Financials 4-14-05 Lieberman_Nets Pro Forma Financials 10-30-06" xfId="5403" xr:uid="{00000000-0005-0000-0000-000023020000}"/>
    <cellStyle name="_CurrencySpace_bdmeetingmarch2005 (3)_Nets Pro Forma Financials 4-14-05 Lieberman_Nets Pro Forma Financials 12-8-05" xfId="5405" xr:uid="{00000000-0005-0000-0000-000024020000}"/>
    <cellStyle name="_CurrencySpace_bdmeetingmarch2005 (3)_Nets Pro Forma Financials 4-14-05 Lieberman_Nets Pro Forma Financials 4-20-05 ESDC vII" xfId="5406" xr:uid="{00000000-0005-0000-0000-000025020000}"/>
    <cellStyle name="_CurrencySpace_bdmeetingmarch2005 (3)_Nets Pro Forma Financials 4-14-05 Lieberman_Nets Pro Forma Financials 4-20-05 ESDC vIII Rec to April 06 vX" xfId="5409" xr:uid="{00000000-0005-0000-0000-000026020000}"/>
    <cellStyle name="_CurrencySpace_bdmeetingmarch2005 (3)_Nets Pro Forma Financials 4-14-05 Lieberman_SAC exhibit (9-17-07)" xfId="5410" xr:uid="{00000000-0005-0000-0000-000027020000}"/>
    <cellStyle name="_CurrencySpace_bdmeetingmarch2005 (3)_Nets Pro Forma Financials 4-14-05 Lieberman_Yard Budget 11-1-2007" xfId="5411" xr:uid="{00000000-0005-0000-0000-000028020000}"/>
    <cellStyle name="_CurrencySpace_Bolt AVP" xfId="738" xr:uid="{00000000-0005-0000-0000-000029020000}"/>
    <cellStyle name="_CurrencySpace_Bolt AVP 2" xfId="739" xr:uid="{00000000-0005-0000-0000-00002A020000}"/>
    <cellStyle name="_CurrencySpace_Bolt AVP 2 2" xfId="740" xr:uid="{00000000-0005-0000-0000-00002B020000}"/>
    <cellStyle name="_CurrencySpace_Bolt AVP 2 2 2" xfId="741" xr:uid="{00000000-0005-0000-0000-00002C020000}"/>
    <cellStyle name="_CurrencySpace_Bolt AVP 2 3" xfId="742" xr:uid="{00000000-0005-0000-0000-00002D020000}"/>
    <cellStyle name="_CurrencySpace_Bolt AVP 3" xfId="743" xr:uid="{00000000-0005-0000-0000-00002E020000}"/>
    <cellStyle name="_CurrencySpace_Bolt Financial Performance" xfId="744" xr:uid="{00000000-0005-0000-0000-00002F020000}"/>
    <cellStyle name="_CurrencySpace_Bolt Financial Performance 2" xfId="745" xr:uid="{00000000-0005-0000-0000-000030020000}"/>
    <cellStyle name="_CurrencySpace_Bolt Financial Performance 2 2" xfId="746" xr:uid="{00000000-0005-0000-0000-000031020000}"/>
    <cellStyle name="_CurrencySpace_Bolt Financial Performance 2 2 2" xfId="747" xr:uid="{00000000-0005-0000-0000-000032020000}"/>
    <cellStyle name="_CurrencySpace_Bolt Financial Performance 2 3" xfId="748" xr:uid="{00000000-0005-0000-0000-000033020000}"/>
    <cellStyle name="_CurrencySpace_Bolt Financial Performance 3" xfId="749" xr:uid="{00000000-0005-0000-0000-000034020000}"/>
    <cellStyle name="_CurrencySpace_Bolt Financials and Comps" xfId="750" xr:uid="{00000000-0005-0000-0000-000035020000}"/>
    <cellStyle name="_CurrencySpace_Bolt Financials and Comps 2" xfId="751" xr:uid="{00000000-0005-0000-0000-000036020000}"/>
    <cellStyle name="_CurrencySpace_Bolt Financials and Comps 2 2" xfId="752" xr:uid="{00000000-0005-0000-0000-000037020000}"/>
    <cellStyle name="_CurrencySpace_Bolt Financials and Comps 2 2 2" xfId="753" xr:uid="{00000000-0005-0000-0000-000038020000}"/>
    <cellStyle name="_CurrencySpace_Bolt Financials and Comps 2 3" xfId="754" xr:uid="{00000000-0005-0000-0000-000039020000}"/>
    <cellStyle name="_CurrencySpace_Bolt Financials and Comps 3" xfId="755" xr:uid="{00000000-0005-0000-0000-00003A020000}"/>
    <cellStyle name="_CurrencySpace_Book1" xfId="756" xr:uid="{00000000-0005-0000-0000-00003B020000}"/>
    <cellStyle name="_CurrencySpace_Book1 2" xfId="757" xr:uid="{00000000-0005-0000-0000-00003C020000}"/>
    <cellStyle name="_CurrencySpace_Book1 2 2" xfId="758" xr:uid="{00000000-0005-0000-0000-00003D020000}"/>
    <cellStyle name="_CurrencySpace_Book1 2 2 2" xfId="759" xr:uid="{00000000-0005-0000-0000-00003E020000}"/>
    <cellStyle name="_CurrencySpace_Book1 2 3" xfId="760" xr:uid="{00000000-0005-0000-0000-00003F020000}"/>
    <cellStyle name="_CurrencySpace_Book1 3" xfId="761" xr:uid="{00000000-0005-0000-0000-000040020000}"/>
    <cellStyle name="_CurrencySpace_Book1_1" xfId="762" xr:uid="{00000000-0005-0000-0000-000041020000}"/>
    <cellStyle name="_CurrencySpace_Book1_1 2" xfId="763" xr:uid="{00000000-0005-0000-0000-000042020000}"/>
    <cellStyle name="_CurrencySpace_Book1_1 2 2" xfId="764" xr:uid="{00000000-0005-0000-0000-000043020000}"/>
    <cellStyle name="_CurrencySpace_Book1_1 2 2 2" xfId="765" xr:uid="{00000000-0005-0000-0000-000044020000}"/>
    <cellStyle name="_CurrencySpace_Book1_1 2 3" xfId="766" xr:uid="{00000000-0005-0000-0000-000045020000}"/>
    <cellStyle name="_CurrencySpace_Book1_1 3" xfId="767" xr:uid="{00000000-0005-0000-0000-000046020000}"/>
    <cellStyle name="_CurrencySpace_Book2" xfId="5412" xr:uid="{00000000-0005-0000-0000-000047020000}"/>
    <cellStyle name="_CurrencySpace_Budget Expense Summary 05_13_05 FCRC" xfId="5415" xr:uid="{00000000-0005-0000-0000-000048020000}"/>
    <cellStyle name="_CurrencySpace_Budget Expense Summary 05_13_05 FCRC_Nets and Arena Financials 4-17-06 dsit to NBA" xfId="5417" xr:uid="{00000000-0005-0000-0000-000049020000}"/>
    <cellStyle name="_CurrencySpace_Capital Call Exhibits_7-18-06 Model (final)_fce%" xfId="5420" xr:uid="{00000000-0005-0000-0000-00004A020000}"/>
    <cellStyle name="_CurrencySpace_Complex Merger Plans" xfId="768" xr:uid="{00000000-0005-0000-0000-00004B020000}"/>
    <cellStyle name="_CurrencySpace_Complex Merger Plans 2" xfId="769" xr:uid="{00000000-0005-0000-0000-00004C020000}"/>
    <cellStyle name="_CurrencySpace_Complex Merger Plans 2 2" xfId="770" xr:uid="{00000000-0005-0000-0000-00004D020000}"/>
    <cellStyle name="_CurrencySpace_Complex Merger Plans 2 2 2" xfId="771" xr:uid="{00000000-0005-0000-0000-00004E020000}"/>
    <cellStyle name="_CurrencySpace_Complex Merger Plans 2 3" xfId="772" xr:uid="{00000000-0005-0000-0000-00004F020000}"/>
    <cellStyle name="_CurrencySpace_Complex Merger Plans 3" xfId="773" xr:uid="{00000000-0005-0000-0000-000050020000}"/>
    <cellStyle name="_CurrencySpace_contribution_analysis" xfId="774" xr:uid="{00000000-0005-0000-0000-000051020000}"/>
    <cellStyle name="_CurrencySpace_ControlTables" xfId="775" xr:uid="{00000000-0005-0000-0000-000052020000}"/>
    <cellStyle name="_CurrencySpace_ControlTablesI" xfId="776" xr:uid="{00000000-0005-0000-0000-000053020000}"/>
    <cellStyle name="_CurrencySpace_Copy of Initial budgets200506Revised8" xfId="5421" xr:uid="{00000000-0005-0000-0000-000054020000}"/>
    <cellStyle name="_CurrencySpace_Copy of Initial budgets200506Revised8_Nets and Arena Financials 4-17-06 dsit to NBA" xfId="5423" xr:uid="{00000000-0005-0000-0000-000055020000}"/>
    <cellStyle name="_CurrencySpace_Criteria" xfId="777" xr:uid="{00000000-0005-0000-0000-000056020000}"/>
    <cellStyle name="_CurrencySpace_Criteria_ControlTables" xfId="778" xr:uid="{00000000-0005-0000-0000-000057020000}"/>
    <cellStyle name="_CurrencySpace_Criteria_ControlTablesI" xfId="779" xr:uid="{00000000-0005-0000-0000-000058020000}"/>
    <cellStyle name="_CurrencySpace_Criteria_DB_Eye" xfId="780" xr:uid="{00000000-0005-0000-0000-000059020000}"/>
    <cellStyle name="_CurrencySpace_Criteria_Exec Summary" xfId="781" xr:uid="{00000000-0005-0000-0000-00005A020000}"/>
    <cellStyle name="_CurrencySpace_Criteria_Exec Summary_1" xfId="782" xr:uid="{00000000-0005-0000-0000-00005B020000}"/>
    <cellStyle name="_CurrencySpace_Criteria_Sheet1" xfId="783" xr:uid="{00000000-0005-0000-0000-00005C020000}"/>
    <cellStyle name="_CurrencySpace_Data Tape" xfId="784" xr:uid="{00000000-0005-0000-0000-00005D020000}"/>
    <cellStyle name="_CurrencySpace_Data Tape_ControlTables" xfId="785" xr:uid="{00000000-0005-0000-0000-00005E020000}"/>
    <cellStyle name="_CurrencySpace_Data Tape_ControlTablesI" xfId="786" xr:uid="{00000000-0005-0000-0000-00005F020000}"/>
    <cellStyle name="_CurrencySpace_Data Tape_DB_Eye" xfId="787" xr:uid="{00000000-0005-0000-0000-000060020000}"/>
    <cellStyle name="_CurrencySpace_Data Tape_Exec Summary" xfId="788" xr:uid="{00000000-0005-0000-0000-000061020000}"/>
    <cellStyle name="_CurrencySpace_Data Tape_Exec Summary_1" xfId="789" xr:uid="{00000000-0005-0000-0000-000062020000}"/>
    <cellStyle name="_CurrencySpace_Data Tape_Sheet1" xfId="790" xr:uid="{00000000-0005-0000-0000-000063020000}"/>
    <cellStyle name="_CurrencySpace_Data_Tape" xfId="791" xr:uid="{00000000-0005-0000-0000-000064020000}"/>
    <cellStyle name="_CurrencySpace_DB_Eye" xfId="792" xr:uid="{00000000-0005-0000-0000-000065020000}"/>
    <cellStyle name="_CurrencySpace_DCF - Generic" xfId="793" xr:uid="{00000000-0005-0000-0000-000066020000}"/>
    <cellStyle name="_CurrencySpace_DCF - Generic 2" xfId="794" xr:uid="{00000000-0005-0000-0000-000067020000}"/>
    <cellStyle name="_CurrencySpace_DCF - Generic 2 2" xfId="795" xr:uid="{00000000-0005-0000-0000-000068020000}"/>
    <cellStyle name="_CurrencySpace_DCF - Generic 2 2 2" xfId="796" xr:uid="{00000000-0005-0000-0000-000069020000}"/>
    <cellStyle name="_CurrencySpace_DCF - Generic 2 3" xfId="797" xr:uid="{00000000-0005-0000-0000-00006A020000}"/>
    <cellStyle name="_CurrencySpace_DCF - Generic 3" xfId="798" xr:uid="{00000000-0005-0000-0000-00006B020000}"/>
    <cellStyle name="_CurrencySpace_Equity Summary 11-14-06 (no delay) final dist to EDC" xfId="5408" xr:uid="{00000000-0005-0000-0000-00006C020000}"/>
    <cellStyle name="_CurrencySpace_Exec Summary" xfId="799" xr:uid="{00000000-0005-0000-0000-00006D020000}"/>
    <cellStyle name="_CurrencySpace_Exec Summary_1" xfId="800" xr:uid="{00000000-0005-0000-0000-00006E020000}"/>
    <cellStyle name="_CurrencySpace_EyeChart" xfId="801" xr:uid="{00000000-0005-0000-0000-00006F020000}"/>
    <cellStyle name="_CurrencySpace_EyeChart 090503" xfId="802" xr:uid="{00000000-0005-0000-0000-000070020000}"/>
    <cellStyle name="_CurrencySpace_Final Draft Schedule of Guaranties 4-11-2007 rev1" xfId="5427" xr:uid="{00000000-0005-0000-0000-000071020000}"/>
    <cellStyle name="_CurrencySpace_Financials for LSG LSP EnCorp and Tufco" xfId="803" xr:uid="{00000000-0005-0000-0000-000072020000}"/>
    <cellStyle name="_CurrencySpace_Infrastructure 07 08 29" xfId="5431" xr:uid="{00000000-0005-0000-0000-000073020000}"/>
    <cellStyle name="_CurrencySpace_Infrastructure 11-22-06a" xfId="5433" xr:uid="{00000000-0005-0000-0000-000074020000}"/>
    <cellStyle name="_CurrencySpace_Infrastructure 11-26-06" xfId="5350" xr:uid="{00000000-0005-0000-0000-000075020000}"/>
    <cellStyle name="_CurrencySpace_Initial budgets200506Revised5 (4-26-05)" xfId="5398" xr:uid="{00000000-0005-0000-0000-000076020000}"/>
    <cellStyle name="_CurrencySpace_Initial budgets200506Revised5 (4-26-05)_Nets and Arena Financials 4-17-06 dsit to NBA" xfId="5434" xr:uid="{00000000-0005-0000-0000-000077020000}"/>
    <cellStyle name="_CurrencySpace_Input" xfId="804" xr:uid="{00000000-0005-0000-0000-000078020000}"/>
    <cellStyle name="_CurrencySpace_Input_1" xfId="805" xr:uid="{00000000-0005-0000-0000-000079020000}"/>
    <cellStyle name="_CurrencySpace_Input_ControlTables" xfId="806" xr:uid="{00000000-0005-0000-0000-00007A020000}"/>
    <cellStyle name="_CurrencySpace_Input_ControlTablesI" xfId="807" xr:uid="{00000000-0005-0000-0000-00007B020000}"/>
    <cellStyle name="_CurrencySpace_Input_DB_Eye" xfId="808" xr:uid="{00000000-0005-0000-0000-00007C020000}"/>
    <cellStyle name="_CurrencySpace_Input_Exec Summary" xfId="809" xr:uid="{00000000-0005-0000-0000-00007D020000}"/>
    <cellStyle name="_CurrencySpace_Input_Exec Summary_1" xfId="810" xr:uid="{00000000-0005-0000-0000-00007E020000}"/>
    <cellStyle name="_CurrencySpace_Input_Sheet1" xfId="811" xr:uid="{00000000-0005-0000-0000-00007F020000}"/>
    <cellStyle name="_CurrencySpace_Merger Plans v 2" xfId="812" xr:uid="{00000000-0005-0000-0000-000080020000}"/>
    <cellStyle name="_CurrencySpace_Merger Plans v 2 2" xfId="813" xr:uid="{00000000-0005-0000-0000-000081020000}"/>
    <cellStyle name="_CurrencySpace_Merger Plans v 2 2 2" xfId="814" xr:uid="{00000000-0005-0000-0000-000082020000}"/>
    <cellStyle name="_CurrencySpace_Merger Plans v 2 2 2 2" xfId="815" xr:uid="{00000000-0005-0000-0000-000083020000}"/>
    <cellStyle name="_CurrencySpace_Merger Plans v 2 2 3" xfId="816" xr:uid="{00000000-0005-0000-0000-000084020000}"/>
    <cellStyle name="_CurrencySpace_Merger Plans v 2 3" xfId="817" xr:uid="{00000000-0005-0000-0000-000085020000}"/>
    <cellStyle name="_CurrencySpace_Pools" xfId="818" xr:uid="{00000000-0005-0000-0000-000086020000}"/>
    <cellStyle name="_CurrencySpace_Pricing" xfId="819" xr:uid="{00000000-0005-0000-0000-000087020000}"/>
    <cellStyle name="_CurrencySpace_SAC Summary (11-29-06)" xfId="5435" xr:uid="{00000000-0005-0000-0000-000088020000}"/>
    <cellStyle name="_CurrencySpace_Senario Input Assumptions" xfId="820" xr:uid="{00000000-0005-0000-0000-000089020000}"/>
    <cellStyle name="_CurrencySpace_Senario Input Assumptions_ControlTables" xfId="821" xr:uid="{00000000-0005-0000-0000-00008A020000}"/>
    <cellStyle name="_CurrencySpace_Senario Input Assumptions_ControlTablesI" xfId="822" xr:uid="{00000000-0005-0000-0000-00008B020000}"/>
    <cellStyle name="_CurrencySpace_Senario Input Assumptions_DB_Eye" xfId="823" xr:uid="{00000000-0005-0000-0000-00008C020000}"/>
    <cellStyle name="_CurrencySpace_Senario Input Assumptions_Exec Summary" xfId="824" xr:uid="{00000000-0005-0000-0000-00008D020000}"/>
    <cellStyle name="_CurrencySpace_Senario Input Assumptions_Exec Summary_1" xfId="825" xr:uid="{00000000-0005-0000-0000-00008E020000}"/>
    <cellStyle name="_CurrencySpace_Senario Input Assumptions_Sheet1" xfId="826" xr:uid="{00000000-0005-0000-0000-00008F020000}"/>
    <cellStyle name="_CurrencySpace_Sheet1" xfId="827" xr:uid="{00000000-0005-0000-0000-000090020000}"/>
    <cellStyle name="_CurrencySpace_Sheet1_1" xfId="828" xr:uid="{00000000-0005-0000-0000-000091020000}"/>
    <cellStyle name="_CurrencySpace_Sheet1_Balance Sheet" xfId="829" xr:uid="{00000000-0005-0000-0000-000092020000}"/>
    <cellStyle name="_CurrencySpace_Sheet1_Criteria" xfId="830" xr:uid="{00000000-0005-0000-0000-000093020000}"/>
    <cellStyle name="_CurrencySpace_Sheet1_Data Tape" xfId="831" xr:uid="{00000000-0005-0000-0000-000094020000}"/>
    <cellStyle name="_CurrencySpace_Sheet1_Data_Tape" xfId="832" xr:uid="{00000000-0005-0000-0000-000095020000}"/>
    <cellStyle name="_CurrencySpace_Sheet1_Data_Tape_ControlTables" xfId="833" xr:uid="{00000000-0005-0000-0000-000096020000}"/>
    <cellStyle name="_CurrencySpace_Sheet1_Data_Tape_ControlTablesI" xfId="834" xr:uid="{00000000-0005-0000-0000-000097020000}"/>
    <cellStyle name="_CurrencySpace_Sheet1_Data_Tape_DB_Eye" xfId="835" xr:uid="{00000000-0005-0000-0000-000098020000}"/>
    <cellStyle name="_CurrencySpace_Sheet1_Data_Tape_Exec Summary" xfId="836" xr:uid="{00000000-0005-0000-0000-000099020000}"/>
    <cellStyle name="_CurrencySpace_Sheet1_Data_Tape_Exec Summary_1" xfId="837" xr:uid="{00000000-0005-0000-0000-00009A020000}"/>
    <cellStyle name="_CurrencySpace_Sheet1_Data_Tape_Sheet1" xfId="838" xr:uid="{00000000-0005-0000-0000-00009B020000}"/>
    <cellStyle name="_CurrencySpace_Sheet1_Input" xfId="839" xr:uid="{00000000-0005-0000-0000-00009C020000}"/>
    <cellStyle name="_CurrencySpace_Sheet1_Pools" xfId="840" xr:uid="{00000000-0005-0000-0000-00009D020000}"/>
    <cellStyle name="_CurrencySpace_Sheet1_Pools_ControlTables" xfId="841" xr:uid="{00000000-0005-0000-0000-00009E020000}"/>
    <cellStyle name="_CurrencySpace_Sheet1_Pools_ControlTablesI" xfId="842" xr:uid="{00000000-0005-0000-0000-00009F020000}"/>
    <cellStyle name="_CurrencySpace_Sheet1_Pools_DB_Eye" xfId="843" xr:uid="{00000000-0005-0000-0000-0000A0020000}"/>
    <cellStyle name="_CurrencySpace_Sheet1_Pools_Exec Summary" xfId="844" xr:uid="{00000000-0005-0000-0000-0000A1020000}"/>
    <cellStyle name="_CurrencySpace_Sheet1_Pools_Exec Summary_1" xfId="845" xr:uid="{00000000-0005-0000-0000-0000A2020000}"/>
    <cellStyle name="_CurrencySpace_Sheet1_Pools_Sheet1" xfId="846" xr:uid="{00000000-0005-0000-0000-0000A3020000}"/>
    <cellStyle name="_CurrencySpace_Sheet1_Senario Input Assumptions" xfId="847" xr:uid="{00000000-0005-0000-0000-0000A4020000}"/>
    <cellStyle name="_CurrencySpace_Sheet1_Structure Model_2003_test2" xfId="848" xr:uid="{00000000-0005-0000-0000-0000A5020000}"/>
    <cellStyle name="_CurrencySpace_Sheet2" xfId="849" xr:uid="{00000000-0005-0000-0000-0000A6020000}"/>
    <cellStyle name="_CurrencySpace_Sheet3" xfId="850" xr:uid="{00000000-0005-0000-0000-0000A7020000}"/>
    <cellStyle name="_CurrencySpace_Sheet4" xfId="851" xr:uid="{00000000-0005-0000-0000-0000A8020000}"/>
    <cellStyle name="_CurrencySpace_Structure Model_2003_test2" xfId="852" xr:uid="{00000000-0005-0000-0000-0000A9020000}"/>
    <cellStyle name="_CurrencySpace_Structure Model_2003_test2_ControlTables" xfId="853" xr:uid="{00000000-0005-0000-0000-0000AA020000}"/>
    <cellStyle name="_CurrencySpace_Structure Model_2003_test2_ControlTablesI" xfId="854" xr:uid="{00000000-0005-0000-0000-0000AB020000}"/>
    <cellStyle name="_CurrencySpace_Structure Model_2003_test2_DB_Eye" xfId="855" xr:uid="{00000000-0005-0000-0000-0000AC020000}"/>
    <cellStyle name="_CurrencySpace_Structure Model_2003_test2_Exec Summary" xfId="856" xr:uid="{00000000-0005-0000-0000-0000AD020000}"/>
    <cellStyle name="_CurrencySpace_Structure Model_2003_test2_Exec Summary_1" xfId="857" xr:uid="{00000000-0005-0000-0000-0000AE020000}"/>
    <cellStyle name="_CurrencySpace_Structure Model_2003_test2_Sheet1" xfId="858" xr:uid="{00000000-0005-0000-0000-0000AF020000}"/>
    <cellStyle name="_CurrencySpace_Tab 5d - Infrastructure cost summary 4-6-2007 jl" xfId="5436" xr:uid="{00000000-0005-0000-0000-0000B0020000}"/>
    <cellStyle name="_CurrencySpace_Y Land Cash Flow 3-19-07_RECLASS mobil pushed" xfId="5438" xr:uid="{00000000-0005-0000-0000-0000B1020000}"/>
    <cellStyle name="_CurrencySpace_Yard Budget 11-1-2007" xfId="5439" xr:uid="{00000000-0005-0000-0000-0000B2020000}"/>
    <cellStyle name="_Euro" xfId="859" xr:uid="{00000000-0005-0000-0000-0000B3020000}"/>
    <cellStyle name="_Euro 2" xfId="860" xr:uid="{00000000-0005-0000-0000-0000B4020000}"/>
    <cellStyle name="_Euro 2 2" xfId="861" xr:uid="{00000000-0005-0000-0000-0000B5020000}"/>
    <cellStyle name="_Euro 2 2 2" xfId="862" xr:uid="{00000000-0005-0000-0000-0000B6020000}"/>
    <cellStyle name="_Euro 2 3" xfId="863" xr:uid="{00000000-0005-0000-0000-0000B7020000}"/>
    <cellStyle name="_Euro 3" xfId="5342" xr:uid="{00000000-0005-0000-0000-0000B8020000}"/>
    <cellStyle name="_Euro_ControlTables" xfId="864" xr:uid="{00000000-0005-0000-0000-0000B9020000}"/>
    <cellStyle name="_Euro_ControlTablesI" xfId="865" xr:uid="{00000000-0005-0000-0000-0000BA020000}"/>
    <cellStyle name="_Euro_DB_Eye" xfId="866" xr:uid="{00000000-0005-0000-0000-0000BB020000}"/>
    <cellStyle name="_Euro_Exec Summary" xfId="867" xr:uid="{00000000-0005-0000-0000-0000BC020000}"/>
    <cellStyle name="_Euro_Sheet1" xfId="868" xr:uid="{00000000-0005-0000-0000-0000BD020000}"/>
    <cellStyle name="_f_ô[0]_pldt" xfId="229" xr:uid="{00000000-0005-0000-0000-0000BE020000}"/>
    <cellStyle name="_f_ô[0]_pldt 10" xfId="188" xr:uid="{00000000-0005-0000-0000-0000BF020000}"/>
    <cellStyle name="_f_ô[0]_pldt 10 2" xfId="212" xr:uid="{00000000-0005-0000-0000-0000C0020000}"/>
    <cellStyle name="_f_ô[0]_pldt 10 2 2" xfId="211" xr:uid="{00000000-0005-0000-0000-0000C1020000}"/>
    <cellStyle name="_f_ô[0]_pldt 10 2 3" xfId="210" xr:uid="{00000000-0005-0000-0000-0000C2020000}"/>
    <cellStyle name="_f_ô[0]_pldt 10 3" xfId="209" xr:uid="{00000000-0005-0000-0000-0000C3020000}"/>
    <cellStyle name="_f_ô[0]_pldt 10 4" xfId="239" xr:uid="{00000000-0005-0000-0000-0000C4020000}"/>
    <cellStyle name="_f_ô[0]_pldt 11" xfId="236" xr:uid="{00000000-0005-0000-0000-0000C5020000}"/>
    <cellStyle name="_f_ô[0]_pldt 11 2" xfId="225" xr:uid="{00000000-0005-0000-0000-0000C6020000}"/>
    <cellStyle name="_f_ô[0]_pldt 11 2 2" xfId="223" xr:uid="{00000000-0005-0000-0000-0000C7020000}"/>
    <cellStyle name="_f_ô[0]_pldt 11 2 3" xfId="208" xr:uid="{00000000-0005-0000-0000-0000C8020000}"/>
    <cellStyle name="_f_ô[0]_pldt 11 3" xfId="232" xr:uid="{00000000-0005-0000-0000-0000C9020000}"/>
    <cellStyle name="_f_ô[0]_pldt 11 4" xfId="207" xr:uid="{00000000-0005-0000-0000-0000CA020000}"/>
    <cellStyle name="_f_ô[0]_pldt 12" xfId="186" xr:uid="{00000000-0005-0000-0000-0000CB020000}"/>
    <cellStyle name="_f_ô[0]_pldt 12 2" xfId="206" xr:uid="{00000000-0005-0000-0000-0000CC020000}"/>
    <cellStyle name="_f_ô[0]_pldt 12 2 2" xfId="226" xr:uid="{00000000-0005-0000-0000-0000CD020000}"/>
    <cellStyle name="_f_ô[0]_pldt 12 2 3" xfId="231" xr:uid="{00000000-0005-0000-0000-0000CE020000}"/>
    <cellStyle name="_f_ô[0]_pldt 12 3" xfId="187" xr:uid="{00000000-0005-0000-0000-0000CF020000}"/>
    <cellStyle name="_f_ô[0]_pldt 12 4" xfId="230" xr:uid="{00000000-0005-0000-0000-0000D0020000}"/>
    <cellStyle name="_f_ô[0]_pldt 13" xfId="205" xr:uid="{00000000-0005-0000-0000-0000D1020000}"/>
    <cellStyle name="_f_ô[0]_pldt 13 2" xfId="204" xr:uid="{00000000-0005-0000-0000-0000D2020000}"/>
    <cellStyle name="_f_ô[0]_pldt 13 2 2" xfId="203" xr:uid="{00000000-0005-0000-0000-0000D3020000}"/>
    <cellStyle name="_f_ô[0]_pldt 13 2 3" xfId="202" xr:uid="{00000000-0005-0000-0000-0000D4020000}"/>
    <cellStyle name="_f_ô[0]_pldt 13 3" xfId="201" xr:uid="{00000000-0005-0000-0000-0000D5020000}"/>
    <cellStyle name="_f_ô[0]_pldt 13 4" xfId="200" xr:uid="{00000000-0005-0000-0000-0000D6020000}"/>
    <cellStyle name="_f_ô[0]_pldt 14" xfId="199" xr:uid="{00000000-0005-0000-0000-0000D7020000}"/>
    <cellStyle name="_f_ô[0]_pldt 14 2" xfId="198" xr:uid="{00000000-0005-0000-0000-0000D8020000}"/>
    <cellStyle name="_f_ô[0]_pldt 14 2 2" xfId="197" xr:uid="{00000000-0005-0000-0000-0000D9020000}"/>
    <cellStyle name="_f_ô[0]_pldt 14 2 3" xfId="196" xr:uid="{00000000-0005-0000-0000-0000DA020000}"/>
    <cellStyle name="_f_ô[0]_pldt 14 3" xfId="194" xr:uid="{00000000-0005-0000-0000-0000DB020000}"/>
    <cellStyle name="_f_ô[0]_pldt 14 4" xfId="193" xr:uid="{00000000-0005-0000-0000-0000DC020000}"/>
    <cellStyle name="_f_ô[0]_pldt 15" xfId="224" xr:uid="{00000000-0005-0000-0000-0000DD020000}"/>
    <cellStyle name="_f_ô[0]_pldt 15 2" xfId="221" xr:uid="{00000000-0005-0000-0000-0000DE020000}"/>
    <cellStyle name="_f_ô[0]_pldt 15 2 2" xfId="192" xr:uid="{00000000-0005-0000-0000-0000DF020000}"/>
    <cellStyle name="_f_ô[0]_pldt 15 2 3" xfId="191" xr:uid="{00000000-0005-0000-0000-0000E0020000}"/>
    <cellStyle name="_f_ô[0]_pldt 15 3" xfId="190" xr:uid="{00000000-0005-0000-0000-0000E1020000}"/>
    <cellStyle name="_f_ô[0]_pldt 15 4" xfId="3993" xr:uid="{00000000-0005-0000-0000-0000E2020000}"/>
    <cellStyle name="_f_ô[0]_pldt 16" xfId="3994" xr:uid="{00000000-0005-0000-0000-0000E3020000}"/>
    <cellStyle name="_f_ô[0]_pldt 16 2" xfId="3995" xr:uid="{00000000-0005-0000-0000-0000E4020000}"/>
    <cellStyle name="_f_ô[0]_pldt 16 3" xfId="3996" xr:uid="{00000000-0005-0000-0000-0000E5020000}"/>
    <cellStyle name="_f_ô[0]_pldt 16 4" xfId="3997" xr:uid="{00000000-0005-0000-0000-0000E6020000}"/>
    <cellStyle name="_f_ô[0]_pldt 17" xfId="3998" xr:uid="{00000000-0005-0000-0000-0000E7020000}"/>
    <cellStyle name="_f_ô[0]_pldt 17 2" xfId="3999" xr:uid="{00000000-0005-0000-0000-0000E8020000}"/>
    <cellStyle name="_f_ô[0]_pldt 17 3" xfId="4000" xr:uid="{00000000-0005-0000-0000-0000E9020000}"/>
    <cellStyle name="_f_ô[0]_pldt 17 4" xfId="4001" xr:uid="{00000000-0005-0000-0000-0000EA020000}"/>
    <cellStyle name="_f_ô[0]_pldt 18" xfId="4002" xr:uid="{00000000-0005-0000-0000-0000EB020000}"/>
    <cellStyle name="_f_ô[0]_pldt 19" xfId="4003" xr:uid="{00000000-0005-0000-0000-0000EC020000}"/>
    <cellStyle name="_f_ô[0]_pldt 2" xfId="4004" xr:uid="{00000000-0005-0000-0000-0000ED020000}"/>
    <cellStyle name="_f_ô[0]_pldt 2 10" xfId="4005" xr:uid="{00000000-0005-0000-0000-0000EE020000}"/>
    <cellStyle name="_f_ô[0]_pldt 2 11" xfId="4006" xr:uid="{00000000-0005-0000-0000-0000EF020000}"/>
    <cellStyle name="_f_ô[0]_pldt 2 12" xfId="4007" xr:uid="{00000000-0005-0000-0000-0000F0020000}"/>
    <cellStyle name="_f_ô[0]_pldt 2 13" xfId="4008" xr:uid="{00000000-0005-0000-0000-0000F1020000}"/>
    <cellStyle name="_f_ô[0]_pldt 2 14" xfId="4009" xr:uid="{00000000-0005-0000-0000-0000F2020000}"/>
    <cellStyle name="_f_ô[0]_pldt 2 15" xfId="4010" xr:uid="{00000000-0005-0000-0000-0000F3020000}"/>
    <cellStyle name="_f_ô[0]_pldt 2 16" xfId="4011" xr:uid="{00000000-0005-0000-0000-0000F4020000}"/>
    <cellStyle name="_f_ô[0]_pldt 2 2" xfId="4012" xr:uid="{00000000-0005-0000-0000-0000F5020000}"/>
    <cellStyle name="_f_ô[0]_pldt 2 2 2" xfId="4013" xr:uid="{00000000-0005-0000-0000-0000F6020000}"/>
    <cellStyle name="_f_ô[0]_pldt 2 2 3" xfId="4014" xr:uid="{00000000-0005-0000-0000-0000F7020000}"/>
    <cellStyle name="_f_ô[0]_pldt 2 2 4" xfId="4015" xr:uid="{00000000-0005-0000-0000-0000F8020000}"/>
    <cellStyle name="_f_ô[0]_pldt 2 3" xfId="4016" xr:uid="{00000000-0005-0000-0000-0000F9020000}"/>
    <cellStyle name="_f_ô[0]_pldt 2 3 2" xfId="4017" xr:uid="{00000000-0005-0000-0000-0000FA020000}"/>
    <cellStyle name="_f_ô[0]_pldt 2 3 3" xfId="4018" xr:uid="{00000000-0005-0000-0000-0000FB020000}"/>
    <cellStyle name="_f_ô[0]_pldt 2 4" xfId="4019" xr:uid="{00000000-0005-0000-0000-0000FC020000}"/>
    <cellStyle name="_f_ô[0]_pldt 2 4 2" xfId="4020" xr:uid="{00000000-0005-0000-0000-0000FD020000}"/>
    <cellStyle name="_f_ô[0]_pldt 2 5" xfId="4021" xr:uid="{00000000-0005-0000-0000-0000FE020000}"/>
    <cellStyle name="_f_ô[0]_pldt 2 5 2" xfId="4022" xr:uid="{00000000-0005-0000-0000-0000FF020000}"/>
    <cellStyle name="_f_ô[0]_pldt 2 6" xfId="4023" xr:uid="{00000000-0005-0000-0000-000000030000}"/>
    <cellStyle name="_f_ô[0]_pldt 2 7" xfId="4024" xr:uid="{00000000-0005-0000-0000-000001030000}"/>
    <cellStyle name="_f_ô[0]_pldt 2 8" xfId="4025" xr:uid="{00000000-0005-0000-0000-000002030000}"/>
    <cellStyle name="_f_ô[0]_pldt 2 9" xfId="4026" xr:uid="{00000000-0005-0000-0000-000003030000}"/>
    <cellStyle name="_f_ô[0]_pldt 20" xfId="4027" xr:uid="{00000000-0005-0000-0000-000004030000}"/>
    <cellStyle name="_f_ô[0]_pldt 21" xfId="4028" xr:uid="{00000000-0005-0000-0000-000005030000}"/>
    <cellStyle name="_f_ô[0]_pldt 22" xfId="4029" xr:uid="{00000000-0005-0000-0000-000006030000}"/>
    <cellStyle name="_f_ô[0]_pldt 23" xfId="4030" xr:uid="{00000000-0005-0000-0000-000007030000}"/>
    <cellStyle name="_f_ô[0]_pldt 24" xfId="4031" xr:uid="{00000000-0005-0000-0000-000008030000}"/>
    <cellStyle name="_f_ô[0]_pldt 3" xfId="4032" xr:uid="{00000000-0005-0000-0000-000009030000}"/>
    <cellStyle name="_f_ô[0]_pldt 3 2" xfId="4033" xr:uid="{00000000-0005-0000-0000-00000A030000}"/>
    <cellStyle name="_f_ô[0]_pldt 3 2 2" xfId="4034" xr:uid="{00000000-0005-0000-0000-00000B030000}"/>
    <cellStyle name="_f_ô[0]_pldt 3 2 3" xfId="4035" xr:uid="{00000000-0005-0000-0000-00000C030000}"/>
    <cellStyle name="_f_ô[0]_pldt 3 2 4" xfId="4036" xr:uid="{00000000-0005-0000-0000-00000D030000}"/>
    <cellStyle name="_f_ô[0]_pldt 3 3" xfId="4037" xr:uid="{00000000-0005-0000-0000-00000E030000}"/>
    <cellStyle name="_f_ô[0]_pldt 3 4" xfId="4038" xr:uid="{00000000-0005-0000-0000-00000F030000}"/>
    <cellStyle name="_f_ô[0]_pldt 3 5" xfId="4039" xr:uid="{00000000-0005-0000-0000-000010030000}"/>
    <cellStyle name="_f_ô[0]_pldt 4" xfId="4040" xr:uid="{00000000-0005-0000-0000-000011030000}"/>
    <cellStyle name="_f_ô[0]_pldt 4 2" xfId="4041" xr:uid="{00000000-0005-0000-0000-000012030000}"/>
    <cellStyle name="_f_ô[0]_pldt 4 2 2" xfId="4042" xr:uid="{00000000-0005-0000-0000-000013030000}"/>
    <cellStyle name="_f_ô[0]_pldt 4 2 3" xfId="4043" xr:uid="{00000000-0005-0000-0000-000014030000}"/>
    <cellStyle name="_f_ô[0]_pldt 4 2 4" xfId="4044" xr:uid="{00000000-0005-0000-0000-000015030000}"/>
    <cellStyle name="_f_ô[0]_pldt 4 3" xfId="4045" xr:uid="{00000000-0005-0000-0000-000016030000}"/>
    <cellStyle name="_f_ô[0]_pldt 4 4" xfId="4046" xr:uid="{00000000-0005-0000-0000-000017030000}"/>
    <cellStyle name="_f_ô[0]_pldt 5" xfId="4047" xr:uid="{00000000-0005-0000-0000-000018030000}"/>
    <cellStyle name="_f_ô[0]_pldt 5 2" xfId="4048" xr:uid="{00000000-0005-0000-0000-000019030000}"/>
    <cellStyle name="_f_ô[0]_pldt 5 2 2" xfId="4049" xr:uid="{00000000-0005-0000-0000-00001A030000}"/>
    <cellStyle name="_f_ô[0]_pldt 5 2 3" xfId="4050" xr:uid="{00000000-0005-0000-0000-00001B030000}"/>
    <cellStyle name="_f_ô[0]_pldt 5 3" xfId="4051" xr:uid="{00000000-0005-0000-0000-00001C030000}"/>
    <cellStyle name="_f_ô[0]_pldt 5 4" xfId="4052" xr:uid="{00000000-0005-0000-0000-00001D030000}"/>
    <cellStyle name="_f_ô[0]_pldt 5 5" xfId="4053" xr:uid="{00000000-0005-0000-0000-00001E030000}"/>
    <cellStyle name="_f_ô[0]_pldt 6" xfId="4054" xr:uid="{00000000-0005-0000-0000-00001F030000}"/>
    <cellStyle name="_f_ô[0]_pldt 6 2" xfId="4055" xr:uid="{00000000-0005-0000-0000-000020030000}"/>
    <cellStyle name="_f_ô[0]_pldt 6 2 2" xfId="4056" xr:uid="{00000000-0005-0000-0000-000021030000}"/>
    <cellStyle name="_f_ô[0]_pldt 6 2 3" xfId="4057" xr:uid="{00000000-0005-0000-0000-000022030000}"/>
    <cellStyle name="_f_ô[0]_pldt 6 3" xfId="4058" xr:uid="{00000000-0005-0000-0000-000023030000}"/>
    <cellStyle name="_f_ô[0]_pldt 6 4" xfId="4059" xr:uid="{00000000-0005-0000-0000-000024030000}"/>
    <cellStyle name="_f_ô[0]_pldt 6 5" xfId="4060" xr:uid="{00000000-0005-0000-0000-000025030000}"/>
    <cellStyle name="_f_ô[0]_pldt 7" xfId="4061" xr:uid="{00000000-0005-0000-0000-000026030000}"/>
    <cellStyle name="_f_ô[0]_pldt 7 2" xfId="4062" xr:uid="{00000000-0005-0000-0000-000027030000}"/>
    <cellStyle name="_f_ô[0]_pldt 7 3" xfId="4063" xr:uid="{00000000-0005-0000-0000-000028030000}"/>
    <cellStyle name="_f_ô[0]_pldt 7 4" xfId="4064" xr:uid="{00000000-0005-0000-0000-000029030000}"/>
    <cellStyle name="_f_ô[0]_pldt 8" xfId="4065" xr:uid="{00000000-0005-0000-0000-00002A030000}"/>
    <cellStyle name="_f_ô[0]_pldt 8 2" xfId="4066" xr:uid="{00000000-0005-0000-0000-00002B030000}"/>
    <cellStyle name="_f_ô[0]_pldt 8 3" xfId="4067" xr:uid="{00000000-0005-0000-0000-00002C030000}"/>
    <cellStyle name="_f_ô[0]_pldt 8 4" xfId="4068" xr:uid="{00000000-0005-0000-0000-00002D030000}"/>
    <cellStyle name="_f_ô[0]_pldt 9" xfId="4069" xr:uid="{00000000-0005-0000-0000-00002E030000}"/>
    <cellStyle name="_f_ô[0]_pldt 9 2" xfId="4070" xr:uid="{00000000-0005-0000-0000-00002F030000}"/>
    <cellStyle name="_f_ô[0]_pldt 9 3" xfId="4071" xr:uid="{00000000-0005-0000-0000-000030030000}"/>
    <cellStyle name="_f_ô[0]_pldt 9 4" xfId="4072" xr:uid="{00000000-0005-0000-0000-000031030000}"/>
    <cellStyle name="_f_ô_pldt" xfId="4073" xr:uid="{00000000-0005-0000-0000-000032030000}"/>
    <cellStyle name="_f_ô_pldt 10" xfId="4074" xr:uid="{00000000-0005-0000-0000-000033030000}"/>
    <cellStyle name="_f_ô_pldt 10 2" xfId="4075" xr:uid="{00000000-0005-0000-0000-000034030000}"/>
    <cellStyle name="_f_ô_pldt 10 2 2" xfId="4076" xr:uid="{00000000-0005-0000-0000-000035030000}"/>
    <cellStyle name="_f_ô_pldt 10 2 3" xfId="4077" xr:uid="{00000000-0005-0000-0000-000036030000}"/>
    <cellStyle name="_f_ô_pldt 10 3" xfId="4078" xr:uid="{00000000-0005-0000-0000-000037030000}"/>
    <cellStyle name="_f_ô_pldt 10 4" xfId="4079" xr:uid="{00000000-0005-0000-0000-000038030000}"/>
    <cellStyle name="_f_ô_pldt 11" xfId="4080" xr:uid="{00000000-0005-0000-0000-000039030000}"/>
    <cellStyle name="_f_ô_pldt 11 2" xfId="4081" xr:uid="{00000000-0005-0000-0000-00003A030000}"/>
    <cellStyle name="_f_ô_pldt 11 2 2" xfId="4082" xr:uid="{00000000-0005-0000-0000-00003B030000}"/>
    <cellStyle name="_f_ô_pldt 11 2 3" xfId="4083" xr:uid="{00000000-0005-0000-0000-00003C030000}"/>
    <cellStyle name="_f_ô_pldt 11 3" xfId="4084" xr:uid="{00000000-0005-0000-0000-00003D030000}"/>
    <cellStyle name="_f_ô_pldt 11 4" xfId="4085" xr:uid="{00000000-0005-0000-0000-00003E030000}"/>
    <cellStyle name="_f_ô_pldt 12" xfId="4086" xr:uid="{00000000-0005-0000-0000-00003F030000}"/>
    <cellStyle name="_f_ô_pldt 12 2" xfId="4087" xr:uid="{00000000-0005-0000-0000-000040030000}"/>
    <cellStyle name="_f_ô_pldt 12 2 2" xfId="4088" xr:uid="{00000000-0005-0000-0000-000041030000}"/>
    <cellStyle name="_f_ô_pldt 12 2 3" xfId="4089" xr:uid="{00000000-0005-0000-0000-000042030000}"/>
    <cellStyle name="_f_ô_pldt 12 3" xfId="4090" xr:uid="{00000000-0005-0000-0000-000043030000}"/>
    <cellStyle name="_f_ô_pldt 12 4" xfId="4091" xr:uid="{00000000-0005-0000-0000-000044030000}"/>
    <cellStyle name="_f_ô_pldt 13" xfId="4092" xr:uid="{00000000-0005-0000-0000-000045030000}"/>
    <cellStyle name="_f_ô_pldt 13 2" xfId="4093" xr:uid="{00000000-0005-0000-0000-000046030000}"/>
    <cellStyle name="_f_ô_pldt 13 2 2" xfId="4094" xr:uid="{00000000-0005-0000-0000-000047030000}"/>
    <cellStyle name="_f_ô_pldt 13 2 3" xfId="4095" xr:uid="{00000000-0005-0000-0000-000048030000}"/>
    <cellStyle name="_f_ô_pldt 13 3" xfId="4096" xr:uid="{00000000-0005-0000-0000-000049030000}"/>
    <cellStyle name="_f_ô_pldt 13 4" xfId="4097" xr:uid="{00000000-0005-0000-0000-00004A030000}"/>
    <cellStyle name="_f_ô_pldt 14" xfId="4098" xr:uid="{00000000-0005-0000-0000-00004B030000}"/>
    <cellStyle name="_f_ô_pldt 14 2" xfId="4099" xr:uid="{00000000-0005-0000-0000-00004C030000}"/>
    <cellStyle name="_f_ô_pldt 14 2 2" xfId="4100" xr:uid="{00000000-0005-0000-0000-00004D030000}"/>
    <cellStyle name="_f_ô_pldt 14 2 3" xfId="4101" xr:uid="{00000000-0005-0000-0000-00004E030000}"/>
    <cellStyle name="_f_ô_pldt 14 3" xfId="4102" xr:uid="{00000000-0005-0000-0000-00004F030000}"/>
    <cellStyle name="_f_ô_pldt 14 4" xfId="4103" xr:uid="{00000000-0005-0000-0000-000050030000}"/>
    <cellStyle name="_f_ô_pldt 15" xfId="4104" xr:uid="{00000000-0005-0000-0000-000051030000}"/>
    <cellStyle name="_f_ô_pldt 15 2" xfId="4105" xr:uid="{00000000-0005-0000-0000-000052030000}"/>
    <cellStyle name="_f_ô_pldt 15 2 2" xfId="4106" xr:uid="{00000000-0005-0000-0000-000053030000}"/>
    <cellStyle name="_f_ô_pldt 15 2 3" xfId="4107" xr:uid="{00000000-0005-0000-0000-000054030000}"/>
    <cellStyle name="_f_ô_pldt 15 3" xfId="4108" xr:uid="{00000000-0005-0000-0000-000055030000}"/>
    <cellStyle name="_f_ô_pldt 15 4" xfId="4109" xr:uid="{00000000-0005-0000-0000-000056030000}"/>
    <cellStyle name="_f_ô_pldt 16" xfId="4110" xr:uid="{00000000-0005-0000-0000-000057030000}"/>
    <cellStyle name="_f_ô_pldt 16 2" xfId="4111" xr:uid="{00000000-0005-0000-0000-000058030000}"/>
    <cellStyle name="_f_ô_pldt 16 3" xfId="4112" xr:uid="{00000000-0005-0000-0000-000059030000}"/>
    <cellStyle name="_f_ô_pldt 16 4" xfId="4113" xr:uid="{00000000-0005-0000-0000-00005A030000}"/>
    <cellStyle name="_f_ô_pldt 17" xfId="4114" xr:uid="{00000000-0005-0000-0000-00005B030000}"/>
    <cellStyle name="_f_ô_pldt 17 2" xfId="4115" xr:uid="{00000000-0005-0000-0000-00005C030000}"/>
    <cellStyle name="_f_ô_pldt 17 3" xfId="4116" xr:uid="{00000000-0005-0000-0000-00005D030000}"/>
    <cellStyle name="_f_ô_pldt 17 4" xfId="4117" xr:uid="{00000000-0005-0000-0000-00005E030000}"/>
    <cellStyle name="_f_ô_pldt 18" xfId="4118" xr:uid="{00000000-0005-0000-0000-00005F030000}"/>
    <cellStyle name="_f_ô_pldt 19" xfId="4119" xr:uid="{00000000-0005-0000-0000-000060030000}"/>
    <cellStyle name="_f_ô_pldt 2" xfId="4120" xr:uid="{00000000-0005-0000-0000-000061030000}"/>
    <cellStyle name="_f_ô_pldt 2 10" xfId="4121" xr:uid="{00000000-0005-0000-0000-000062030000}"/>
    <cellStyle name="_f_ô_pldt 2 11" xfId="4122" xr:uid="{00000000-0005-0000-0000-000063030000}"/>
    <cellStyle name="_f_ô_pldt 2 12" xfId="4123" xr:uid="{00000000-0005-0000-0000-000064030000}"/>
    <cellStyle name="_f_ô_pldt 2 13" xfId="4124" xr:uid="{00000000-0005-0000-0000-000065030000}"/>
    <cellStyle name="_f_ô_pldt 2 14" xfId="4125" xr:uid="{00000000-0005-0000-0000-000066030000}"/>
    <cellStyle name="_f_ô_pldt 2 15" xfId="4126" xr:uid="{00000000-0005-0000-0000-000067030000}"/>
    <cellStyle name="_f_ô_pldt 2 16" xfId="4127" xr:uid="{00000000-0005-0000-0000-000068030000}"/>
    <cellStyle name="_f_ô_pldt 2 2" xfId="4128" xr:uid="{00000000-0005-0000-0000-000069030000}"/>
    <cellStyle name="_f_ô_pldt 2 2 2" xfId="4129" xr:uid="{00000000-0005-0000-0000-00006A030000}"/>
    <cellStyle name="_f_ô_pldt 2 2 3" xfId="4130" xr:uid="{00000000-0005-0000-0000-00006B030000}"/>
    <cellStyle name="_f_ô_pldt 2 2 4" xfId="4131" xr:uid="{00000000-0005-0000-0000-00006C030000}"/>
    <cellStyle name="_f_ô_pldt 2 3" xfId="4132" xr:uid="{00000000-0005-0000-0000-00006D030000}"/>
    <cellStyle name="_f_ô_pldt 2 3 2" xfId="4133" xr:uid="{00000000-0005-0000-0000-00006E030000}"/>
    <cellStyle name="_f_ô_pldt 2 3 3" xfId="4134" xr:uid="{00000000-0005-0000-0000-00006F030000}"/>
    <cellStyle name="_f_ô_pldt 2 4" xfId="4135" xr:uid="{00000000-0005-0000-0000-000070030000}"/>
    <cellStyle name="_f_ô_pldt 2 4 2" xfId="4136" xr:uid="{00000000-0005-0000-0000-000071030000}"/>
    <cellStyle name="_f_ô_pldt 2 5" xfId="4137" xr:uid="{00000000-0005-0000-0000-000072030000}"/>
    <cellStyle name="_f_ô_pldt 2 5 2" xfId="4138" xr:uid="{00000000-0005-0000-0000-000073030000}"/>
    <cellStyle name="_f_ô_pldt 2 6" xfId="4139" xr:uid="{00000000-0005-0000-0000-000074030000}"/>
    <cellStyle name="_f_ô_pldt 2 7" xfId="4140" xr:uid="{00000000-0005-0000-0000-000075030000}"/>
    <cellStyle name="_f_ô_pldt 2 8" xfId="4141" xr:uid="{00000000-0005-0000-0000-000076030000}"/>
    <cellStyle name="_f_ô_pldt 2 9" xfId="4142" xr:uid="{00000000-0005-0000-0000-000077030000}"/>
    <cellStyle name="_f_ô_pldt 20" xfId="4143" xr:uid="{00000000-0005-0000-0000-000078030000}"/>
    <cellStyle name="_f_ô_pldt 21" xfId="4144" xr:uid="{00000000-0005-0000-0000-000079030000}"/>
    <cellStyle name="_f_ô_pldt 22" xfId="4145" xr:uid="{00000000-0005-0000-0000-00007A030000}"/>
    <cellStyle name="_f_ô_pldt 23" xfId="4146" xr:uid="{00000000-0005-0000-0000-00007B030000}"/>
    <cellStyle name="_f_ô_pldt 24" xfId="4147" xr:uid="{00000000-0005-0000-0000-00007C030000}"/>
    <cellStyle name="_f_ô_pldt 3" xfId="4148" xr:uid="{00000000-0005-0000-0000-00007D030000}"/>
    <cellStyle name="_f_ô_pldt 3 2" xfId="4149" xr:uid="{00000000-0005-0000-0000-00007E030000}"/>
    <cellStyle name="_f_ô_pldt 3 2 2" xfId="4150" xr:uid="{00000000-0005-0000-0000-00007F030000}"/>
    <cellStyle name="_f_ô_pldt 3 2 3" xfId="4151" xr:uid="{00000000-0005-0000-0000-000080030000}"/>
    <cellStyle name="_f_ô_pldt 3 2 4" xfId="4152" xr:uid="{00000000-0005-0000-0000-000081030000}"/>
    <cellStyle name="_f_ô_pldt 3 3" xfId="4153" xr:uid="{00000000-0005-0000-0000-000082030000}"/>
    <cellStyle name="_f_ô_pldt 3 4" xfId="4154" xr:uid="{00000000-0005-0000-0000-000083030000}"/>
    <cellStyle name="_f_ô_pldt 3 5" xfId="4155" xr:uid="{00000000-0005-0000-0000-000084030000}"/>
    <cellStyle name="_f_ô_pldt 4" xfId="4156" xr:uid="{00000000-0005-0000-0000-000085030000}"/>
    <cellStyle name="_f_ô_pldt 4 2" xfId="4157" xr:uid="{00000000-0005-0000-0000-000086030000}"/>
    <cellStyle name="_f_ô_pldt 4 2 2" xfId="4158" xr:uid="{00000000-0005-0000-0000-000087030000}"/>
    <cellStyle name="_f_ô_pldt 4 2 3" xfId="4159" xr:uid="{00000000-0005-0000-0000-000088030000}"/>
    <cellStyle name="_f_ô_pldt 4 2 4" xfId="4160" xr:uid="{00000000-0005-0000-0000-000089030000}"/>
    <cellStyle name="_f_ô_pldt 4 3" xfId="4161" xr:uid="{00000000-0005-0000-0000-00008A030000}"/>
    <cellStyle name="_f_ô_pldt 4 4" xfId="4162" xr:uid="{00000000-0005-0000-0000-00008B030000}"/>
    <cellStyle name="_f_ô_pldt 5" xfId="4163" xr:uid="{00000000-0005-0000-0000-00008C030000}"/>
    <cellStyle name="_f_ô_pldt 5 2" xfId="4164" xr:uid="{00000000-0005-0000-0000-00008D030000}"/>
    <cellStyle name="_f_ô_pldt 5 2 2" xfId="4165" xr:uid="{00000000-0005-0000-0000-00008E030000}"/>
    <cellStyle name="_f_ô_pldt 5 2 3" xfId="4166" xr:uid="{00000000-0005-0000-0000-00008F030000}"/>
    <cellStyle name="_f_ô_pldt 5 3" xfId="4167" xr:uid="{00000000-0005-0000-0000-000090030000}"/>
    <cellStyle name="_f_ô_pldt 5 4" xfId="4168" xr:uid="{00000000-0005-0000-0000-000091030000}"/>
    <cellStyle name="_f_ô_pldt 5 5" xfId="4169" xr:uid="{00000000-0005-0000-0000-000092030000}"/>
    <cellStyle name="_f_ô_pldt 6" xfId="4170" xr:uid="{00000000-0005-0000-0000-000093030000}"/>
    <cellStyle name="_f_ô_pldt 6 2" xfId="4171" xr:uid="{00000000-0005-0000-0000-000094030000}"/>
    <cellStyle name="_f_ô_pldt 6 2 2" xfId="4172" xr:uid="{00000000-0005-0000-0000-000095030000}"/>
    <cellStyle name="_f_ô_pldt 6 2 3" xfId="4173" xr:uid="{00000000-0005-0000-0000-000096030000}"/>
    <cellStyle name="_f_ô_pldt 6 3" xfId="4174" xr:uid="{00000000-0005-0000-0000-000097030000}"/>
    <cellStyle name="_f_ô_pldt 6 4" xfId="4175" xr:uid="{00000000-0005-0000-0000-000098030000}"/>
    <cellStyle name="_f_ô_pldt 6 5" xfId="4176" xr:uid="{00000000-0005-0000-0000-000099030000}"/>
    <cellStyle name="_f_ô_pldt 7" xfId="4177" xr:uid="{00000000-0005-0000-0000-00009A030000}"/>
    <cellStyle name="_f_ô_pldt 7 2" xfId="4178" xr:uid="{00000000-0005-0000-0000-00009B030000}"/>
    <cellStyle name="_f_ô_pldt 7 3" xfId="4179" xr:uid="{00000000-0005-0000-0000-00009C030000}"/>
    <cellStyle name="_f_ô_pldt 7 4" xfId="4180" xr:uid="{00000000-0005-0000-0000-00009D030000}"/>
    <cellStyle name="_f_ô_pldt 8" xfId="4181" xr:uid="{00000000-0005-0000-0000-00009E030000}"/>
    <cellStyle name="_f_ô_pldt 8 2" xfId="4182" xr:uid="{00000000-0005-0000-0000-00009F030000}"/>
    <cellStyle name="_f_ô_pldt 8 3" xfId="4183" xr:uid="{00000000-0005-0000-0000-0000A0030000}"/>
    <cellStyle name="_f_ô_pldt 8 4" xfId="4184" xr:uid="{00000000-0005-0000-0000-0000A1030000}"/>
    <cellStyle name="_f_ô_pldt 9" xfId="4185" xr:uid="{00000000-0005-0000-0000-0000A2030000}"/>
    <cellStyle name="_f_ô_pldt 9 2" xfId="4186" xr:uid="{00000000-0005-0000-0000-0000A3030000}"/>
    <cellStyle name="_f_ô_pldt 9 3" xfId="4187" xr:uid="{00000000-0005-0000-0000-0000A4030000}"/>
    <cellStyle name="_f_ô_pldt 9 4" xfId="4188" xr:uid="{00000000-0005-0000-0000-0000A5030000}"/>
    <cellStyle name="_Heading" xfId="869" xr:uid="{00000000-0005-0000-0000-0000A6030000}"/>
    <cellStyle name="_Heading_Assumptions_SALE" xfId="870" xr:uid="{00000000-0005-0000-0000-0000A7030000}"/>
    <cellStyle name="_Heading_Assumptions_SALE 2" xfId="871" xr:uid="{00000000-0005-0000-0000-0000A8030000}"/>
    <cellStyle name="_Heading_Assumptions_SALE_110609-AbyRenni" xfId="872" xr:uid="{00000000-0005-0000-0000-0000A9030000}"/>
    <cellStyle name="_Heading_Assumptions_SALE_116th condo" xfId="873" xr:uid="{00000000-0005-0000-0000-0000AA030000}"/>
    <cellStyle name="_Heading_Assumptions_SALE_116th market condo 02.23.11" xfId="874" xr:uid="{00000000-0005-0000-0000-0000AB030000}"/>
    <cellStyle name="_Heading_Assumptions_SALE_116th market condo 12.27" xfId="875" xr:uid="{00000000-0005-0000-0000-0000AC030000}"/>
    <cellStyle name="_Heading_Assumptions_SALE_116th market condo nmtc 03.16.11" xfId="876" xr:uid="{00000000-0005-0000-0000-0000AD030000}"/>
    <cellStyle name="_Heading_Assumptions_SALE_116th market rental 12.27" xfId="877" xr:uid="{00000000-0005-0000-0000-0000AE030000}"/>
    <cellStyle name="_Heading_Assumptions_SALE_120403-Utica-3rd Flr Gym" xfId="878" xr:uid="{00000000-0005-0000-0000-0000AF030000}"/>
    <cellStyle name="_Heading_Assumptions_SALE_120507 Dyckman Base Case" xfId="879" xr:uid="{00000000-0005-0000-0000-0000B0030000}"/>
    <cellStyle name="_Heading_Assumptions_SALE_120510 80-20 Dyckmanlg" xfId="880" xr:uid="{00000000-0005-0000-0000-0000B1030000}"/>
    <cellStyle name="_Heading_Assumptions_SALE_120604 - Utica NMTC" xfId="881" xr:uid="{00000000-0005-0000-0000-0000B2030000}"/>
    <cellStyle name="_Heading_Assumptions_SALE_120612 - Utica NMTC" xfId="882" xr:uid="{00000000-0005-0000-0000-0000B3030000}"/>
    <cellStyle name="_Heading_Assumptions_SALE_120620 - Utica NMTC" xfId="883" xr:uid="{00000000-0005-0000-0000-0000B4030000}"/>
    <cellStyle name="_Heading_Assumptions_SALE_120807 Standard Budget" xfId="884" xr:uid="{00000000-0005-0000-0000-0000B5030000}"/>
    <cellStyle name="_Heading_Assumptions_SALE_130205- 280 Franklin" xfId="885" xr:uid="{00000000-0005-0000-0000-0000B6030000}"/>
    <cellStyle name="_Heading_Assumptions_SALE_250 Utica 4.7.11" xfId="886" xr:uid="{00000000-0005-0000-0000-0000B7030000}"/>
    <cellStyle name="_Heading_Assumptions_SALE_Dev Budget" xfId="887" xr:uid="{00000000-0005-0000-0000-0000B8030000}"/>
    <cellStyle name="_Heading_Assumptions_SALE_Harlem 116th-117th 11 22 11" xfId="888" xr:uid="{00000000-0005-0000-0000-0000B9030000}"/>
    <cellStyle name="_Heading_Assumptions_SALE_Harlem 116th-117th 11 7 11" xfId="889" xr:uid="{00000000-0005-0000-0000-0000BA030000}"/>
    <cellStyle name="_Heading_Assumptions_SALE_Harlem 116th-117th 12-27-11" xfId="890" xr:uid="{00000000-0005-0000-0000-0000BB030000}"/>
    <cellStyle name="_Heading_Assumptions_SALE_Harlem 116th-117th 12-27-11 v2" xfId="891" xr:uid="{00000000-0005-0000-0000-0000BC030000}"/>
    <cellStyle name="_Heading_Assumptions_SALE_Harlem 116th-117th 3-12-12" xfId="892" xr:uid="{00000000-0005-0000-0000-0000BD030000}"/>
    <cellStyle name="_Heading_Assumptions_SALE_Harlem 116th-117th 4.8.11" xfId="893" xr:uid="{00000000-0005-0000-0000-0000BE030000}"/>
    <cellStyle name="_Heading_Assumptions_SALE_Harlem 116th-117th 4.8.11 v1" xfId="894" xr:uid="{00000000-0005-0000-0000-0000BF030000}"/>
    <cellStyle name="_Heading_Assumptions_SALE_Harlem 116th-117th 4-10-12" xfId="895" xr:uid="{00000000-0005-0000-0000-0000C0030000}"/>
    <cellStyle name="_Heading_Assumptions_SALE_Harlem 116th-117th 5-22-12" xfId="896" xr:uid="{00000000-0005-0000-0000-0000C1030000}"/>
    <cellStyle name="_Heading_Assumptions_SALE_Harlem 116th-117th 5-25-12 v1" xfId="897" xr:uid="{00000000-0005-0000-0000-0000C2030000}"/>
    <cellStyle name="_Heading_Assumptions_SALE_Harlem 116th-117th 5-3-12" xfId="898" xr:uid="{00000000-0005-0000-0000-0000C3030000}"/>
    <cellStyle name="_Heading_Assumptions_SALE_Harlem 116th-117th 6.16.11 v1" xfId="899" xr:uid="{00000000-0005-0000-0000-0000C4030000}"/>
    <cellStyle name="_Heading_Assumptions_SALE_Harlem 116th-117th 6.20.11 v1" xfId="900" xr:uid="{00000000-0005-0000-0000-0000C5030000}"/>
    <cellStyle name="_Heading_Assumptions_SALE_Harlem 116th-117th 6-1-12-js" xfId="901" xr:uid="{00000000-0005-0000-0000-0000C6030000}"/>
    <cellStyle name="_Heading_Assumptions_SALE_Harlem 116th-117th 6-4-12" xfId="902" xr:uid="{00000000-0005-0000-0000-0000C7030000}"/>
    <cellStyle name="_Heading_Assumptions_SALE_Harlem 116th-117th 6-4-12 -JS ACQUISITION CLOSING TAB" xfId="903" xr:uid="{00000000-0005-0000-0000-0000C8030000}"/>
    <cellStyle name="_Heading_Assumptions_SALE_Harlem 116th-117th 6-5-12 v1" xfId="904" xr:uid="{00000000-0005-0000-0000-0000C9030000}"/>
    <cellStyle name="_Heading_Assumptions_SALE_Harlem 116th-117th 7.7.11_condo 116 with updated TC tabs" xfId="905" xr:uid="{00000000-0005-0000-0000-0000CA030000}"/>
    <cellStyle name="_Heading_Assumptions_SALE_Harlem 116th-117th 8 22 11_all rental" xfId="906" xr:uid="{00000000-0005-0000-0000-0000CB030000}"/>
    <cellStyle name="_Heading_Assumptions_SALE_HCR Source Budget" xfId="907" xr:uid="{00000000-0005-0000-0000-0000CC030000}"/>
    <cellStyle name="_Heading_Assumptions_SALE_HRP-1951 Park - NORTH" xfId="908" xr:uid="{00000000-0005-0000-0000-0000CD030000}"/>
    <cellStyle name="_Heading_Assumptions_SALE_LIC 03.01.11" xfId="909" xr:uid="{00000000-0005-0000-0000-0000CE030000}"/>
    <cellStyle name="_Heading_Assumptions_SALE_LIC Pearson 07-07-11" xfId="910" xr:uid="{00000000-0005-0000-0000-0000CF030000}"/>
    <cellStyle name="_Heading_Assumptions_SALE_LIC Pearson 12-27-11" xfId="911" xr:uid="{00000000-0005-0000-0000-0000D0030000}"/>
    <cellStyle name="_Heading_Assumptions_SALE_LIC Pearson April 2012-d" xfId="912" xr:uid="{00000000-0005-0000-0000-0000D1030000}"/>
    <cellStyle name="_Heading_Assumptions_SALE_M&amp;O" xfId="913" xr:uid="{00000000-0005-0000-0000-0000D2030000}"/>
    <cellStyle name="_Heading_Assumptions_SALE_NSP Trois 02.24.11" xfId="914" xr:uid="{00000000-0005-0000-0000-0000D3030000}"/>
    <cellStyle name="_Heading_Assumptions_SALE_NSP Trois 03.01.11" xfId="915" xr:uid="{00000000-0005-0000-0000-0000D4030000}"/>
    <cellStyle name="_Heading_Assumptions_SALE_Sheet1" xfId="916" xr:uid="{00000000-0005-0000-0000-0000D5030000}"/>
    <cellStyle name="_Heading_Assumptions_SALE_Summary" xfId="917" xr:uid="{00000000-0005-0000-0000-0000D6030000}"/>
    <cellStyle name="_Heading_Model 09" xfId="918" xr:uid="{00000000-0005-0000-0000-0000D7030000}"/>
    <cellStyle name="_Heading_Model Short Form2" xfId="919" xr:uid="{00000000-0005-0000-0000-0000D8030000}"/>
    <cellStyle name="_Heading_Model Short Form2 2" xfId="920" xr:uid="{00000000-0005-0000-0000-0000D9030000}"/>
    <cellStyle name="_Heading_Model Short Form2_110609-AbyRenni" xfId="921" xr:uid="{00000000-0005-0000-0000-0000DA030000}"/>
    <cellStyle name="_Heading_Model Short Form2_116th condo" xfId="922" xr:uid="{00000000-0005-0000-0000-0000DB030000}"/>
    <cellStyle name="_Heading_Model Short Form2_116th market condo 02.23.11" xfId="923" xr:uid="{00000000-0005-0000-0000-0000DC030000}"/>
    <cellStyle name="_Heading_Model Short Form2_116th market condo 12.27" xfId="924" xr:uid="{00000000-0005-0000-0000-0000DD030000}"/>
    <cellStyle name="_Heading_Model Short Form2_116th market condo nmtc 03.16.11" xfId="925" xr:uid="{00000000-0005-0000-0000-0000DE030000}"/>
    <cellStyle name="_Heading_Model Short Form2_116th market rental 12.27" xfId="926" xr:uid="{00000000-0005-0000-0000-0000DF030000}"/>
    <cellStyle name="_Heading_Model Short Form2_120403-Utica-3rd Flr Gym" xfId="927" xr:uid="{00000000-0005-0000-0000-0000E0030000}"/>
    <cellStyle name="_Heading_Model Short Form2_120507 Dyckman Base Case" xfId="928" xr:uid="{00000000-0005-0000-0000-0000E1030000}"/>
    <cellStyle name="_Heading_Model Short Form2_120510 80-20 Dyckmanlg" xfId="929" xr:uid="{00000000-0005-0000-0000-0000E2030000}"/>
    <cellStyle name="_Heading_Model Short Form2_120604 - Utica NMTC" xfId="930" xr:uid="{00000000-0005-0000-0000-0000E3030000}"/>
    <cellStyle name="_Heading_Model Short Form2_120612 - Utica NMTC" xfId="931" xr:uid="{00000000-0005-0000-0000-0000E4030000}"/>
    <cellStyle name="_Heading_Model Short Form2_120620 - Utica NMTC" xfId="932" xr:uid="{00000000-0005-0000-0000-0000E5030000}"/>
    <cellStyle name="_Heading_Model Short Form2_120807 Standard Budget" xfId="933" xr:uid="{00000000-0005-0000-0000-0000E6030000}"/>
    <cellStyle name="_Heading_Model Short Form2_130205- 280 Franklin" xfId="934" xr:uid="{00000000-0005-0000-0000-0000E7030000}"/>
    <cellStyle name="_Heading_Model Short Form2_250 Utica 4.7.11" xfId="935" xr:uid="{00000000-0005-0000-0000-0000E8030000}"/>
    <cellStyle name="_Heading_Model Short Form2_Dev Budget" xfId="936" xr:uid="{00000000-0005-0000-0000-0000E9030000}"/>
    <cellStyle name="_Heading_Model Short Form2_Harlem 116th-117th 11 22 11" xfId="937" xr:uid="{00000000-0005-0000-0000-0000EA030000}"/>
    <cellStyle name="_Heading_Model Short Form2_Harlem 116th-117th 11 7 11" xfId="938" xr:uid="{00000000-0005-0000-0000-0000EB030000}"/>
    <cellStyle name="_Heading_Model Short Form2_Harlem 116th-117th 12-27-11" xfId="939" xr:uid="{00000000-0005-0000-0000-0000EC030000}"/>
    <cellStyle name="_Heading_Model Short Form2_Harlem 116th-117th 12-27-11 v2" xfId="940" xr:uid="{00000000-0005-0000-0000-0000ED030000}"/>
    <cellStyle name="_Heading_Model Short Form2_Harlem 116th-117th 3-12-12" xfId="941" xr:uid="{00000000-0005-0000-0000-0000EE030000}"/>
    <cellStyle name="_Heading_Model Short Form2_Harlem 116th-117th 4.8.11" xfId="942" xr:uid="{00000000-0005-0000-0000-0000EF030000}"/>
    <cellStyle name="_Heading_Model Short Form2_Harlem 116th-117th 4.8.11 v1" xfId="943" xr:uid="{00000000-0005-0000-0000-0000F0030000}"/>
    <cellStyle name="_Heading_Model Short Form2_Harlem 116th-117th 4-10-12" xfId="944" xr:uid="{00000000-0005-0000-0000-0000F1030000}"/>
    <cellStyle name="_Heading_Model Short Form2_Harlem 116th-117th 5-22-12" xfId="945" xr:uid="{00000000-0005-0000-0000-0000F2030000}"/>
    <cellStyle name="_Heading_Model Short Form2_Harlem 116th-117th 5-25-12 v1" xfId="946" xr:uid="{00000000-0005-0000-0000-0000F3030000}"/>
    <cellStyle name="_Heading_Model Short Form2_Harlem 116th-117th 5-3-12" xfId="947" xr:uid="{00000000-0005-0000-0000-0000F4030000}"/>
    <cellStyle name="_Heading_Model Short Form2_Harlem 116th-117th 6.16.11 v1" xfId="948" xr:uid="{00000000-0005-0000-0000-0000F5030000}"/>
    <cellStyle name="_Heading_Model Short Form2_Harlem 116th-117th 6.20.11 v1" xfId="949" xr:uid="{00000000-0005-0000-0000-0000F6030000}"/>
    <cellStyle name="_Heading_Model Short Form2_Harlem 116th-117th 6-1-12-js" xfId="950" xr:uid="{00000000-0005-0000-0000-0000F7030000}"/>
    <cellStyle name="_Heading_Model Short Form2_Harlem 116th-117th 6-4-12" xfId="951" xr:uid="{00000000-0005-0000-0000-0000F8030000}"/>
    <cellStyle name="_Heading_Model Short Form2_Harlem 116th-117th 6-4-12 -JS ACQUISITION CLOSING TAB" xfId="952" xr:uid="{00000000-0005-0000-0000-0000F9030000}"/>
    <cellStyle name="_Heading_Model Short Form2_Harlem 116th-117th 6-5-12 v1" xfId="953" xr:uid="{00000000-0005-0000-0000-0000FA030000}"/>
    <cellStyle name="_Heading_Model Short Form2_Harlem 116th-117th 7.7.11_condo 116 with updated TC tabs" xfId="954" xr:uid="{00000000-0005-0000-0000-0000FB030000}"/>
    <cellStyle name="_Heading_Model Short Form2_Harlem 116th-117th 8 22 11_all rental" xfId="955" xr:uid="{00000000-0005-0000-0000-0000FC030000}"/>
    <cellStyle name="_Heading_Model Short Form2_HCR Source Budget" xfId="956" xr:uid="{00000000-0005-0000-0000-0000FD030000}"/>
    <cellStyle name="_Heading_Model Short Form2_HRP-1951 Park - NORTH" xfId="957" xr:uid="{00000000-0005-0000-0000-0000FE030000}"/>
    <cellStyle name="_Heading_Model Short Form2_LIC 03.01.11" xfId="958" xr:uid="{00000000-0005-0000-0000-0000FF030000}"/>
    <cellStyle name="_Heading_Model Short Form2_LIC Pearson 07-07-11" xfId="959" xr:uid="{00000000-0005-0000-0000-000000040000}"/>
    <cellStyle name="_Heading_Model Short Form2_LIC Pearson 12-27-11" xfId="960" xr:uid="{00000000-0005-0000-0000-000001040000}"/>
    <cellStyle name="_Heading_Model Short Form2_LIC Pearson April 2012-d" xfId="961" xr:uid="{00000000-0005-0000-0000-000002040000}"/>
    <cellStyle name="_Heading_Model Short Form2_M&amp;O" xfId="962" xr:uid="{00000000-0005-0000-0000-000003040000}"/>
    <cellStyle name="_Heading_Model Short Form2_NSP Trois 02.24.11" xfId="963" xr:uid="{00000000-0005-0000-0000-000004040000}"/>
    <cellStyle name="_Heading_Model Short Form2_NSP Trois 03.01.11" xfId="964" xr:uid="{00000000-0005-0000-0000-000005040000}"/>
    <cellStyle name="_Heading_Model Short Form2_Sheet1" xfId="965" xr:uid="{00000000-0005-0000-0000-000006040000}"/>
    <cellStyle name="_Heading_Model Short Form2_Summary" xfId="966" xr:uid="{00000000-0005-0000-0000-000007040000}"/>
    <cellStyle name="_Heading_prestemp" xfId="967" xr:uid="{00000000-0005-0000-0000-000008040000}"/>
    <cellStyle name="_Heading_rent vs. own analysis" xfId="968" xr:uid="{00000000-0005-0000-0000-000009040000}"/>
    <cellStyle name="_Heading_Union CIty" xfId="969" xr:uid="{00000000-0005-0000-0000-00000A040000}"/>
    <cellStyle name="_Headline" xfId="970" xr:uid="{00000000-0005-0000-0000-00000B040000}"/>
    <cellStyle name="_Highlight" xfId="971" xr:uid="{00000000-0005-0000-0000-00000C040000}"/>
    <cellStyle name="_Highlight 2" xfId="972" xr:uid="{00000000-0005-0000-0000-00000D040000}"/>
    <cellStyle name="_Highlight 2 2" xfId="973" xr:uid="{00000000-0005-0000-0000-00000E040000}"/>
    <cellStyle name="_Highlight 2 2 2" xfId="974" xr:uid="{00000000-0005-0000-0000-00000F040000}"/>
    <cellStyle name="_Highlight 2 3" xfId="975" xr:uid="{00000000-0005-0000-0000-000010040000}"/>
    <cellStyle name="_Highlight 3" xfId="5442" xr:uid="{00000000-0005-0000-0000-000011040000}"/>
    <cellStyle name="_Multiple" xfId="976" xr:uid="{00000000-0005-0000-0000-000012040000}"/>
    <cellStyle name="_Multiple 10" xfId="977" xr:uid="{00000000-0005-0000-0000-000013040000}"/>
    <cellStyle name="_Multiple 10 2" xfId="978" xr:uid="{00000000-0005-0000-0000-000014040000}"/>
    <cellStyle name="_Multiple 11" xfId="5444" xr:uid="{00000000-0005-0000-0000-000015040000}"/>
    <cellStyle name="_Multiple 2" xfId="979" xr:uid="{00000000-0005-0000-0000-000016040000}"/>
    <cellStyle name="_Multiple 2 2" xfId="980" xr:uid="{00000000-0005-0000-0000-000017040000}"/>
    <cellStyle name="_Multiple 3" xfId="981" xr:uid="{00000000-0005-0000-0000-000018040000}"/>
    <cellStyle name="_Multiple 3 2" xfId="982" xr:uid="{00000000-0005-0000-0000-000019040000}"/>
    <cellStyle name="_Multiple 3 2 2" xfId="983" xr:uid="{00000000-0005-0000-0000-00001A040000}"/>
    <cellStyle name="_Multiple 3 3" xfId="984" xr:uid="{00000000-0005-0000-0000-00001B040000}"/>
    <cellStyle name="_Multiple 4" xfId="985" xr:uid="{00000000-0005-0000-0000-00001C040000}"/>
    <cellStyle name="_Multiple 4 2" xfId="986" xr:uid="{00000000-0005-0000-0000-00001D040000}"/>
    <cellStyle name="_Multiple 5" xfId="987" xr:uid="{00000000-0005-0000-0000-00001E040000}"/>
    <cellStyle name="_Multiple 5 2" xfId="988" xr:uid="{00000000-0005-0000-0000-00001F040000}"/>
    <cellStyle name="_Multiple 6" xfId="989" xr:uid="{00000000-0005-0000-0000-000020040000}"/>
    <cellStyle name="_Multiple 6 2" xfId="990" xr:uid="{00000000-0005-0000-0000-000021040000}"/>
    <cellStyle name="_Multiple 7" xfId="991" xr:uid="{00000000-0005-0000-0000-000022040000}"/>
    <cellStyle name="_Multiple 7 2" xfId="992" xr:uid="{00000000-0005-0000-0000-000023040000}"/>
    <cellStyle name="_Multiple 8" xfId="993" xr:uid="{00000000-0005-0000-0000-000024040000}"/>
    <cellStyle name="_Multiple 8 2" xfId="994" xr:uid="{00000000-0005-0000-0000-000025040000}"/>
    <cellStyle name="_Multiple 9" xfId="995" xr:uid="{00000000-0005-0000-0000-000026040000}"/>
    <cellStyle name="_Multiple 9 2" xfId="996" xr:uid="{00000000-0005-0000-0000-000027040000}"/>
    <cellStyle name="_Multiple_Assumptions" xfId="997" xr:uid="{00000000-0005-0000-0000-000028040000}"/>
    <cellStyle name="_Multiple_Assumptions 2" xfId="998" xr:uid="{00000000-0005-0000-0000-000029040000}"/>
    <cellStyle name="_Multiple_AVP" xfId="999" xr:uid="{00000000-0005-0000-0000-00002A040000}"/>
    <cellStyle name="_Multiple_AVP 2" xfId="1000" xr:uid="{00000000-0005-0000-0000-00002B040000}"/>
    <cellStyle name="_Multiple_AVP 2 2" xfId="1001" xr:uid="{00000000-0005-0000-0000-00002C040000}"/>
    <cellStyle name="_Multiple_AVP 2 2 2" xfId="1002" xr:uid="{00000000-0005-0000-0000-00002D040000}"/>
    <cellStyle name="_Multiple_AVP 2 3" xfId="1003" xr:uid="{00000000-0005-0000-0000-00002E040000}"/>
    <cellStyle name="_Multiple_AVP 3" xfId="1004" xr:uid="{00000000-0005-0000-0000-00002F040000}"/>
    <cellStyle name="_Multiple_Balance Sheet" xfId="1005" xr:uid="{00000000-0005-0000-0000-000030040000}"/>
    <cellStyle name="_Multiple_Bolt Financials and Comps" xfId="1006" xr:uid="{00000000-0005-0000-0000-000031040000}"/>
    <cellStyle name="_Multiple_Bolt Financials and Comps 2" xfId="1007" xr:uid="{00000000-0005-0000-0000-000032040000}"/>
    <cellStyle name="_Multiple_Bolt Financials and Comps 2 2" xfId="1008" xr:uid="{00000000-0005-0000-0000-000033040000}"/>
    <cellStyle name="_Multiple_Bolt Financials and Comps 2 2 2" xfId="1009" xr:uid="{00000000-0005-0000-0000-000034040000}"/>
    <cellStyle name="_Multiple_Bolt Financials and Comps 2 3" xfId="1010" xr:uid="{00000000-0005-0000-0000-000035040000}"/>
    <cellStyle name="_Multiple_Bolt Financials and Comps 3" xfId="1011" xr:uid="{00000000-0005-0000-0000-000036040000}"/>
    <cellStyle name="_Multiple_Book1" xfId="1012" xr:uid="{00000000-0005-0000-0000-000037040000}"/>
    <cellStyle name="_Multiple_Book1 2" xfId="1013" xr:uid="{00000000-0005-0000-0000-000038040000}"/>
    <cellStyle name="_Multiple_Book1 2 2" xfId="1014" xr:uid="{00000000-0005-0000-0000-000039040000}"/>
    <cellStyle name="_Multiple_Book1 2 2 2" xfId="1015" xr:uid="{00000000-0005-0000-0000-00003A040000}"/>
    <cellStyle name="_Multiple_Book1 2 3" xfId="1016" xr:uid="{00000000-0005-0000-0000-00003B040000}"/>
    <cellStyle name="_Multiple_Book1 3" xfId="1017" xr:uid="{00000000-0005-0000-0000-00003C040000}"/>
    <cellStyle name="_Multiple_Book1_1" xfId="1018" xr:uid="{00000000-0005-0000-0000-00003D040000}"/>
    <cellStyle name="_Multiple_Book1_1 2" xfId="1019" xr:uid="{00000000-0005-0000-0000-00003E040000}"/>
    <cellStyle name="_Multiple_Book1_1 2 2" xfId="1020" xr:uid="{00000000-0005-0000-0000-00003F040000}"/>
    <cellStyle name="_Multiple_Book1_1 2 2 2" xfId="1021" xr:uid="{00000000-0005-0000-0000-000040040000}"/>
    <cellStyle name="_Multiple_Book1_1 2 3" xfId="1022" xr:uid="{00000000-0005-0000-0000-000041040000}"/>
    <cellStyle name="_Multiple_Book1_1 3" xfId="1023" xr:uid="{00000000-0005-0000-0000-000042040000}"/>
    <cellStyle name="_Multiple_contribution_analysis" xfId="1024" xr:uid="{00000000-0005-0000-0000-000043040000}"/>
    <cellStyle name="_Multiple_Criteria" xfId="1025" xr:uid="{00000000-0005-0000-0000-000044040000}"/>
    <cellStyle name="_Multiple_Data Tape" xfId="1026" xr:uid="{00000000-0005-0000-0000-000045040000}"/>
    <cellStyle name="_Multiple_Data_Tape" xfId="1027" xr:uid="{00000000-0005-0000-0000-000046040000}"/>
    <cellStyle name="_Multiple_DB_Eye" xfId="1028" xr:uid="{00000000-0005-0000-0000-000047040000}"/>
    <cellStyle name="_Multiple_EyeChart" xfId="1029" xr:uid="{00000000-0005-0000-0000-000048040000}"/>
    <cellStyle name="_Multiple_EyeChart 090503" xfId="1030" xr:uid="{00000000-0005-0000-0000-000049040000}"/>
    <cellStyle name="_Multiple_Input" xfId="1031" xr:uid="{00000000-0005-0000-0000-00004A040000}"/>
    <cellStyle name="_Multiple_Input_1" xfId="1032" xr:uid="{00000000-0005-0000-0000-00004B040000}"/>
    <cellStyle name="_Multiple_Pools" xfId="1033" xr:uid="{00000000-0005-0000-0000-00004C040000}"/>
    <cellStyle name="_Multiple_Pricing" xfId="1034" xr:uid="{00000000-0005-0000-0000-00004D040000}"/>
    <cellStyle name="_Multiple_Senario Input Assumptions" xfId="1035" xr:uid="{00000000-0005-0000-0000-00004E040000}"/>
    <cellStyle name="_Multiple_Sheet1" xfId="1036" xr:uid="{00000000-0005-0000-0000-00004F040000}"/>
    <cellStyle name="_Multiple_Sheet1_Balance Sheet" xfId="1037" xr:uid="{00000000-0005-0000-0000-000050040000}"/>
    <cellStyle name="_Multiple_Sheet1_Criteria" xfId="1038" xr:uid="{00000000-0005-0000-0000-000051040000}"/>
    <cellStyle name="_Multiple_Sheet1_Data Tape" xfId="1039" xr:uid="{00000000-0005-0000-0000-000052040000}"/>
    <cellStyle name="_Multiple_Sheet1_Data_Tape" xfId="1040" xr:uid="{00000000-0005-0000-0000-000053040000}"/>
    <cellStyle name="_Multiple_Sheet1_Input" xfId="1041" xr:uid="{00000000-0005-0000-0000-000054040000}"/>
    <cellStyle name="_Multiple_Sheet1_Pools" xfId="1042" xr:uid="{00000000-0005-0000-0000-000055040000}"/>
    <cellStyle name="_Multiple_Sheet1_Senario Input Assumptions" xfId="1043" xr:uid="{00000000-0005-0000-0000-000056040000}"/>
    <cellStyle name="_Multiple_Sheet1_Structure Model_2003_test2" xfId="1044" xr:uid="{00000000-0005-0000-0000-000057040000}"/>
    <cellStyle name="_Multiple_Sheet2" xfId="1045" xr:uid="{00000000-0005-0000-0000-000058040000}"/>
    <cellStyle name="_Multiple_Sheet3" xfId="1046" xr:uid="{00000000-0005-0000-0000-000059040000}"/>
    <cellStyle name="_Multiple_Sheet4" xfId="1047" xr:uid="{00000000-0005-0000-0000-00005A040000}"/>
    <cellStyle name="_Multiple_Structure Model_2003_test2" xfId="1048" xr:uid="{00000000-0005-0000-0000-00005B040000}"/>
    <cellStyle name="_MultipleSpace" xfId="1049" xr:uid="{00000000-0005-0000-0000-00005C040000}"/>
    <cellStyle name="_MultipleSpace 2" xfId="1050" xr:uid="{00000000-0005-0000-0000-00005D040000}"/>
    <cellStyle name="_MultipleSpace 2 2" xfId="1051" xr:uid="{00000000-0005-0000-0000-00005E040000}"/>
    <cellStyle name="_MultipleSpace 2 2 2" xfId="1052" xr:uid="{00000000-0005-0000-0000-00005F040000}"/>
    <cellStyle name="_MultipleSpace 2 3" xfId="1053" xr:uid="{00000000-0005-0000-0000-000060040000}"/>
    <cellStyle name="_MultipleSpace 3" xfId="5352" xr:uid="{00000000-0005-0000-0000-000061040000}"/>
    <cellStyle name="_MultipleSpace_Assumptions" xfId="1054" xr:uid="{00000000-0005-0000-0000-000062040000}"/>
    <cellStyle name="_MultipleSpace_Assumptions 2" xfId="1055" xr:uid="{00000000-0005-0000-0000-000063040000}"/>
    <cellStyle name="_MultipleSpace_AVP" xfId="1056" xr:uid="{00000000-0005-0000-0000-000064040000}"/>
    <cellStyle name="_MultipleSpace_AVP 2" xfId="1057" xr:uid="{00000000-0005-0000-0000-000065040000}"/>
    <cellStyle name="_MultipleSpace_AVP 2 2" xfId="1058" xr:uid="{00000000-0005-0000-0000-000066040000}"/>
    <cellStyle name="_MultipleSpace_AVP 2 2 2" xfId="1059" xr:uid="{00000000-0005-0000-0000-000067040000}"/>
    <cellStyle name="_MultipleSpace_AVP 2 3" xfId="1060" xr:uid="{00000000-0005-0000-0000-000068040000}"/>
    <cellStyle name="_MultipleSpace_AVP 3" xfId="1061" xr:uid="{00000000-0005-0000-0000-000069040000}"/>
    <cellStyle name="_MultipleSpace_Bolt Financials and Comps" xfId="1062" xr:uid="{00000000-0005-0000-0000-00006A040000}"/>
    <cellStyle name="_MultipleSpace_Bolt Financials and Comps 2" xfId="1063" xr:uid="{00000000-0005-0000-0000-00006B040000}"/>
    <cellStyle name="_MultipleSpace_Bolt Financials and Comps 2 2" xfId="1064" xr:uid="{00000000-0005-0000-0000-00006C040000}"/>
    <cellStyle name="_MultipleSpace_Bolt Financials and Comps 2 2 2" xfId="1065" xr:uid="{00000000-0005-0000-0000-00006D040000}"/>
    <cellStyle name="_MultipleSpace_Bolt Financials and Comps 2 3" xfId="1066" xr:uid="{00000000-0005-0000-0000-00006E040000}"/>
    <cellStyle name="_MultipleSpace_Bolt Financials and Comps 3" xfId="1067" xr:uid="{00000000-0005-0000-0000-00006F040000}"/>
    <cellStyle name="_MultipleSpace_Book1" xfId="1068" xr:uid="{00000000-0005-0000-0000-000070040000}"/>
    <cellStyle name="_MultipleSpace_Book1 2" xfId="1069" xr:uid="{00000000-0005-0000-0000-000071040000}"/>
    <cellStyle name="_MultipleSpace_Book1 2 2" xfId="1070" xr:uid="{00000000-0005-0000-0000-000072040000}"/>
    <cellStyle name="_MultipleSpace_Book1 2 2 2" xfId="1071" xr:uid="{00000000-0005-0000-0000-000073040000}"/>
    <cellStyle name="_MultipleSpace_Book1 2 3" xfId="1072" xr:uid="{00000000-0005-0000-0000-000074040000}"/>
    <cellStyle name="_MultipleSpace_Book1 3" xfId="1073" xr:uid="{00000000-0005-0000-0000-000075040000}"/>
    <cellStyle name="_MultipleSpace_Book1_1" xfId="1074" xr:uid="{00000000-0005-0000-0000-000076040000}"/>
    <cellStyle name="_MultipleSpace_Book1_1 2" xfId="1075" xr:uid="{00000000-0005-0000-0000-000077040000}"/>
    <cellStyle name="_MultipleSpace_Book1_1 2 2" xfId="1076" xr:uid="{00000000-0005-0000-0000-000078040000}"/>
    <cellStyle name="_MultipleSpace_Book1_1 2 2 2" xfId="1077" xr:uid="{00000000-0005-0000-0000-000079040000}"/>
    <cellStyle name="_MultipleSpace_Book1_1 2 3" xfId="1078" xr:uid="{00000000-0005-0000-0000-00007A040000}"/>
    <cellStyle name="_MultipleSpace_Book1_1 3" xfId="1079" xr:uid="{00000000-0005-0000-0000-00007B040000}"/>
    <cellStyle name="_MultipleSpace_contribution_analysis" xfId="1080" xr:uid="{00000000-0005-0000-0000-00007C040000}"/>
    <cellStyle name="_MultipleSpace_DB_Eye" xfId="1081" xr:uid="{00000000-0005-0000-0000-00007D040000}"/>
    <cellStyle name="_MultipleSpace_EyeChart" xfId="1082" xr:uid="{00000000-0005-0000-0000-00007E040000}"/>
    <cellStyle name="_MultipleSpace_EyeChart 090503" xfId="1083" xr:uid="{00000000-0005-0000-0000-00007F040000}"/>
    <cellStyle name="_MultipleSpace_Input" xfId="1084" xr:uid="{00000000-0005-0000-0000-000080040000}"/>
    <cellStyle name="_MultipleSpace_Input_1" xfId="1085" xr:uid="{00000000-0005-0000-0000-000081040000}"/>
    <cellStyle name="_MultipleSpace_Pricing" xfId="1086" xr:uid="{00000000-0005-0000-0000-000082040000}"/>
    <cellStyle name="_MultipleSpace_Sheet2" xfId="1087" xr:uid="{00000000-0005-0000-0000-000083040000}"/>
    <cellStyle name="_MultipleSpace_Sheet4" xfId="1088" xr:uid="{00000000-0005-0000-0000-000084040000}"/>
    <cellStyle name="_Percent" xfId="1089" xr:uid="{00000000-0005-0000-0000-000085040000}"/>
    <cellStyle name="_Percent 2" xfId="1090" xr:uid="{00000000-0005-0000-0000-000086040000}"/>
    <cellStyle name="_Percent 2 2" xfId="1091" xr:uid="{00000000-0005-0000-0000-000087040000}"/>
    <cellStyle name="_Percent 2 2 2" xfId="1092" xr:uid="{00000000-0005-0000-0000-000088040000}"/>
    <cellStyle name="_Percent 2 3" xfId="1093" xr:uid="{00000000-0005-0000-0000-000089040000}"/>
    <cellStyle name="_Percent 3" xfId="1094" xr:uid="{00000000-0005-0000-0000-00008A040000}"/>
    <cellStyle name="_Percent_AVP" xfId="1095" xr:uid="{00000000-0005-0000-0000-00008B040000}"/>
    <cellStyle name="_Percent_AVP 2" xfId="1096" xr:uid="{00000000-0005-0000-0000-00008C040000}"/>
    <cellStyle name="_Percent_AVP 2 2" xfId="1097" xr:uid="{00000000-0005-0000-0000-00008D040000}"/>
    <cellStyle name="_Percent_AVP 2 2 2" xfId="1098" xr:uid="{00000000-0005-0000-0000-00008E040000}"/>
    <cellStyle name="_Percent_AVP 2 3" xfId="1099" xr:uid="{00000000-0005-0000-0000-00008F040000}"/>
    <cellStyle name="_Percent_AVP 3" xfId="1100" xr:uid="{00000000-0005-0000-0000-000090040000}"/>
    <cellStyle name="_Percent_Book1" xfId="1101" xr:uid="{00000000-0005-0000-0000-000091040000}"/>
    <cellStyle name="_Percent_Book1 2" xfId="1102" xr:uid="{00000000-0005-0000-0000-000092040000}"/>
    <cellStyle name="_Percent_Book1 2 2" xfId="1103" xr:uid="{00000000-0005-0000-0000-000093040000}"/>
    <cellStyle name="_Percent_Book1 2 2 2" xfId="1104" xr:uid="{00000000-0005-0000-0000-000094040000}"/>
    <cellStyle name="_Percent_Book1 2 3" xfId="1105" xr:uid="{00000000-0005-0000-0000-000095040000}"/>
    <cellStyle name="_Percent_Book1 3" xfId="1106" xr:uid="{00000000-0005-0000-0000-000096040000}"/>
    <cellStyle name="_Percent_contribution_analysis" xfId="1107" xr:uid="{00000000-0005-0000-0000-000097040000}"/>
    <cellStyle name="_PercentSpace" xfId="1108" xr:uid="{00000000-0005-0000-0000-000098040000}"/>
    <cellStyle name="_PercentSpace 2" xfId="1109" xr:uid="{00000000-0005-0000-0000-000099040000}"/>
    <cellStyle name="_PercentSpace 2 2" xfId="1110" xr:uid="{00000000-0005-0000-0000-00009A040000}"/>
    <cellStyle name="_PercentSpace 2 2 2" xfId="1111" xr:uid="{00000000-0005-0000-0000-00009B040000}"/>
    <cellStyle name="_PercentSpace 2 3" xfId="1112" xr:uid="{00000000-0005-0000-0000-00009C040000}"/>
    <cellStyle name="_PercentSpace 3" xfId="1113" xr:uid="{00000000-0005-0000-0000-00009D040000}"/>
    <cellStyle name="_PercentSpace_AVP" xfId="1114" xr:uid="{00000000-0005-0000-0000-00009E040000}"/>
    <cellStyle name="_PercentSpace_AVP 2" xfId="1115" xr:uid="{00000000-0005-0000-0000-00009F040000}"/>
    <cellStyle name="_PercentSpace_AVP 2 2" xfId="1116" xr:uid="{00000000-0005-0000-0000-0000A0040000}"/>
    <cellStyle name="_PercentSpace_AVP 2 2 2" xfId="1117" xr:uid="{00000000-0005-0000-0000-0000A1040000}"/>
    <cellStyle name="_PercentSpace_AVP 2 3" xfId="1118" xr:uid="{00000000-0005-0000-0000-0000A2040000}"/>
    <cellStyle name="_PercentSpace_AVP 3" xfId="1119" xr:uid="{00000000-0005-0000-0000-0000A3040000}"/>
    <cellStyle name="_PercentSpace_Book1" xfId="1120" xr:uid="{00000000-0005-0000-0000-0000A4040000}"/>
    <cellStyle name="_PercentSpace_Book1 2" xfId="1121" xr:uid="{00000000-0005-0000-0000-0000A5040000}"/>
    <cellStyle name="_PercentSpace_Book1 2 2" xfId="1122" xr:uid="{00000000-0005-0000-0000-0000A6040000}"/>
    <cellStyle name="_PercentSpace_Book1 2 2 2" xfId="1123" xr:uid="{00000000-0005-0000-0000-0000A7040000}"/>
    <cellStyle name="_PercentSpace_Book1 2 3" xfId="1124" xr:uid="{00000000-0005-0000-0000-0000A8040000}"/>
    <cellStyle name="_PercentSpace_Book1 3" xfId="1125" xr:uid="{00000000-0005-0000-0000-0000A9040000}"/>
    <cellStyle name="_PercentSpace_contribution_analysis" xfId="1126" xr:uid="{00000000-0005-0000-0000-0000AA040000}"/>
    <cellStyle name="_SubHeading" xfId="1127" xr:uid="{00000000-0005-0000-0000-0000AB040000}"/>
    <cellStyle name="_SubHeading_09 Bolt Financial Performance" xfId="1128" xr:uid="{00000000-0005-0000-0000-0000AC040000}"/>
    <cellStyle name="_SubHeading_Assumptions_SALE" xfId="1129" xr:uid="{00000000-0005-0000-0000-0000AD040000}"/>
    <cellStyle name="_SubHeading_Assumptions_SALE 2" xfId="1130" xr:uid="{00000000-0005-0000-0000-0000AE040000}"/>
    <cellStyle name="_SubHeading_Assumptions_SALE_110609-AbyRenni" xfId="1131" xr:uid="{00000000-0005-0000-0000-0000AF040000}"/>
    <cellStyle name="_SubHeading_Assumptions_SALE_116th condo" xfId="1132" xr:uid="{00000000-0005-0000-0000-0000B0040000}"/>
    <cellStyle name="_SubHeading_Assumptions_SALE_116th market condo 02.23.11" xfId="1133" xr:uid="{00000000-0005-0000-0000-0000B1040000}"/>
    <cellStyle name="_SubHeading_Assumptions_SALE_116th market condo 12.27" xfId="1134" xr:uid="{00000000-0005-0000-0000-0000B2040000}"/>
    <cellStyle name="_SubHeading_Assumptions_SALE_116th market condo nmtc 03.16.11" xfId="1135" xr:uid="{00000000-0005-0000-0000-0000B3040000}"/>
    <cellStyle name="_SubHeading_Assumptions_SALE_116th market rental 12.27" xfId="1136" xr:uid="{00000000-0005-0000-0000-0000B4040000}"/>
    <cellStyle name="_SubHeading_Assumptions_SALE_120403-Utica-3rd Flr Gym" xfId="1137" xr:uid="{00000000-0005-0000-0000-0000B5040000}"/>
    <cellStyle name="_SubHeading_Assumptions_SALE_120507 Dyckman Base Case" xfId="1138" xr:uid="{00000000-0005-0000-0000-0000B6040000}"/>
    <cellStyle name="_SubHeading_Assumptions_SALE_120510 80-20 Dyckmanlg" xfId="1139" xr:uid="{00000000-0005-0000-0000-0000B7040000}"/>
    <cellStyle name="_SubHeading_Assumptions_SALE_120604 - Utica NMTC" xfId="1140" xr:uid="{00000000-0005-0000-0000-0000B8040000}"/>
    <cellStyle name="_SubHeading_Assumptions_SALE_120612 - Utica NMTC" xfId="1141" xr:uid="{00000000-0005-0000-0000-0000B9040000}"/>
    <cellStyle name="_SubHeading_Assumptions_SALE_120620 - Utica NMTC" xfId="1142" xr:uid="{00000000-0005-0000-0000-0000BA040000}"/>
    <cellStyle name="_SubHeading_Assumptions_SALE_120807 Standard Budget" xfId="1143" xr:uid="{00000000-0005-0000-0000-0000BB040000}"/>
    <cellStyle name="_SubHeading_Assumptions_SALE_130205- 280 Franklin" xfId="1144" xr:uid="{00000000-0005-0000-0000-0000BC040000}"/>
    <cellStyle name="_SubHeading_Assumptions_SALE_250 Utica 4.7.11" xfId="1145" xr:uid="{00000000-0005-0000-0000-0000BD040000}"/>
    <cellStyle name="_SubHeading_Assumptions_SALE_Dev Budget" xfId="1146" xr:uid="{00000000-0005-0000-0000-0000BE040000}"/>
    <cellStyle name="_SubHeading_Assumptions_SALE_Harlem 116th-117th 11 22 11" xfId="1147" xr:uid="{00000000-0005-0000-0000-0000BF040000}"/>
    <cellStyle name="_SubHeading_Assumptions_SALE_Harlem 116th-117th 11 7 11" xfId="1148" xr:uid="{00000000-0005-0000-0000-0000C0040000}"/>
    <cellStyle name="_SubHeading_Assumptions_SALE_Harlem 116th-117th 12-27-11" xfId="1149" xr:uid="{00000000-0005-0000-0000-0000C1040000}"/>
    <cellStyle name="_SubHeading_Assumptions_SALE_Harlem 116th-117th 12-27-11 v2" xfId="1150" xr:uid="{00000000-0005-0000-0000-0000C2040000}"/>
    <cellStyle name="_SubHeading_Assumptions_SALE_Harlem 116th-117th 3-12-12" xfId="1151" xr:uid="{00000000-0005-0000-0000-0000C3040000}"/>
    <cellStyle name="_SubHeading_Assumptions_SALE_Harlem 116th-117th 4.8.11" xfId="1152" xr:uid="{00000000-0005-0000-0000-0000C4040000}"/>
    <cellStyle name="_SubHeading_Assumptions_SALE_Harlem 116th-117th 4.8.11 v1" xfId="1153" xr:uid="{00000000-0005-0000-0000-0000C5040000}"/>
    <cellStyle name="_SubHeading_Assumptions_SALE_Harlem 116th-117th 4-10-12" xfId="1154" xr:uid="{00000000-0005-0000-0000-0000C6040000}"/>
    <cellStyle name="_SubHeading_Assumptions_SALE_Harlem 116th-117th 5-22-12" xfId="1155" xr:uid="{00000000-0005-0000-0000-0000C7040000}"/>
    <cellStyle name="_SubHeading_Assumptions_SALE_Harlem 116th-117th 5-25-12 v1" xfId="1156" xr:uid="{00000000-0005-0000-0000-0000C8040000}"/>
    <cellStyle name="_SubHeading_Assumptions_SALE_Harlem 116th-117th 5-3-12" xfId="1157" xr:uid="{00000000-0005-0000-0000-0000C9040000}"/>
    <cellStyle name="_SubHeading_Assumptions_SALE_Harlem 116th-117th 6.16.11 v1" xfId="1158" xr:uid="{00000000-0005-0000-0000-0000CA040000}"/>
    <cellStyle name="_SubHeading_Assumptions_SALE_Harlem 116th-117th 6.20.11 v1" xfId="1159" xr:uid="{00000000-0005-0000-0000-0000CB040000}"/>
    <cellStyle name="_SubHeading_Assumptions_SALE_Harlem 116th-117th 6-1-12-js" xfId="1160" xr:uid="{00000000-0005-0000-0000-0000CC040000}"/>
    <cellStyle name="_SubHeading_Assumptions_SALE_Harlem 116th-117th 6-4-12" xfId="1161" xr:uid="{00000000-0005-0000-0000-0000CD040000}"/>
    <cellStyle name="_SubHeading_Assumptions_SALE_Harlem 116th-117th 6-4-12 -JS ACQUISITION CLOSING TAB" xfId="1162" xr:uid="{00000000-0005-0000-0000-0000CE040000}"/>
    <cellStyle name="_SubHeading_Assumptions_SALE_Harlem 116th-117th 6-5-12 v1" xfId="1163" xr:uid="{00000000-0005-0000-0000-0000CF040000}"/>
    <cellStyle name="_SubHeading_Assumptions_SALE_Harlem 116th-117th 7.7.11_condo 116 with updated TC tabs" xfId="1164" xr:uid="{00000000-0005-0000-0000-0000D0040000}"/>
    <cellStyle name="_SubHeading_Assumptions_SALE_Harlem 116th-117th 8 22 11_all rental" xfId="1165" xr:uid="{00000000-0005-0000-0000-0000D1040000}"/>
    <cellStyle name="_SubHeading_Assumptions_SALE_HCR Source Budget" xfId="1166" xr:uid="{00000000-0005-0000-0000-0000D2040000}"/>
    <cellStyle name="_SubHeading_Assumptions_SALE_HRP-1951 Park - NORTH" xfId="1167" xr:uid="{00000000-0005-0000-0000-0000D3040000}"/>
    <cellStyle name="_SubHeading_Assumptions_SALE_LIC 03.01.11" xfId="1168" xr:uid="{00000000-0005-0000-0000-0000D4040000}"/>
    <cellStyle name="_SubHeading_Assumptions_SALE_LIC Pearson 07-07-11" xfId="1169" xr:uid="{00000000-0005-0000-0000-0000D5040000}"/>
    <cellStyle name="_SubHeading_Assumptions_SALE_LIC Pearson 12-27-11" xfId="1170" xr:uid="{00000000-0005-0000-0000-0000D6040000}"/>
    <cellStyle name="_SubHeading_Assumptions_SALE_LIC Pearson April 2012-d" xfId="1171" xr:uid="{00000000-0005-0000-0000-0000D7040000}"/>
    <cellStyle name="_SubHeading_Assumptions_SALE_M&amp;O" xfId="1172" xr:uid="{00000000-0005-0000-0000-0000D8040000}"/>
    <cellStyle name="_SubHeading_Assumptions_SALE_NSP Trois 02.24.11" xfId="1173" xr:uid="{00000000-0005-0000-0000-0000D9040000}"/>
    <cellStyle name="_SubHeading_Assumptions_SALE_NSP Trois 03.01.11" xfId="1174" xr:uid="{00000000-0005-0000-0000-0000DA040000}"/>
    <cellStyle name="_SubHeading_Assumptions_SALE_Sheet1" xfId="1175" xr:uid="{00000000-0005-0000-0000-0000DB040000}"/>
    <cellStyle name="_SubHeading_Assumptions_SALE_Summary" xfId="1176" xr:uid="{00000000-0005-0000-0000-0000DC040000}"/>
    <cellStyle name="_SubHeading_Bolt Financial Performance" xfId="1177" xr:uid="{00000000-0005-0000-0000-0000DD040000}"/>
    <cellStyle name="_SubHeading_Merger Plans v 2" xfId="1178" xr:uid="{00000000-0005-0000-0000-0000DE040000}"/>
    <cellStyle name="_SubHeading_Merger Plans v03" xfId="1179" xr:uid="{00000000-0005-0000-0000-0000DF040000}"/>
    <cellStyle name="_SubHeading_Model 09" xfId="1180" xr:uid="{00000000-0005-0000-0000-0000E0040000}"/>
    <cellStyle name="_SubHeading_Model Short Form2" xfId="1181" xr:uid="{00000000-0005-0000-0000-0000E1040000}"/>
    <cellStyle name="_SubHeading_Model Short Form2 2" xfId="1182" xr:uid="{00000000-0005-0000-0000-0000E2040000}"/>
    <cellStyle name="_SubHeading_Model Short Form2_110609-AbyRenni" xfId="1183" xr:uid="{00000000-0005-0000-0000-0000E3040000}"/>
    <cellStyle name="_SubHeading_Model Short Form2_116th condo" xfId="1184" xr:uid="{00000000-0005-0000-0000-0000E4040000}"/>
    <cellStyle name="_SubHeading_Model Short Form2_116th market condo 02.23.11" xfId="1185" xr:uid="{00000000-0005-0000-0000-0000E5040000}"/>
    <cellStyle name="_SubHeading_Model Short Form2_116th market condo 12.27" xfId="1186" xr:uid="{00000000-0005-0000-0000-0000E6040000}"/>
    <cellStyle name="_SubHeading_Model Short Form2_116th market condo nmtc 03.16.11" xfId="1187" xr:uid="{00000000-0005-0000-0000-0000E7040000}"/>
    <cellStyle name="_SubHeading_Model Short Form2_116th market rental 12.27" xfId="1188" xr:uid="{00000000-0005-0000-0000-0000E8040000}"/>
    <cellStyle name="_SubHeading_Model Short Form2_120403-Utica-3rd Flr Gym" xfId="1189" xr:uid="{00000000-0005-0000-0000-0000E9040000}"/>
    <cellStyle name="_SubHeading_Model Short Form2_120507 Dyckman Base Case" xfId="1190" xr:uid="{00000000-0005-0000-0000-0000EA040000}"/>
    <cellStyle name="_SubHeading_Model Short Form2_120510 80-20 Dyckmanlg" xfId="1191" xr:uid="{00000000-0005-0000-0000-0000EB040000}"/>
    <cellStyle name="_SubHeading_Model Short Form2_120604 - Utica NMTC" xfId="1192" xr:uid="{00000000-0005-0000-0000-0000EC040000}"/>
    <cellStyle name="_SubHeading_Model Short Form2_120612 - Utica NMTC" xfId="1193" xr:uid="{00000000-0005-0000-0000-0000ED040000}"/>
    <cellStyle name="_SubHeading_Model Short Form2_120620 - Utica NMTC" xfId="1194" xr:uid="{00000000-0005-0000-0000-0000EE040000}"/>
    <cellStyle name="_SubHeading_Model Short Form2_120807 Standard Budget" xfId="1195" xr:uid="{00000000-0005-0000-0000-0000EF040000}"/>
    <cellStyle name="_SubHeading_Model Short Form2_130205- 280 Franklin" xfId="1196" xr:uid="{00000000-0005-0000-0000-0000F0040000}"/>
    <cellStyle name="_SubHeading_Model Short Form2_250 Utica 4.7.11" xfId="1197" xr:uid="{00000000-0005-0000-0000-0000F1040000}"/>
    <cellStyle name="_SubHeading_Model Short Form2_Dev Budget" xfId="1198" xr:uid="{00000000-0005-0000-0000-0000F2040000}"/>
    <cellStyle name="_SubHeading_Model Short Form2_Harlem 116th-117th 11 22 11" xfId="1199" xr:uid="{00000000-0005-0000-0000-0000F3040000}"/>
    <cellStyle name="_SubHeading_Model Short Form2_Harlem 116th-117th 11 7 11" xfId="1200" xr:uid="{00000000-0005-0000-0000-0000F4040000}"/>
    <cellStyle name="_SubHeading_Model Short Form2_Harlem 116th-117th 12-27-11" xfId="1201" xr:uid="{00000000-0005-0000-0000-0000F5040000}"/>
    <cellStyle name="_SubHeading_Model Short Form2_Harlem 116th-117th 12-27-11 v2" xfId="1202" xr:uid="{00000000-0005-0000-0000-0000F6040000}"/>
    <cellStyle name="_SubHeading_Model Short Form2_Harlem 116th-117th 3-12-12" xfId="1203" xr:uid="{00000000-0005-0000-0000-0000F7040000}"/>
    <cellStyle name="_SubHeading_Model Short Form2_Harlem 116th-117th 4.8.11" xfId="1204" xr:uid="{00000000-0005-0000-0000-0000F8040000}"/>
    <cellStyle name="_SubHeading_Model Short Form2_Harlem 116th-117th 4.8.11 v1" xfId="1205" xr:uid="{00000000-0005-0000-0000-0000F9040000}"/>
    <cellStyle name="_SubHeading_Model Short Form2_Harlem 116th-117th 4-10-12" xfId="1206" xr:uid="{00000000-0005-0000-0000-0000FA040000}"/>
    <cellStyle name="_SubHeading_Model Short Form2_Harlem 116th-117th 5-22-12" xfId="1207" xr:uid="{00000000-0005-0000-0000-0000FB040000}"/>
    <cellStyle name="_SubHeading_Model Short Form2_Harlem 116th-117th 5-25-12 v1" xfId="1208" xr:uid="{00000000-0005-0000-0000-0000FC040000}"/>
    <cellStyle name="_SubHeading_Model Short Form2_Harlem 116th-117th 5-3-12" xfId="1209" xr:uid="{00000000-0005-0000-0000-0000FD040000}"/>
    <cellStyle name="_SubHeading_Model Short Form2_Harlem 116th-117th 6.16.11 v1" xfId="1210" xr:uid="{00000000-0005-0000-0000-0000FE040000}"/>
    <cellStyle name="_SubHeading_Model Short Form2_Harlem 116th-117th 6.20.11 v1" xfId="1211" xr:uid="{00000000-0005-0000-0000-0000FF040000}"/>
    <cellStyle name="_SubHeading_Model Short Form2_Harlem 116th-117th 6-1-12-js" xfId="1212" xr:uid="{00000000-0005-0000-0000-000000050000}"/>
    <cellStyle name="_SubHeading_Model Short Form2_Harlem 116th-117th 6-4-12" xfId="1213" xr:uid="{00000000-0005-0000-0000-000001050000}"/>
    <cellStyle name="_SubHeading_Model Short Form2_Harlem 116th-117th 6-4-12 -JS ACQUISITION CLOSING TAB" xfId="1214" xr:uid="{00000000-0005-0000-0000-000002050000}"/>
    <cellStyle name="_SubHeading_Model Short Form2_Harlem 116th-117th 6-5-12 v1" xfId="1215" xr:uid="{00000000-0005-0000-0000-000003050000}"/>
    <cellStyle name="_SubHeading_Model Short Form2_Harlem 116th-117th 7.7.11_condo 116 with updated TC tabs" xfId="1216" xr:uid="{00000000-0005-0000-0000-000004050000}"/>
    <cellStyle name="_SubHeading_Model Short Form2_Harlem 116th-117th 8 22 11_all rental" xfId="1217" xr:uid="{00000000-0005-0000-0000-000005050000}"/>
    <cellStyle name="_SubHeading_Model Short Form2_HCR Source Budget" xfId="1218" xr:uid="{00000000-0005-0000-0000-000006050000}"/>
    <cellStyle name="_SubHeading_Model Short Form2_HRP-1951 Park - NORTH" xfId="1219" xr:uid="{00000000-0005-0000-0000-000007050000}"/>
    <cellStyle name="_SubHeading_Model Short Form2_LIC 03.01.11" xfId="1220" xr:uid="{00000000-0005-0000-0000-000008050000}"/>
    <cellStyle name="_SubHeading_Model Short Form2_LIC Pearson 07-07-11" xfId="1221" xr:uid="{00000000-0005-0000-0000-000009050000}"/>
    <cellStyle name="_SubHeading_Model Short Form2_LIC Pearson 12-27-11" xfId="1222" xr:uid="{00000000-0005-0000-0000-00000A050000}"/>
    <cellStyle name="_SubHeading_Model Short Form2_LIC Pearson April 2012-d" xfId="1223" xr:uid="{00000000-0005-0000-0000-00000B050000}"/>
    <cellStyle name="_SubHeading_Model Short Form2_M&amp;O" xfId="1224" xr:uid="{00000000-0005-0000-0000-00000C050000}"/>
    <cellStyle name="_SubHeading_Model Short Form2_NSP Trois 02.24.11" xfId="1225" xr:uid="{00000000-0005-0000-0000-00000D050000}"/>
    <cellStyle name="_SubHeading_Model Short Form2_NSP Trois 03.01.11" xfId="1226" xr:uid="{00000000-0005-0000-0000-00000E050000}"/>
    <cellStyle name="_SubHeading_Model Short Form2_Sheet1" xfId="1227" xr:uid="{00000000-0005-0000-0000-00000F050000}"/>
    <cellStyle name="_SubHeading_Model Short Form2_Summary" xfId="1228" xr:uid="{00000000-0005-0000-0000-000010050000}"/>
    <cellStyle name="_SubHeading_prestemp" xfId="1229" xr:uid="{00000000-0005-0000-0000-000011050000}"/>
    <cellStyle name="_SubHeading_rent vs. own analysis" xfId="1230" xr:uid="{00000000-0005-0000-0000-000012050000}"/>
    <cellStyle name="_SubHeading_Union CIty" xfId="1231" xr:uid="{00000000-0005-0000-0000-000013050000}"/>
    <cellStyle name="_SubHeading_WMB - Power Merger Plans v01" xfId="1232" xr:uid="{00000000-0005-0000-0000-000014050000}"/>
    <cellStyle name="_Table" xfId="1233" xr:uid="{00000000-0005-0000-0000-000015050000}"/>
    <cellStyle name="_Table 2" xfId="5448" xr:uid="{00000000-0005-0000-0000-000016050000}"/>
    <cellStyle name="_Table_09 Bolt Financial Performance" xfId="1234" xr:uid="{00000000-0005-0000-0000-000017050000}"/>
    <cellStyle name="_Table_Assumptions" xfId="1235" xr:uid="{00000000-0005-0000-0000-000018050000}"/>
    <cellStyle name="_Table_Assumptions_SALE" xfId="1236" xr:uid="{00000000-0005-0000-0000-000019050000}"/>
    <cellStyle name="_Table_Assumptions_SALE 2" xfId="1237" xr:uid="{00000000-0005-0000-0000-00001A050000}"/>
    <cellStyle name="_Table_Assumptions_SALE_110609-AbyRenni" xfId="1238" xr:uid="{00000000-0005-0000-0000-00001B050000}"/>
    <cellStyle name="_Table_Assumptions_SALE_116th condo" xfId="1239" xr:uid="{00000000-0005-0000-0000-00001C050000}"/>
    <cellStyle name="_Table_Assumptions_SALE_116th market condo 02.23.11" xfId="1240" xr:uid="{00000000-0005-0000-0000-00001D050000}"/>
    <cellStyle name="_Table_Assumptions_SALE_116th market condo 12.27" xfId="1241" xr:uid="{00000000-0005-0000-0000-00001E050000}"/>
    <cellStyle name="_Table_Assumptions_SALE_116th market condo nmtc 03.16.11" xfId="1242" xr:uid="{00000000-0005-0000-0000-00001F050000}"/>
    <cellStyle name="_Table_Assumptions_SALE_116th market rental 12.27" xfId="1243" xr:uid="{00000000-0005-0000-0000-000020050000}"/>
    <cellStyle name="_Table_Assumptions_SALE_120403-Utica-3rd Flr Gym" xfId="1244" xr:uid="{00000000-0005-0000-0000-000021050000}"/>
    <cellStyle name="_Table_Assumptions_SALE_120507 Dyckman Base Case" xfId="1245" xr:uid="{00000000-0005-0000-0000-000022050000}"/>
    <cellStyle name="_Table_Assumptions_SALE_120510 80-20 Dyckmanlg" xfId="1246" xr:uid="{00000000-0005-0000-0000-000023050000}"/>
    <cellStyle name="_Table_Assumptions_SALE_120604 - Utica NMTC" xfId="1247" xr:uid="{00000000-0005-0000-0000-000024050000}"/>
    <cellStyle name="_Table_Assumptions_SALE_120612 - Utica NMTC" xfId="1248" xr:uid="{00000000-0005-0000-0000-000025050000}"/>
    <cellStyle name="_Table_Assumptions_SALE_120620 - Utica NMTC" xfId="1249" xr:uid="{00000000-0005-0000-0000-000026050000}"/>
    <cellStyle name="_Table_Assumptions_SALE_120807 Standard Budget" xfId="1250" xr:uid="{00000000-0005-0000-0000-000027050000}"/>
    <cellStyle name="_Table_Assumptions_SALE_130205- 280 Franklin" xfId="1251" xr:uid="{00000000-0005-0000-0000-000028050000}"/>
    <cellStyle name="_Table_Assumptions_SALE_250 Utica 4.7.11" xfId="1252" xr:uid="{00000000-0005-0000-0000-000029050000}"/>
    <cellStyle name="_Table_Assumptions_SALE_Dev Budget" xfId="1253" xr:uid="{00000000-0005-0000-0000-00002A050000}"/>
    <cellStyle name="_Table_Assumptions_SALE_Harlem 116th-117th 11 22 11" xfId="1254" xr:uid="{00000000-0005-0000-0000-00002B050000}"/>
    <cellStyle name="_Table_Assumptions_SALE_Harlem 116th-117th 11 7 11" xfId="1255" xr:uid="{00000000-0005-0000-0000-00002C050000}"/>
    <cellStyle name="_Table_Assumptions_SALE_Harlem 116th-117th 12-27-11" xfId="1256" xr:uid="{00000000-0005-0000-0000-00002D050000}"/>
    <cellStyle name="_Table_Assumptions_SALE_Harlem 116th-117th 12-27-11 v2" xfId="1257" xr:uid="{00000000-0005-0000-0000-00002E050000}"/>
    <cellStyle name="_Table_Assumptions_SALE_Harlem 116th-117th 3-12-12" xfId="1258" xr:uid="{00000000-0005-0000-0000-00002F050000}"/>
    <cellStyle name="_Table_Assumptions_SALE_Harlem 116th-117th 4.8.11" xfId="1259" xr:uid="{00000000-0005-0000-0000-000030050000}"/>
    <cellStyle name="_Table_Assumptions_SALE_Harlem 116th-117th 4.8.11 v1" xfId="1260" xr:uid="{00000000-0005-0000-0000-000031050000}"/>
    <cellStyle name="_Table_Assumptions_SALE_Harlem 116th-117th 4-10-12" xfId="1261" xr:uid="{00000000-0005-0000-0000-000032050000}"/>
    <cellStyle name="_Table_Assumptions_SALE_Harlem 116th-117th 5-22-12" xfId="1262" xr:uid="{00000000-0005-0000-0000-000033050000}"/>
    <cellStyle name="_Table_Assumptions_SALE_Harlem 116th-117th 5-25-12 v1" xfId="1263" xr:uid="{00000000-0005-0000-0000-000034050000}"/>
    <cellStyle name="_Table_Assumptions_SALE_Harlem 116th-117th 5-3-12" xfId="1264" xr:uid="{00000000-0005-0000-0000-000035050000}"/>
    <cellStyle name="_Table_Assumptions_SALE_Harlem 116th-117th 6.16.11 v1" xfId="1265" xr:uid="{00000000-0005-0000-0000-000036050000}"/>
    <cellStyle name="_Table_Assumptions_SALE_Harlem 116th-117th 6.20.11 v1" xfId="1266" xr:uid="{00000000-0005-0000-0000-000037050000}"/>
    <cellStyle name="_Table_Assumptions_SALE_Harlem 116th-117th 6-1-12-js" xfId="1267" xr:uid="{00000000-0005-0000-0000-000038050000}"/>
    <cellStyle name="_Table_Assumptions_SALE_Harlem 116th-117th 6-4-12" xfId="1268" xr:uid="{00000000-0005-0000-0000-000039050000}"/>
    <cellStyle name="_Table_Assumptions_SALE_Harlem 116th-117th 6-4-12 -JS ACQUISITION CLOSING TAB" xfId="1269" xr:uid="{00000000-0005-0000-0000-00003A050000}"/>
    <cellStyle name="_Table_Assumptions_SALE_Harlem 116th-117th 6-5-12 v1" xfId="1270" xr:uid="{00000000-0005-0000-0000-00003B050000}"/>
    <cellStyle name="_Table_Assumptions_SALE_Harlem 116th-117th 7.7.11_condo 116 with updated TC tabs" xfId="1271" xr:uid="{00000000-0005-0000-0000-00003C050000}"/>
    <cellStyle name="_Table_Assumptions_SALE_Harlem 116th-117th 8 22 11_all rental" xfId="1272" xr:uid="{00000000-0005-0000-0000-00003D050000}"/>
    <cellStyle name="_Table_Assumptions_SALE_HCR Source Budget" xfId="1273" xr:uid="{00000000-0005-0000-0000-00003E050000}"/>
    <cellStyle name="_Table_Assumptions_SALE_HRP-1951 Park - NORTH" xfId="1274" xr:uid="{00000000-0005-0000-0000-00003F050000}"/>
    <cellStyle name="_Table_Assumptions_SALE_LIC 03.01.11" xfId="1275" xr:uid="{00000000-0005-0000-0000-000040050000}"/>
    <cellStyle name="_Table_Assumptions_SALE_LIC Pearson 07-07-11" xfId="1276" xr:uid="{00000000-0005-0000-0000-000041050000}"/>
    <cellStyle name="_Table_Assumptions_SALE_LIC Pearson 12-27-11" xfId="1277" xr:uid="{00000000-0005-0000-0000-000042050000}"/>
    <cellStyle name="_Table_Assumptions_SALE_LIC Pearson April 2012-d" xfId="1278" xr:uid="{00000000-0005-0000-0000-000043050000}"/>
    <cellStyle name="_Table_Assumptions_SALE_M&amp;O" xfId="1279" xr:uid="{00000000-0005-0000-0000-000044050000}"/>
    <cellStyle name="_Table_Assumptions_SALE_NSP Trois 02.24.11" xfId="1280" xr:uid="{00000000-0005-0000-0000-000045050000}"/>
    <cellStyle name="_Table_Assumptions_SALE_NSP Trois 03.01.11" xfId="1281" xr:uid="{00000000-0005-0000-0000-000046050000}"/>
    <cellStyle name="_Table_Assumptions_SALE_Sheet1" xfId="1282" xr:uid="{00000000-0005-0000-0000-000047050000}"/>
    <cellStyle name="_Table_Assumptions_SALE_Summary" xfId="1283" xr:uid="{00000000-0005-0000-0000-000048050000}"/>
    <cellStyle name="_Table_Bolt Financial Performance" xfId="1284" xr:uid="{00000000-0005-0000-0000-000049050000}"/>
    <cellStyle name="_Table_Bolt Financials and Comps" xfId="1285" xr:uid="{00000000-0005-0000-0000-00004A050000}"/>
    <cellStyle name="_Table_Book1" xfId="1286" xr:uid="{00000000-0005-0000-0000-00004B050000}"/>
    <cellStyle name="_Table_Merger Plans v 2" xfId="1287" xr:uid="{00000000-0005-0000-0000-00004C050000}"/>
    <cellStyle name="_Table_Merger Plans v01" xfId="1288" xr:uid="{00000000-0005-0000-0000-00004D050000}"/>
    <cellStyle name="_Table_Merger Plans v03" xfId="1289" xr:uid="{00000000-0005-0000-0000-00004E050000}"/>
    <cellStyle name="_Table_Merger Plans v03 2" xfId="3610" xr:uid="{00000000-0005-0000-0000-00004F050000}"/>
    <cellStyle name="_Table_Merger Plans v03 2 2" xfId="3933" xr:uid="{00000000-0005-0000-0000-000050050000}"/>
    <cellStyle name="_Table_Merger Plans v03 2 2 2" xfId="6193" xr:uid="{EF06A5EA-EC5E-41C0-A54E-4C187A69134C}"/>
    <cellStyle name="_Table_Merger Plans v03 2 3" xfId="6084" xr:uid="{A9429C23-9A19-4F2A-B5F3-26E11C927F49}"/>
    <cellStyle name="_Table_Merger Plans v03 3" xfId="3152" xr:uid="{00000000-0005-0000-0000-000051050000}"/>
    <cellStyle name="_Table_Merger Plans v03 3 2" xfId="6013" xr:uid="{072A56B4-0A26-41B3-B8AB-19337D6C387B}"/>
    <cellStyle name="_Table_Merger Plans v03 4" xfId="3264" xr:uid="{00000000-0005-0000-0000-000052050000}"/>
    <cellStyle name="_Table_Merger Plans v03 4 2" xfId="6023" xr:uid="{4CECC190-C900-4E08-9AC6-7AE10EB5FD7D}"/>
    <cellStyle name="_Table_Merger Plans v03 5" xfId="5877" xr:uid="{4F9E18D8-6E5B-4082-B867-4398DEDC4B40}"/>
    <cellStyle name="_Table_Merger Plans v04" xfId="1290" xr:uid="{00000000-0005-0000-0000-000053050000}"/>
    <cellStyle name="_Table_Merger Plans v04 2" xfId="3611" xr:uid="{00000000-0005-0000-0000-000054050000}"/>
    <cellStyle name="_Table_Merger Plans v04 2 2" xfId="3934" xr:uid="{00000000-0005-0000-0000-000055050000}"/>
    <cellStyle name="_Table_Merger Plans v04 2 2 2" xfId="6194" xr:uid="{12E05B28-ED54-4A39-A169-72E24692500A}"/>
    <cellStyle name="_Table_Merger Plans v04 2 3" xfId="6085" xr:uid="{8F6C23BF-34EF-4C89-9465-7F306E957977}"/>
    <cellStyle name="_Table_Merger Plans v04 3" xfId="3153" xr:uid="{00000000-0005-0000-0000-000056050000}"/>
    <cellStyle name="_Table_Merger Plans v04 3 2" xfId="6014" xr:uid="{E538953A-5820-4FAB-8988-CFE90CE15E77}"/>
    <cellStyle name="_Table_Merger Plans v04 4" xfId="3262" xr:uid="{00000000-0005-0000-0000-000057050000}"/>
    <cellStyle name="_Table_Merger Plans v04 4 2" xfId="6022" xr:uid="{3F3C9ED8-230F-41E4-8712-0C49FC6D0D3E}"/>
    <cellStyle name="_Table_Merger Plans v04 5" xfId="5878" xr:uid="{2D104C84-3389-4D0A-9F4A-7AA19A2DD89E}"/>
    <cellStyle name="_Table_Model 09" xfId="1291" xr:uid="{00000000-0005-0000-0000-000058050000}"/>
    <cellStyle name="_Table_Model Short Form2" xfId="1292" xr:uid="{00000000-0005-0000-0000-000059050000}"/>
    <cellStyle name="_Table_Model Short Form2 2" xfId="1293" xr:uid="{00000000-0005-0000-0000-00005A050000}"/>
    <cellStyle name="_Table_Model Short Form2_110609-AbyRenni" xfId="1294" xr:uid="{00000000-0005-0000-0000-00005B050000}"/>
    <cellStyle name="_Table_Model Short Form2_116th condo" xfId="1295" xr:uid="{00000000-0005-0000-0000-00005C050000}"/>
    <cellStyle name="_Table_Model Short Form2_116th market condo 02.23.11" xfId="1296" xr:uid="{00000000-0005-0000-0000-00005D050000}"/>
    <cellStyle name="_Table_Model Short Form2_116th market condo 12.27" xfId="1297" xr:uid="{00000000-0005-0000-0000-00005E050000}"/>
    <cellStyle name="_Table_Model Short Form2_116th market condo nmtc 03.16.11" xfId="1298" xr:uid="{00000000-0005-0000-0000-00005F050000}"/>
    <cellStyle name="_Table_Model Short Form2_116th market rental 12.27" xfId="1299" xr:uid="{00000000-0005-0000-0000-000060050000}"/>
    <cellStyle name="_Table_Model Short Form2_120403-Utica-3rd Flr Gym" xfId="1300" xr:uid="{00000000-0005-0000-0000-000061050000}"/>
    <cellStyle name="_Table_Model Short Form2_120507 Dyckman Base Case" xfId="1301" xr:uid="{00000000-0005-0000-0000-000062050000}"/>
    <cellStyle name="_Table_Model Short Form2_120510 80-20 Dyckmanlg" xfId="1302" xr:uid="{00000000-0005-0000-0000-000063050000}"/>
    <cellStyle name="_Table_Model Short Form2_120604 - Utica NMTC" xfId="1303" xr:uid="{00000000-0005-0000-0000-000064050000}"/>
    <cellStyle name="_Table_Model Short Form2_120612 - Utica NMTC" xfId="1304" xr:uid="{00000000-0005-0000-0000-000065050000}"/>
    <cellStyle name="_Table_Model Short Form2_120620 - Utica NMTC" xfId="1305" xr:uid="{00000000-0005-0000-0000-000066050000}"/>
    <cellStyle name="_Table_Model Short Form2_120807 Standard Budget" xfId="1306" xr:uid="{00000000-0005-0000-0000-000067050000}"/>
    <cellStyle name="_Table_Model Short Form2_130205- 280 Franklin" xfId="1307" xr:uid="{00000000-0005-0000-0000-000068050000}"/>
    <cellStyle name="_Table_Model Short Form2_250 Utica 4.7.11" xfId="1308" xr:uid="{00000000-0005-0000-0000-000069050000}"/>
    <cellStyle name="_Table_Model Short Form2_Dev Budget" xfId="1309" xr:uid="{00000000-0005-0000-0000-00006A050000}"/>
    <cellStyle name="_Table_Model Short Form2_Harlem 116th-117th 11 22 11" xfId="1310" xr:uid="{00000000-0005-0000-0000-00006B050000}"/>
    <cellStyle name="_Table_Model Short Form2_Harlem 116th-117th 11 7 11" xfId="1311" xr:uid="{00000000-0005-0000-0000-00006C050000}"/>
    <cellStyle name="_Table_Model Short Form2_Harlem 116th-117th 12-27-11" xfId="1312" xr:uid="{00000000-0005-0000-0000-00006D050000}"/>
    <cellStyle name="_Table_Model Short Form2_Harlem 116th-117th 12-27-11 v2" xfId="1313" xr:uid="{00000000-0005-0000-0000-00006E050000}"/>
    <cellStyle name="_Table_Model Short Form2_Harlem 116th-117th 3-12-12" xfId="1314" xr:uid="{00000000-0005-0000-0000-00006F050000}"/>
    <cellStyle name="_Table_Model Short Form2_Harlem 116th-117th 4.8.11" xfId="1315" xr:uid="{00000000-0005-0000-0000-000070050000}"/>
    <cellStyle name="_Table_Model Short Form2_Harlem 116th-117th 4.8.11 v1" xfId="1316" xr:uid="{00000000-0005-0000-0000-000071050000}"/>
    <cellStyle name="_Table_Model Short Form2_Harlem 116th-117th 4-10-12" xfId="1317" xr:uid="{00000000-0005-0000-0000-000072050000}"/>
    <cellStyle name="_Table_Model Short Form2_Harlem 116th-117th 5-22-12" xfId="1318" xr:uid="{00000000-0005-0000-0000-000073050000}"/>
    <cellStyle name="_Table_Model Short Form2_Harlem 116th-117th 5-25-12 v1" xfId="1319" xr:uid="{00000000-0005-0000-0000-000074050000}"/>
    <cellStyle name="_Table_Model Short Form2_Harlem 116th-117th 5-3-12" xfId="1320" xr:uid="{00000000-0005-0000-0000-000075050000}"/>
    <cellStyle name="_Table_Model Short Form2_Harlem 116th-117th 6.16.11 v1" xfId="1321" xr:uid="{00000000-0005-0000-0000-000076050000}"/>
    <cellStyle name="_Table_Model Short Form2_Harlem 116th-117th 6.20.11 v1" xfId="1322" xr:uid="{00000000-0005-0000-0000-000077050000}"/>
    <cellStyle name="_Table_Model Short Form2_Harlem 116th-117th 6-1-12-js" xfId="1323" xr:uid="{00000000-0005-0000-0000-000078050000}"/>
    <cellStyle name="_Table_Model Short Form2_Harlem 116th-117th 6-4-12" xfId="1324" xr:uid="{00000000-0005-0000-0000-000079050000}"/>
    <cellStyle name="_Table_Model Short Form2_Harlem 116th-117th 6-4-12 -JS ACQUISITION CLOSING TAB" xfId="1325" xr:uid="{00000000-0005-0000-0000-00007A050000}"/>
    <cellStyle name="_Table_Model Short Form2_Harlem 116th-117th 6-5-12 v1" xfId="1326" xr:uid="{00000000-0005-0000-0000-00007B050000}"/>
    <cellStyle name="_Table_Model Short Form2_Harlem 116th-117th 7.7.11_condo 116 with updated TC tabs" xfId="1327" xr:uid="{00000000-0005-0000-0000-00007C050000}"/>
    <cellStyle name="_Table_Model Short Form2_Harlem 116th-117th 8 22 11_all rental" xfId="1328" xr:uid="{00000000-0005-0000-0000-00007D050000}"/>
    <cellStyle name="_Table_Model Short Form2_HCR Source Budget" xfId="1329" xr:uid="{00000000-0005-0000-0000-00007E050000}"/>
    <cellStyle name="_Table_Model Short Form2_HRP-1951 Park - NORTH" xfId="1330" xr:uid="{00000000-0005-0000-0000-00007F050000}"/>
    <cellStyle name="_Table_Model Short Form2_LIC 03.01.11" xfId="1331" xr:uid="{00000000-0005-0000-0000-000080050000}"/>
    <cellStyle name="_Table_Model Short Form2_LIC Pearson 07-07-11" xfId="1332" xr:uid="{00000000-0005-0000-0000-000081050000}"/>
    <cellStyle name="_Table_Model Short Form2_LIC Pearson 12-27-11" xfId="1333" xr:uid="{00000000-0005-0000-0000-000082050000}"/>
    <cellStyle name="_Table_Model Short Form2_LIC Pearson April 2012-d" xfId="1334" xr:uid="{00000000-0005-0000-0000-000083050000}"/>
    <cellStyle name="_Table_Model Short Form2_M&amp;O" xfId="1335" xr:uid="{00000000-0005-0000-0000-000084050000}"/>
    <cellStyle name="_Table_Model Short Form2_NSP Trois 02.24.11" xfId="1336" xr:uid="{00000000-0005-0000-0000-000085050000}"/>
    <cellStyle name="_Table_Model Short Form2_NSP Trois 03.01.11" xfId="1337" xr:uid="{00000000-0005-0000-0000-000086050000}"/>
    <cellStyle name="_Table_Model Short Form2_Sheet1" xfId="1338" xr:uid="{00000000-0005-0000-0000-000087050000}"/>
    <cellStyle name="_Table_Model Short Form2_Summary" xfId="1339" xr:uid="{00000000-0005-0000-0000-000088050000}"/>
    <cellStyle name="_Table_rent vs. own analysis" xfId="1340" xr:uid="{00000000-0005-0000-0000-000089050000}"/>
    <cellStyle name="_Table_Union CIty" xfId="1341" xr:uid="{00000000-0005-0000-0000-00008A050000}"/>
    <cellStyle name="_TableHead" xfId="1342" xr:uid="{00000000-0005-0000-0000-00008B050000}"/>
    <cellStyle name="_TableHead 2" xfId="3154" xr:uid="{00000000-0005-0000-0000-00008C050000}"/>
    <cellStyle name="_TableHead_Arena budget (9-9-07)" xfId="5360" xr:uid="{00000000-0005-0000-0000-00008D050000}"/>
    <cellStyle name="_TableHead_Assumptions_SALE" xfId="1343" xr:uid="{00000000-0005-0000-0000-00008E050000}"/>
    <cellStyle name="_TableHead_Assumptions_SALE 2" xfId="1344" xr:uid="{00000000-0005-0000-0000-00008F050000}"/>
    <cellStyle name="_TableHead_Assumptions_SALE 2 2" xfId="3156" xr:uid="{00000000-0005-0000-0000-000090050000}"/>
    <cellStyle name="_TableHead_Assumptions_SALE 3" xfId="3155" xr:uid="{00000000-0005-0000-0000-000091050000}"/>
    <cellStyle name="_TableHead_Assumptions_SALE_110609-AbyRenni" xfId="1345" xr:uid="{00000000-0005-0000-0000-000092050000}"/>
    <cellStyle name="_TableHead_Assumptions_SALE_110609-AbyRenni 2" xfId="3157" xr:uid="{00000000-0005-0000-0000-000093050000}"/>
    <cellStyle name="_TableHead_Assumptions_SALE_116th condo" xfId="1346" xr:uid="{00000000-0005-0000-0000-000094050000}"/>
    <cellStyle name="_TableHead_Assumptions_SALE_116th condo 2" xfId="3158" xr:uid="{00000000-0005-0000-0000-000095050000}"/>
    <cellStyle name="_TableHead_Assumptions_SALE_116th market condo 02.23.11" xfId="1347" xr:uid="{00000000-0005-0000-0000-000096050000}"/>
    <cellStyle name="_TableHead_Assumptions_SALE_116th market condo 02.23.11 2" xfId="3159" xr:uid="{00000000-0005-0000-0000-000097050000}"/>
    <cellStyle name="_TableHead_Assumptions_SALE_116th market condo 12.27" xfId="1348" xr:uid="{00000000-0005-0000-0000-000098050000}"/>
    <cellStyle name="_TableHead_Assumptions_SALE_116th market condo 12.27 2" xfId="3160" xr:uid="{00000000-0005-0000-0000-000099050000}"/>
    <cellStyle name="_TableHead_Assumptions_SALE_116th market condo nmtc 03.16.11" xfId="1349" xr:uid="{00000000-0005-0000-0000-00009A050000}"/>
    <cellStyle name="_TableHead_Assumptions_SALE_116th market condo nmtc 03.16.11 2" xfId="3161" xr:uid="{00000000-0005-0000-0000-00009B050000}"/>
    <cellStyle name="_TableHead_Assumptions_SALE_116th market rental 12.27" xfId="1350" xr:uid="{00000000-0005-0000-0000-00009C050000}"/>
    <cellStyle name="_TableHead_Assumptions_SALE_116th market rental 12.27 2" xfId="3162" xr:uid="{00000000-0005-0000-0000-00009D050000}"/>
    <cellStyle name="_TableHead_Assumptions_SALE_120403-Utica-3rd Flr Gym" xfId="1351" xr:uid="{00000000-0005-0000-0000-00009E050000}"/>
    <cellStyle name="_TableHead_Assumptions_SALE_120403-Utica-3rd Flr Gym 2" xfId="3163" xr:uid="{00000000-0005-0000-0000-00009F050000}"/>
    <cellStyle name="_TableHead_Assumptions_SALE_120507 Dyckman Base Case" xfId="1352" xr:uid="{00000000-0005-0000-0000-0000A0050000}"/>
    <cellStyle name="_TableHead_Assumptions_SALE_120507 Dyckman Base Case 2" xfId="3164" xr:uid="{00000000-0005-0000-0000-0000A1050000}"/>
    <cellStyle name="_TableHead_Assumptions_SALE_120510 80-20 Dyckmanlg" xfId="1353" xr:uid="{00000000-0005-0000-0000-0000A2050000}"/>
    <cellStyle name="_TableHead_Assumptions_SALE_120510 80-20 Dyckmanlg 2" xfId="3165" xr:uid="{00000000-0005-0000-0000-0000A3050000}"/>
    <cellStyle name="_TableHead_Assumptions_SALE_120604 - Utica NMTC" xfId="1354" xr:uid="{00000000-0005-0000-0000-0000A4050000}"/>
    <cellStyle name="_TableHead_Assumptions_SALE_120604 - Utica NMTC 2" xfId="3166" xr:uid="{00000000-0005-0000-0000-0000A5050000}"/>
    <cellStyle name="_TableHead_Assumptions_SALE_120612 - Utica NMTC" xfId="1355" xr:uid="{00000000-0005-0000-0000-0000A6050000}"/>
    <cellStyle name="_TableHead_Assumptions_SALE_120612 - Utica NMTC 2" xfId="3167" xr:uid="{00000000-0005-0000-0000-0000A7050000}"/>
    <cellStyle name="_TableHead_Assumptions_SALE_120620 - Utica NMTC" xfId="1356" xr:uid="{00000000-0005-0000-0000-0000A8050000}"/>
    <cellStyle name="_TableHead_Assumptions_SALE_120620 - Utica NMTC 2" xfId="3168" xr:uid="{00000000-0005-0000-0000-0000A9050000}"/>
    <cellStyle name="_TableHead_Assumptions_SALE_120807 Standard Budget" xfId="1357" xr:uid="{00000000-0005-0000-0000-0000AA050000}"/>
    <cellStyle name="_TableHead_Assumptions_SALE_120807 Standard Budget 2" xfId="3169" xr:uid="{00000000-0005-0000-0000-0000AB050000}"/>
    <cellStyle name="_TableHead_Assumptions_SALE_130205- 280 Franklin" xfId="1358" xr:uid="{00000000-0005-0000-0000-0000AC050000}"/>
    <cellStyle name="_TableHead_Assumptions_SALE_130205- 280 Franklin 2" xfId="3170" xr:uid="{00000000-0005-0000-0000-0000AD050000}"/>
    <cellStyle name="_TableHead_Assumptions_SALE_250 Utica 4.7.11" xfId="1359" xr:uid="{00000000-0005-0000-0000-0000AE050000}"/>
    <cellStyle name="_TableHead_Assumptions_SALE_250 Utica 4.7.11 2" xfId="3171" xr:uid="{00000000-0005-0000-0000-0000AF050000}"/>
    <cellStyle name="_TableHead_Assumptions_SALE_Dev Budget" xfId="1360" xr:uid="{00000000-0005-0000-0000-0000B0050000}"/>
    <cellStyle name="_TableHead_Assumptions_SALE_Dev Budget 2" xfId="3172" xr:uid="{00000000-0005-0000-0000-0000B1050000}"/>
    <cellStyle name="_TableHead_Assumptions_SALE_Harlem 116th-117th 11 22 11" xfId="1361" xr:uid="{00000000-0005-0000-0000-0000B2050000}"/>
    <cellStyle name="_TableHead_Assumptions_SALE_Harlem 116th-117th 11 22 11 2" xfId="3173" xr:uid="{00000000-0005-0000-0000-0000B3050000}"/>
    <cellStyle name="_TableHead_Assumptions_SALE_Harlem 116th-117th 11 7 11" xfId="1362" xr:uid="{00000000-0005-0000-0000-0000B4050000}"/>
    <cellStyle name="_TableHead_Assumptions_SALE_Harlem 116th-117th 11 7 11 2" xfId="3174" xr:uid="{00000000-0005-0000-0000-0000B5050000}"/>
    <cellStyle name="_TableHead_Assumptions_SALE_Harlem 116th-117th 12-27-11" xfId="1363" xr:uid="{00000000-0005-0000-0000-0000B6050000}"/>
    <cellStyle name="_TableHead_Assumptions_SALE_Harlem 116th-117th 12-27-11 2" xfId="3175" xr:uid="{00000000-0005-0000-0000-0000B7050000}"/>
    <cellStyle name="_TableHead_Assumptions_SALE_Harlem 116th-117th 12-27-11 v2" xfId="1364" xr:uid="{00000000-0005-0000-0000-0000B8050000}"/>
    <cellStyle name="_TableHead_Assumptions_SALE_Harlem 116th-117th 12-27-11 v2 2" xfId="3176" xr:uid="{00000000-0005-0000-0000-0000B9050000}"/>
    <cellStyle name="_TableHead_Assumptions_SALE_Harlem 116th-117th 3-12-12" xfId="1365" xr:uid="{00000000-0005-0000-0000-0000BA050000}"/>
    <cellStyle name="_TableHead_Assumptions_SALE_Harlem 116th-117th 3-12-12 2" xfId="3177" xr:uid="{00000000-0005-0000-0000-0000BB050000}"/>
    <cellStyle name="_TableHead_Assumptions_SALE_Harlem 116th-117th 4.8.11" xfId="1366" xr:uid="{00000000-0005-0000-0000-0000BC050000}"/>
    <cellStyle name="_TableHead_Assumptions_SALE_Harlem 116th-117th 4.8.11 2" xfId="3178" xr:uid="{00000000-0005-0000-0000-0000BD050000}"/>
    <cellStyle name="_TableHead_Assumptions_SALE_Harlem 116th-117th 4.8.11 v1" xfId="1367" xr:uid="{00000000-0005-0000-0000-0000BE050000}"/>
    <cellStyle name="_TableHead_Assumptions_SALE_Harlem 116th-117th 4.8.11 v1 2" xfId="3179" xr:uid="{00000000-0005-0000-0000-0000BF050000}"/>
    <cellStyle name="_TableHead_Assumptions_SALE_Harlem 116th-117th 4-10-12" xfId="1368" xr:uid="{00000000-0005-0000-0000-0000C0050000}"/>
    <cellStyle name="_TableHead_Assumptions_SALE_Harlem 116th-117th 4-10-12 2" xfId="3180" xr:uid="{00000000-0005-0000-0000-0000C1050000}"/>
    <cellStyle name="_TableHead_Assumptions_SALE_Harlem 116th-117th 5-22-12" xfId="1369" xr:uid="{00000000-0005-0000-0000-0000C2050000}"/>
    <cellStyle name="_TableHead_Assumptions_SALE_Harlem 116th-117th 5-22-12 2" xfId="3181" xr:uid="{00000000-0005-0000-0000-0000C3050000}"/>
    <cellStyle name="_TableHead_Assumptions_SALE_Harlem 116th-117th 5-25-12 v1" xfId="1370" xr:uid="{00000000-0005-0000-0000-0000C4050000}"/>
    <cellStyle name="_TableHead_Assumptions_SALE_Harlem 116th-117th 5-25-12 v1 2" xfId="3182" xr:uid="{00000000-0005-0000-0000-0000C5050000}"/>
    <cellStyle name="_TableHead_Assumptions_SALE_Harlem 116th-117th 5-3-12" xfId="1371" xr:uid="{00000000-0005-0000-0000-0000C6050000}"/>
    <cellStyle name="_TableHead_Assumptions_SALE_Harlem 116th-117th 5-3-12 2" xfId="3183" xr:uid="{00000000-0005-0000-0000-0000C7050000}"/>
    <cellStyle name="_TableHead_Assumptions_SALE_Harlem 116th-117th 6.16.11 v1" xfId="1372" xr:uid="{00000000-0005-0000-0000-0000C8050000}"/>
    <cellStyle name="_TableHead_Assumptions_SALE_Harlem 116th-117th 6.16.11 v1 2" xfId="3184" xr:uid="{00000000-0005-0000-0000-0000C9050000}"/>
    <cellStyle name="_TableHead_Assumptions_SALE_Harlem 116th-117th 6.20.11 v1" xfId="1373" xr:uid="{00000000-0005-0000-0000-0000CA050000}"/>
    <cellStyle name="_TableHead_Assumptions_SALE_Harlem 116th-117th 6.20.11 v1 2" xfId="3185" xr:uid="{00000000-0005-0000-0000-0000CB050000}"/>
    <cellStyle name="_TableHead_Assumptions_SALE_Harlem 116th-117th 6-1-12-js" xfId="1374" xr:uid="{00000000-0005-0000-0000-0000CC050000}"/>
    <cellStyle name="_TableHead_Assumptions_SALE_Harlem 116th-117th 6-1-12-js 2" xfId="3186" xr:uid="{00000000-0005-0000-0000-0000CD050000}"/>
    <cellStyle name="_TableHead_Assumptions_SALE_Harlem 116th-117th 6-4-12" xfId="1375" xr:uid="{00000000-0005-0000-0000-0000CE050000}"/>
    <cellStyle name="_TableHead_Assumptions_SALE_Harlem 116th-117th 6-4-12 2" xfId="3187" xr:uid="{00000000-0005-0000-0000-0000CF050000}"/>
    <cellStyle name="_TableHead_Assumptions_SALE_Harlem 116th-117th 6-4-12 -JS ACQUISITION CLOSING TAB" xfId="1376" xr:uid="{00000000-0005-0000-0000-0000D0050000}"/>
    <cellStyle name="_TableHead_Assumptions_SALE_Harlem 116th-117th 6-4-12 -JS ACQUISITION CLOSING TAB 2" xfId="3188" xr:uid="{00000000-0005-0000-0000-0000D1050000}"/>
    <cellStyle name="_TableHead_Assumptions_SALE_Harlem 116th-117th 6-5-12 v1" xfId="1377" xr:uid="{00000000-0005-0000-0000-0000D2050000}"/>
    <cellStyle name="_TableHead_Assumptions_SALE_Harlem 116th-117th 6-5-12 v1 2" xfId="3189" xr:uid="{00000000-0005-0000-0000-0000D3050000}"/>
    <cellStyle name="_TableHead_Assumptions_SALE_Harlem 116th-117th 7.7.11_condo 116 with updated TC tabs" xfId="1378" xr:uid="{00000000-0005-0000-0000-0000D4050000}"/>
    <cellStyle name="_TableHead_Assumptions_SALE_Harlem 116th-117th 7.7.11_condo 116 with updated TC tabs 2" xfId="3190" xr:uid="{00000000-0005-0000-0000-0000D5050000}"/>
    <cellStyle name="_TableHead_Assumptions_SALE_Harlem 116th-117th 8 22 11_all rental" xfId="1379" xr:uid="{00000000-0005-0000-0000-0000D6050000}"/>
    <cellStyle name="_TableHead_Assumptions_SALE_Harlem 116th-117th 8 22 11_all rental 2" xfId="3191" xr:uid="{00000000-0005-0000-0000-0000D7050000}"/>
    <cellStyle name="_TableHead_Assumptions_SALE_HCR Source Budget" xfId="1380" xr:uid="{00000000-0005-0000-0000-0000D8050000}"/>
    <cellStyle name="_TableHead_Assumptions_SALE_HCR Source Budget 2" xfId="3192" xr:uid="{00000000-0005-0000-0000-0000D9050000}"/>
    <cellStyle name="_TableHead_Assumptions_SALE_HRP-1951 Park - NORTH" xfId="1381" xr:uid="{00000000-0005-0000-0000-0000DA050000}"/>
    <cellStyle name="_TableHead_Assumptions_SALE_HRP-1951 Park - NORTH 2" xfId="3193" xr:uid="{00000000-0005-0000-0000-0000DB050000}"/>
    <cellStyle name="_TableHead_Assumptions_SALE_LIC 03.01.11" xfId="1382" xr:uid="{00000000-0005-0000-0000-0000DC050000}"/>
    <cellStyle name="_TableHead_Assumptions_SALE_LIC 03.01.11 2" xfId="3194" xr:uid="{00000000-0005-0000-0000-0000DD050000}"/>
    <cellStyle name="_TableHead_Assumptions_SALE_LIC Pearson 07-07-11" xfId="1383" xr:uid="{00000000-0005-0000-0000-0000DE050000}"/>
    <cellStyle name="_TableHead_Assumptions_SALE_LIC Pearson 07-07-11 2" xfId="3195" xr:uid="{00000000-0005-0000-0000-0000DF050000}"/>
    <cellStyle name="_TableHead_Assumptions_SALE_LIC Pearson 12-27-11" xfId="1384" xr:uid="{00000000-0005-0000-0000-0000E0050000}"/>
    <cellStyle name="_TableHead_Assumptions_SALE_LIC Pearson 12-27-11 2" xfId="3196" xr:uid="{00000000-0005-0000-0000-0000E1050000}"/>
    <cellStyle name="_TableHead_Assumptions_SALE_LIC Pearson April 2012-d" xfId="1385" xr:uid="{00000000-0005-0000-0000-0000E2050000}"/>
    <cellStyle name="_TableHead_Assumptions_SALE_LIC Pearson April 2012-d 2" xfId="3197" xr:uid="{00000000-0005-0000-0000-0000E3050000}"/>
    <cellStyle name="_TableHead_Assumptions_SALE_M&amp;O" xfId="1386" xr:uid="{00000000-0005-0000-0000-0000E4050000}"/>
    <cellStyle name="_TableHead_Assumptions_SALE_M&amp;O 2" xfId="3198" xr:uid="{00000000-0005-0000-0000-0000E5050000}"/>
    <cellStyle name="_TableHead_Assumptions_SALE_NSP Trois 02.24.11" xfId="1387" xr:uid="{00000000-0005-0000-0000-0000E6050000}"/>
    <cellStyle name="_TableHead_Assumptions_SALE_NSP Trois 02.24.11 2" xfId="3199" xr:uid="{00000000-0005-0000-0000-0000E7050000}"/>
    <cellStyle name="_TableHead_Assumptions_SALE_NSP Trois 03.01.11" xfId="1388" xr:uid="{00000000-0005-0000-0000-0000E8050000}"/>
    <cellStyle name="_TableHead_Assumptions_SALE_NSP Trois 03.01.11 2" xfId="3200" xr:uid="{00000000-0005-0000-0000-0000E9050000}"/>
    <cellStyle name="_TableHead_Assumptions_SALE_Sheet1" xfId="1389" xr:uid="{00000000-0005-0000-0000-0000EA050000}"/>
    <cellStyle name="_TableHead_Assumptions_SALE_Sheet1 2" xfId="3201" xr:uid="{00000000-0005-0000-0000-0000EB050000}"/>
    <cellStyle name="_TableHead_Assumptions_SALE_Summary" xfId="1390" xr:uid="{00000000-0005-0000-0000-0000EC050000}"/>
    <cellStyle name="_TableHead_Assumptions_SALE_Summary 2" xfId="3202" xr:uid="{00000000-0005-0000-0000-0000ED050000}"/>
    <cellStyle name="_TableHead_Book2" xfId="5449" xr:uid="{00000000-0005-0000-0000-0000EE050000}"/>
    <cellStyle name="_TableHead_Infrastructure 07 08 29" xfId="5452" xr:uid="{00000000-0005-0000-0000-0000EF050000}"/>
    <cellStyle name="_TableHead_Model 09" xfId="1391" xr:uid="{00000000-0005-0000-0000-0000F0050000}"/>
    <cellStyle name="_TableHead_Model 09 2" xfId="3203" xr:uid="{00000000-0005-0000-0000-0000F1050000}"/>
    <cellStyle name="_TableHead_Model Short Form2" xfId="1392" xr:uid="{00000000-0005-0000-0000-0000F2050000}"/>
    <cellStyle name="_TableHead_Model Short Form2 2" xfId="1393" xr:uid="{00000000-0005-0000-0000-0000F3050000}"/>
    <cellStyle name="_TableHead_Model Short Form2 2 2" xfId="3205" xr:uid="{00000000-0005-0000-0000-0000F4050000}"/>
    <cellStyle name="_TableHead_Model Short Form2 3" xfId="3204" xr:uid="{00000000-0005-0000-0000-0000F5050000}"/>
    <cellStyle name="_TableHead_Model Short Form2_110609-AbyRenni" xfId="1394" xr:uid="{00000000-0005-0000-0000-0000F6050000}"/>
    <cellStyle name="_TableHead_Model Short Form2_110609-AbyRenni 2" xfId="3206" xr:uid="{00000000-0005-0000-0000-0000F7050000}"/>
    <cellStyle name="_TableHead_Model Short Form2_116th condo" xfId="1395" xr:uid="{00000000-0005-0000-0000-0000F8050000}"/>
    <cellStyle name="_TableHead_Model Short Form2_116th condo 2" xfId="3207" xr:uid="{00000000-0005-0000-0000-0000F9050000}"/>
    <cellStyle name="_TableHead_Model Short Form2_116th market condo 02.23.11" xfId="1396" xr:uid="{00000000-0005-0000-0000-0000FA050000}"/>
    <cellStyle name="_TableHead_Model Short Form2_116th market condo 02.23.11 2" xfId="3208" xr:uid="{00000000-0005-0000-0000-0000FB050000}"/>
    <cellStyle name="_TableHead_Model Short Form2_116th market condo 12.27" xfId="1397" xr:uid="{00000000-0005-0000-0000-0000FC050000}"/>
    <cellStyle name="_TableHead_Model Short Form2_116th market condo 12.27 2" xfId="3209" xr:uid="{00000000-0005-0000-0000-0000FD050000}"/>
    <cellStyle name="_TableHead_Model Short Form2_116th market condo nmtc 03.16.11" xfId="1398" xr:uid="{00000000-0005-0000-0000-0000FE050000}"/>
    <cellStyle name="_TableHead_Model Short Form2_116th market condo nmtc 03.16.11 2" xfId="3210" xr:uid="{00000000-0005-0000-0000-0000FF050000}"/>
    <cellStyle name="_TableHead_Model Short Form2_116th market rental 12.27" xfId="1399" xr:uid="{00000000-0005-0000-0000-000000060000}"/>
    <cellStyle name="_TableHead_Model Short Form2_116th market rental 12.27 2" xfId="3211" xr:uid="{00000000-0005-0000-0000-000001060000}"/>
    <cellStyle name="_TableHead_Model Short Form2_120403-Utica-3rd Flr Gym" xfId="1400" xr:uid="{00000000-0005-0000-0000-000002060000}"/>
    <cellStyle name="_TableHead_Model Short Form2_120403-Utica-3rd Flr Gym 2" xfId="3212" xr:uid="{00000000-0005-0000-0000-000003060000}"/>
    <cellStyle name="_TableHead_Model Short Form2_120507 Dyckman Base Case" xfId="1401" xr:uid="{00000000-0005-0000-0000-000004060000}"/>
    <cellStyle name="_TableHead_Model Short Form2_120507 Dyckman Base Case 2" xfId="3213" xr:uid="{00000000-0005-0000-0000-000005060000}"/>
    <cellStyle name="_TableHead_Model Short Form2_120510 80-20 Dyckmanlg" xfId="1402" xr:uid="{00000000-0005-0000-0000-000006060000}"/>
    <cellStyle name="_TableHead_Model Short Form2_120510 80-20 Dyckmanlg 2" xfId="3214" xr:uid="{00000000-0005-0000-0000-000007060000}"/>
    <cellStyle name="_TableHead_Model Short Form2_120604 - Utica NMTC" xfId="1403" xr:uid="{00000000-0005-0000-0000-000008060000}"/>
    <cellStyle name="_TableHead_Model Short Form2_120604 - Utica NMTC 2" xfId="3215" xr:uid="{00000000-0005-0000-0000-000009060000}"/>
    <cellStyle name="_TableHead_Model Short Form2_120612 - Utica NMTC" xfId="1404" xr:uid="{00000000-0005-0000-0000-00000A060000}"/>
    <cellStyle name="_TableHead_Model Short Form2_120612 - Utica NMTC 2" xfId="3216" xr:uid="{00000000-0005-0000-0000-00000B060000}"/>
    <cellStyle name="_TableHead_Model Short Form2_120620 - Utica NMTC" xfId="1405" xr:uid="{00000000-0005-0000-0000-00000C060000}"/>
    <cellStyle name="_TableHead_Model Short Form2_120620 - Utica NMTC 2" xfId="3217" xr:uid="{00000000-0005-0000-0000-00000D060000}"/>
    <cellStyle name="_TableHead_Model Short Form2_120807 Standard Budget" xfId="1406" xr:uid="{00000000-0005-0000-0000-00000E060000}"/>
    <cellStyle name="_TableHead_Model Short Form2_120807 Standard Budget 2" xfId="3218" xr:uid="{00000000-0005-0000-0000-00000F060000}"/>
    <cellStyle name="_TableHead_Model Short Form2_130205- 280 Franklin" xfId="1407" xr:uid="{00000000-0005-0000-0000-000010060000}"/>
    <cellStyle name="_TableHead_Model Short Form2_130205- 280 Franklin 2" xfId="3219" xr:uid="{00000000-0005-0000-0000-000011060000}"/>
    <cellStyle name="_TableHead_Model Short Form2_250 Utica 4.7.11" xfId="1408" xr:uid="{00000000-0005-0000-0000-000012060000}"/>
    <cellStyle name="_TableHead_Model Short Form2_250 Utica 4.7.11 2" xfId="3220" xr:uid="{00000000-0005-0000-0000-000013060000}"/>
    <cellStyle name="_TableHead_Model Short Form2_Dev Budget" xfId="1409" xr:uid="{00000000-0005-0000-0000-000014060000}"/>
    <cellStyle name="_TableHead_Model Short Form2_Dev Budget 2" xfId="3221" xr:uid="{00000000-0005-0000-0000-000015060000}"/>
    <cellStyle name="_TableHead_Model Short Form2_Harlem 116th-117th 11 22 11" xfId="1410" xr:uid="{00000000-0005-0000-0000-000016060000}"/>
    <cellStyle name="_TableHead_Model Short Form2_Harlem 116th-117th 11 22 11 2" xfId="3222" xr:uid="{00000000-0005-0000-0000-000017060000}"/>
    <cellStyle name="_TableHead_Model Short Form2_Harlem 116th-117th 11 7 11" xfId="1411" xr:uid="{00000000-0005-0000-0000-000018060000}"/>
    <cellStyle name="_TableHead_Model Short Form2_Harlem 116th-117th 11 7 11 2" xfId="3223" xr:uid="{00000000-0005-0000-0000-000019060000}"/>
    <cellStyle name="_TableHead_Model Short Form2_Harlem 116th-117th 12-27-11" xfId="1412" xr:uid="{00000000-0005-0000-0000-00001A060000}"/>
    <cellStyle name="_TableHead_Model Short Form2_Harlem 116th-117th 12-27-11 2" xfId="3224" xr:uid="{00000000-0005-0000-0000-00001B060000}"/>
    <cellStyle name="_TableHead_Model Short Form2_Harlem 116th-117th 12-27-11 v2" xfId="1413" xr:uid="{00000000-0005-0000-0000-00001C060000}"/>
    <cellStyle name="_TableHead_Model Short Form2_Harlem 116th-117th 12-27-11 v2 2" xfId="3225" xr:uid="{00000000-0005-0000-0000-00001D060000}"/>
    <cellStyle name="_TableHead_Model Short Form2_Harlem 116th-117th 3-12-12" xfId="1414" xr:uid="{00000000-0005-0000-0000-00001E060000}"/>
    <cellStyle name="_TableHead_Model Short Form2_Harlem 116th-117th 3-12-12 2" xfId="3226" xr:uid="{00000000-0005-0000-0000-00001F060000}"/>
    <cellStyle name="_TableHead_Model Short Form2_Harlem 116th-117th 4.8.11" xfId="1415" xr:uid="{00000000-0005-0000-0000-000020060000}"/>
    <cellStyle name="_TableHead_Model Short Form2_Harlem 116th-117th 4.8.11 2" xfId="3227" xr:uid="{00000000-0005-0000-0000-000021060000}"/>
    <cellStyle name="_TableHead_Model Short Form2_Harlem 116th-117th 4.8.11 v1" xfId="1416" xr:uid="{00000000-0005-0000-0000-000022060000}"/>
    <cellStyle name="_TableHead_Model Short Form2_Harlem 116th-117th 4.8.11 v1 2" xfId="3228" xr:uid="{00000000-0005-0000-0000-000023060000}"/>
    <cellStyle name="_TableHead_Model Short Form2_Harlem 116th-117th 4-10-12" xfId="1417" xr:uid="{00000000-0005-0000-0000-000024060000}"/>
    <cellStyle name="_TableHead_Model Short Form2_Harlem 116th-117th 4-10-12 2" xfId="3229" xr:uid="{00000000-0005-0000-0000-000025060000}"/>
    <cellStyle name="_TableHead_Model Short Form2_Harlem 116th-117th 5-22-12" xfId="1418" xr:uid="{00000000-0005-0000-0000-000026060000}"/>
    <cellStyle name="_TableHead_Model Short Form2_Harlem 116th-117th 5-22-12 2" xfId="3230" xr:uid="{00000000-0005-0000-0000-000027060000}"/>
    <cellStyle name="_TableHead_Model Short Form2_Harlem 116th-117th 5-25-12 v1" xfId="1419" xr:uid="{00000000-0005-0000-0000-000028060000}"/>
    <cellStyle name="_TableHead_Model Short Form2_Harlem 116th-117th 5-25-12 v1 2" xfId="3231" xr:uid="{00000000-0005-0000-0000-000029060000}"/>
    <cellStyle name="_TableHead_Model Short Form2_Harlem 116th-117th 5-3-12" xfId="1420" xr:uid="{00000000-0005-0000-0000-00002A060000}"/>
    <cellStyle name="_TableHead_Model Short Form2_Harlem 116th-117th 5-3-12 2" xfId="3232" xr:uid="{00000000-0005-0000-0000-00002B060000}"/>
    <cellStyle name="_TableHead_Model Short Form2_Harlem 116th-117th 6.16.11 v1" xfId="1421" xr:uid="{00000000-0005-0000-0000-00002C060000}"/>
    <cellStyle name="_TableHead_Model Short Form2_Harlem 116th-117th 6.16.11 v1 2" xfId="3233" xr:uid="{00000000-0005-0000-0000-00002D060000}"/>
    <cellStyle name="_TableHead_Model Short Form2_Harlem 116th-117th 6.20.11 v1" xfId="1422" xr:uid="{00000000-0005-0000-0000-00002E060000}"/>
    <cellStyle name="_TableHead_Model Short Form2_Harlem 116th-117th 6.20.11 v1 2" xfId="3234" xr:uid="{00000000-0005-0000-0000-00002F060000}"/>
    <cellStyle name="_TableHead_Model Short Form2_Harlem 116th-117th 6-1-12-js" xfId="1423" xr:uid="{00000000-0005-0000-0000-000030060000}"/>
    <cellStyle name="_TableHead_Model Short Form2_Harlem 116th-117th 6-1-12-js 2" xfId="3235" xr:uid="{00000000-0005-0000-0000-000031060000}"/>
    <cellStyle name="_TableHead_Model Short Form2_Harlem 116th-117th 6-4-12" xfId="1424" xr:uid="{00000000-0005-0000-0000-000032060000}"/>
    <cellStyle name="_TableHead_Model Short Form2_Harlem 116th-117th 6-4-12 2" xfId="3236" xr:uid="{00000000-0005-0000-0000-000033060000}"/>
    <cellStyle name="_TableHead_Model Short Form2_Harlem 116th-117th 6-4-12 -JS ACQUISITION CLOSING TAB" xfId="1425" xr:uid="{00000000-0005-0000-0000-000034060000}"/>
    <cellStyle name="_TableHead_Model Short Form2_Harlem 116th-117th 6-4-12 -JS ACQUISITION CLOSING TAB 2" xfId="3237" xr:uid="{00000000-0005-0000-0000-000035060000}"/>
    <cellStyle name="_TableHead_Model Short Form2_Harlem 116th-117th 6-5-12 v1" xfId="1426" xr:uid="{00000000-0005-0000-0000-000036060000}"/>
    <cellStyle name="_TableHead_Model Short Form2_Harlem 116th-117th 6-5-12 v1 2" xfId="3238" xr:uid="{00000000-0005-0000-0000-000037060000}"/>
    <cellStyle name="_TableHead_Model Short Form2_Harlem 116th-117th 7.7.11_condo 116 with updated TC tabs" xfId="1427" xr:uid="{00000000-0005-0000-0000-000038060000}"/>
    <cellStyle name="_TableHead_Model Short Form2_Harlem 116th-117th 7.7.11_condo 116 with updated TC tabs 2" xfId="3239" xr:uid="{00000000-0005-0000-0000-000039060000}"/>
    <cellStyle name="_TableHead_Model Short Form2_Harlem 116th-117th 8 22 11_all rental" xfId="1428" xr:uid="{00000000-0005-0000-0000-00003A060000}"/>
    <cellStyle name="_TableHead_Model Short Form2_Harlem 116th-117th 8 22 11_all rental 2" xfId="3240" xr:uid="{00000000-0005-0000-0000-00003B060000}"/>
    <cellStyle name="_TableHead_Model Short Form2_HCR Source Budget" xfId="1429" xr:uid="{00000000-0005-0000-0000-00003C060000}"/>
    <cellStyle name="_TableHead_Model Short Form2_HCR Source Budget 2" xfId="3241" xr:uid="{00000000-0005-0000-0000-00003D060000}"/>
    <cellStyle name="_TableHead_Model Short Form2_HRP-1951 Park - NORTH" xfId="1430" xr:uid="{00000000-0005-0000-0000-00003E060000}"/>
    <cellStyle name="_TableHead_Model Short Form2_HRP-1951 Park - NORTH 2" xfId="3242" xr:uid="{00000000-0005-0000-0000-00003F060000}"/>
    <cellStyle name="_TableHead_Model Short Form2_LIC 03.01.11" xfId="1431" xr:uid="{00000000-0005-0000-0000-000040060000}"/>
    <cellStyle name="_TableHead_Model Short Form2_LIC 03.01.11 2" xfId="3243" xr:uid="{00000000-0005-0000-0000-000041060000}"/>
    <cellStyle name="_TableHead_Model Short Form2_LIC Pearson 07-07-11" xfId="1432" xr:uid="{00000000-0005-0000-0000-000042060000}"/>
    <cellStyle name="_TableHead_Model Short Form2_LIC Pearson 07-07-11 2" xfId="3244" xr:uid="{00000000-0005-0000-0000-000043060000}"/>
    <cellStyle name="_TableHead_Model Short Form2_LIC Pearson 12-27-11" xfId="1433" xr:uid="{00000000-0005-0000-0000-000044060000}"/>
    <cellStyle name="_TableHead_Model Short Form2_LIC Pearson 12-27-11 2" xfId="3245" xr:uid="{00000000-0005-0000-0000-000045060000}"/>
    <cellStyle name="_TableHead_Model Short Form2_LIC Pearson April 2012-d" xfId="1434" xr:uid="{00000000-0005-0000-0000-000046060000}"/>
    <cellStyle name="_TableHead_Model Short Form2_LIC Pearson April 2012-d 2" xfId="3246" xr:uid="{00000000-0005-0000-0000-000047060000}"/>
    <cellStyle name="_TableHead_Model Short Form2_M&amp;O" xfId="1435" xr:uid="{00000000-0005-0000-0000-000048060000}"/>
    <cellStyle name="_TableHead_Model Short Form2_M&amp;O 2" xfId="3247" xr:uid="{00000000-0005-0000-0000-000049060000}"/>
    <cellStyle name="_TableHead_Model Short Form2_NSP Trois 02.24.11" xfId="1436" xr:uid="{00000000-0005-0000-0000-00004A060000}"/>
    <cellStyle name="_TableHead_Model Short Form2_NSP Trois 02.24.11 2" xfId="3248" xr:uid="{00000000-0005-0000-0000-00004B060000}"/>
    <cellStyle name="_TableHead_Model Short Form2_NSP Trois 03.01.11" xfId="1437" xr:uid="{00000000-0005-0000-0000-00004C060000}"/>
    <cellStyle name="_TableHead_Model Short Form2_NSP Trois 03.01.11 2" xfId="3249" xr:uid="{00000000-0005-0000-0000-00004D060000}"/>
    <cellStyle name="_TableHead_Model Short Form2_Sheet1" xfId="1438" xr:uid="{00000000-0005-0000-0000-00004E060000}"/>
    <cellStyle name="_TableHead_Model Short Form2_Sheet1 2" xfId="3250" xr:uid="{00000000-0005-0000-0000-00004F060000}"/>
    <cellStyle name="_TableHead_Model Short Form2_Summary" xfId="1439" xr:uid="{00000000-0005-0000-0000-000050060000}"/>
    <cellStyle name="_TableHead_Model Short Form2_Summary 2" xfId="3251" xr:uid="{00000000-0005-0000-0000-000051060000}"/>
    <cellStyle name="_TableHead_rent vs. own analysis" xfId="1440" xr:uid="{00000000-0005-0000-0000-000052060000}"/>
    <cellStyle name="_TableHead_rent vs. own analysis 2" xfId="3252" xr:uid="{00000000-0005-0000-0000-000053060000}"/>
    <cellStyle name="_TableHead_SAC exhibit (9-17-07)" xfId="5339" xr:uid="{00000000-0005-0000-0000-000054060000}"/>
    <cellStyle name="_TableHead_Union CIty" xfId="1441" xr:uid="{00000000-0005-0000-0000-000055060000}"/>
    <cellStyle name="_TableHead_Union CIty 2" xfId="3253" xr:uid="{00000000-0005-0000-0000-000056060000}"/>
    <cellStyle name="_TableHead_Yard Budget 11-1-2007" xfId="5432" xr:uid="{00000000-0005-0000-0000-000057060000}"/>
    <cellStyle name="_TableHeading" xfId="1442" xr:uid="{00000000-0005-0000-0000-000058060000}"/>
    <cellStyle name="_TableHeading 2" xfId="3254" xr:uid="{00000000-0005-0000-0000-000059060000}"/>
    <cellStyle name="_TableRowBorder" xfId="1443" xr:uid="{00000000-0005-0000-0000-00005A060000}"/>
    <cellStyle name="_TableRowBorder 2" xfId="1444" xr:uid="{00000000-0005-0000-0000-00005B060000}"/>
    <cellStyle name="_TableRowBorder 2 2" xfId="1445" xr:uid="{00000000-0005-0000-0000-00005C060000}"/>
    <cellStyle name="_TableRowBorder 2 2 2" xfId="1446" xr:uid="{00000000-0005-0000-0000-00005D060000}"/>
    <cellStyle name="_TableRowBorder 2 2 2 2" xfId="3258" xr:uid="{00000000-0005-0000-0000-00005E060000}"/>
    <cellStyle name="_TableRowBorder 2 2 2 2 2" xfId="6018" xr:uid="{46333573-59FE-4A02-B504-B85F1B493A7B}"/>
    <cellStyle name="_TableRowBorder 2 2 2 3" xfId="5882" xr:uid="{EF63C721-B8D0-49D1-B512-FE475F1834AB}"/>
    <cellStyle name="_TableRowBorder 2 2 3" xfId="3257" xr:uid="{00000000-0005-0000-0000-00005F060000}"/>
    <cellStyle name="_TableRowBorder 2 2 3 2" xfId="6017" xr:uid="{3ACA4D61-F2CA-4652-BC4D-9E2F2445D880}"/>
    <cellStyle name="_TableRowBorder 2 2 4" xfId="5881" xr:uid="{E33BC1E5-CAE5-4600-99CE-6CB9F5EE503D}"/>
    <cellStyle name="_TableRowBorder 2 3" xfId="1447" xr:uid="{00000000-0005-0000-0000-000060060000}"/>
    <cellStyle name="_TableRowBorder 2 3 2" xfId="3259" xr:uid="{00000000-0005-0000-0000-000061060000}"/>
    <cellStyle name="_TableRowBorder 2 3 2 2" xfId="6019" xr:uid="{002AAE1C-6040-470D-9FED-BEBDC28A18D3}"/>
    <cellStyle name="_TableRowBorder 2 3 3" xfId="5883" xr:uid="{FD864FA9-EBB0-404F-A4EF-EAEF05DCD688}"/>
    <cellStyle name="_TableRowBorder 2 4" xfId="3256" xr:uid="{00000000-0005-0000-0000-000062060000}"/>
    <cellStyle name="_TableRowBorder 2 4 2" xfId="6016" xr:uid="{33A47EC3-54A1-4FAB-96D4-3C037F0B5CA9}"/>
    <cellStyle name="_TableRowBorder 2 5" xfId="5880" xr:uid="{6E73CA25-81A0-4A2E-B4E8-6F7C2AAB9CF4}"/>
    <cellStyle name="_TableRowBorder 3" xfId="1448" xr:uid="{00000000-0005-0000-0000-000063060000}"/>
    <cellStyle name="_TableRowBorder 3 2" xfId="3260" xr:uid="{00000000-0005-0000-0000-000064060000}"/>
    <cellStyle name="_TableRowBorder 3 2 2" xfId="6020" xr:uid="{569BF16D-E792-4903-B075-E7FD1EC26EE9}"/>
    <cellStyle name="_TableRowBorder 3 3" xfId="5884" xr:uid="{83489F24-D2C8-4004-A7D6-7A972F2B4217}"/>
    <cellStyle name="_TableRowBorder 4" xfId="3255" xr:uid="{00000000-0005-0000-0000-000065060000}"/>
    <cellStyle name="_TableRowBorder 4 2" xfId="6015" xr:uid="{68BE2078-44C4-49DF-B33E-40BD8D077222}"/>
    <cellStyle name="_TableRowBorder 5" xfId="5879" xr:uid="{8138585E-6381-4D94-B595-83BC2DCD494E}"/>
    <cellStyle name="_TableRowHead" xfId="1449" xr:uid="{00000000-0005-0000-0000-000066060000}"/>
    <cellStyle name="_TableRowHead_Assumptions_SALE" xfId="1450" xr:uid="{00000000-0005-0000-0000-000067060000}"/>
    <cellStyle name="_TableRowHead_Assumptions_SALE 2" xfId="1451" xr:uid="{00000000-0005-0000-0000-000068060000}"/>
    <cellStyle name="_TableRowHead_Assumptions_SALE_110609-AbyRenni" xfId="1452" xr:uid="{00000000-0005-0000-0000-000069060000}"/>
    <cellStyle name="_TableRowHead_Assumptions_SALE_116th condo" xfId="1453" xr:uid="{00000000-0005-0000-0000-00006A060000}"/>
    <cellStyle name="_TableRowHead_Assumptions_SALE_116th market condo 02.23.11" xfId="1454" xr:uid="{00000000-0005-0000-0000-00006B060000}"/>
    <cellStyle name="_TableRowHead_Assumptions_SALE_116th market condo 12.27" xfId="1455" xr:uid="{00000000-0005-0000-0000-00006C060000}"/>
    <cellStyle name="_TableRowHead_Assumptions_SALE_116th market condo nmtc 03.16.11" xfId="1456" xr:uid="{00000000-0005-0000-0000-00006D060000}"/>
    <cellStyle name="_TableRowHead_Assumptions_SALE_116th market rental 12.27" xfId="1457" xr:uid="{00000000-0005-0000-0000-00006E060000}"/>
    <cellStyle name="_TableRowHead_Assumptions_SALE_120403-Utica-3rd Flr Gym" xfId="1458" xr:uid="{00000000-0005-0000-0000-00006F060000}"/>
    <cellStyle name="_TableRowHead_Assumptions_SALE_120507 Dyckman Base Case" xfId="1459" xr:uid="{00000000-0005-0000-0000-000070060000}"/>
    <cellStyle name="_TableRowHead_Assumptions_SALE_120510 80-20 Dyckmanlg" xfId="1460" xr:uid="{00000000-0005-0000-0000-000071060000}"/>
    <cellStyle name="_TableRowHead_Assumptions_SALE_120604 - Utica NMTC" xfId="1461" xr:uid="{00000000-0005-0000-0000-000072060000}"/>
    <cellStyle name="_TableRowHead_Assumptions_SALE_120612 - Utica NMTC" xfId="1462" xr:uid="{00000000-0005-0000-0000-000073060000}"/>
    <cellStyle name="_TableRowHead_Assumptions_SALE_120620 - Utica NMTC" xfId="1463" xr:uid="{00000000-0005-0000-0000-000074060000}"/>
    <cellStyle name="_TableRowHead_Assumptions_SALE_120807 Standard Budget" xfId="1464" xr:uid="{00000000-0005-0000-0000-000075060000}"/>
    <cellStyle name="_TableRowHead_Assumptions_SALE_130205- 280 Franklin" xfId="1465" xr:uid="{00000000-0005-0000-0000-000076060000}"/>
    <cellStyle name="_TableRowHead_Assumptions_SALE_250 Utica 4.7.11" xfId="1466" xr:uid="{00000000-0005-0000-0000-000077060000}"/>
    <cellStyle name="_TableRowHead_Assumptions_SALE_Dev Budget" xfId="1467" xr:uid="{00000000-0005-0000-0000-000078060000}"/>
    <cellStyle name="_TableRowHead_Assumptions_SALE_Harlem 116th-117th 11 22 11" xfId="1468" xr:uid="{00000000-0005-0000-0000-000079060000}"/>
    <cellStyle name="_TableRowHead_Assumptions_SALE_Harlem 116th-117th 11 7 11" xfId="1469" xr:uid="{00000000-0005-0000-0000-00007A060000}"/>
    <cellStyle name="_TableRowHead_Assumptions_SALE_Harlem 116th-117th 12-27-11" xfId="1470" xr:uid="{00000000-0005-0000-0000-00007B060000}"/>
    <cellStyle name="_TableRowHead_Assumptions_SALE_Harlem 116th-117th 12-27-11 v2" xfId="1471" xr:uid="{00000000-0005-0000-0000-00007C060000}"/>
    <cellStyle name="_TableRowHead_Assumptions_SALE_Harlem 116th-117th 3-12-12" xfId="1472" xr:uid="{00000000-0005-0000-0000-00007D060000}"/>
    <cellStyle name="_TableRowHead_Assumptions_SALE_Harlem 116th-117th 4.8.11" xfId="1473" xr:uid="{00000000-0005-0000-0000-00007E060000}"/>
    <cellStyle name="_TableRowHead_Assumptions_SALE_Harlem 116th-117th 4.8.11 v1" xfId="1474" xr:uid="{00000000-0005-0000-0000-00007F060000}"/>
    <cellStyle name="_TableRowHead_Assumptions_SALE_Harlem 116th-117th 4-10-12" xfId="1475" xr:uid="{00000000-0005-0000-0000-000080060000}"/>
    <cellStyle name="_TableRowHead_Assumptions_SALE_Harlem 116th-117th 5-22-12" xfId="1476" xr:uid="{00000000-0005-0000-0000-000081060000}"/>
    <cellStyle name="_TableRowHead_Assumptions_SALE_Harlem 116th-117th 5-25-12 v1" xfId="1477" xr:uid="{00000000-0005-0000-0000-000082060000}"/>
    <cellStyle name="_TableRowHead_Assumptions_SALE_Harlem 116th-117th 5-3-12" xfId="1478" xr:uid="{00000000-0005-0000-0000-000083060000}"/>
    <cellStyle name="_TableRowHead_Assumptions_SALE_Harlem 116th-117th 6.16.11 v1" xfId="1479" xr:uid="{00000000-0005-0000-0000-000084060000}"/>
    <cellStyle name="_TableRowHead_Assumptions_SALE_Harlem 116th-117th 6.20.11 v1" xfId="1480" xr:uid="{00000000-0005-0000-0000-000085060000}"/>
    <cellStyle name="_TableRowHead_Assumptions_SALE_Harlem 116th-117th 6-1-12-js" xfId="1481" xr:uid="{00000000-0005-0000-0000-000086060000}"/>
    <cellStyle name="_TableRowHead_Assumptions_SALE_Harlem 116th-117th 6-4-12" xfId="1482" xr:uid="{00000000-0005-0000-0000-000087060000}"/>
    <cellStyle name="_TableRowHead_Assumptions_SALE_Harlem 116th-117th 6-4-12 -JS ACQUISITION CLOSING TAB" xfId="1483" xr:uid="{00000000-0005-0000-0000-000088060000}"/>
    <cellStyle name="_TableRowHead_Assumptions_SALE_Harlem 116th-117th 6-5-12 v1" xfId="1484" xr:uid="{00000000-0005-0000-0000-000089060000}"/>
    <cellStyle name="_TableRowHead_Assumptions_SALE_Harlem 116th-117th 7.7.11_condo 116 with updated TC tabs" xfId="1485" xr:uid="{00000000-0005-0000-0000-00008A060000}"/>
    <cellStyle name="_TableRowHead_Assumptions_SALE_Harlem 116th-117th 8 22 11_all rental" xfId="1486" xr:uid="{00000000-0005-0000-0000-00008B060000}"/>
    <cellStyle name="_TableRowHead_Assumptions_SALE_HCR Source Budget" xfId="1487" xr:uid="{00000000-0005-0000-0000-00008C060000}"/>
    <cellStyle name="_TableRowHead_Assumptions_SALE_HRP-1951 Park - NORTH" xfId="1488" xr:uid="{00000000-0005-0000-0000-00008D060000}"/>
    <cellStyle name="_TableRowHead_Assumptions_SALE_LIC 03.01.11" xfId="1489" xr:uid="{00000000-0005-0000-0000-00008E060000}"/>
    <cellStyle name="_TableRowHead_Assumptions_SALE_LIC Pearson 07-07-11" xfId="1490" xr:uid="{00000000-0005-0000-0000-00008F060000}"/>
    <cellStyle name="_TableRowHead_Assumptions_SALE_LIC Pearson 12-27-11" xfId="1491" xr:uid="{00000000-0005-0000-0000-000090060000}"/>
    <cellStyle name="_TableRowHead_Assumptions_SALE_LIC Pearson April 2012-d" xfId="1492" xr:uid="{00000000-0005-0000-0000-000091060000}"/>
    <cellStyle name="_TableRowHead_Assumptions_SALE_M&amp;O" xfId="1493" xr:uid="{00000000-0005-0000-0000-000092060000}"/>
    <cellStyle name="_TableRowHead_Assumptions_SALE_NSP Trois 02.24.11" xfId="1494" xr:uid="{00000000-0005-0000-0000-000093060000}"/>
    <cellStyle name="_TableRowHead_Assumptions_SALE_NSP Trois 03.01.11" xfId="1495" xr:uid="{00000000-0005-0000-0000-000094060000}"/>
    <cellStyle name="_TableRowHead_Assumptions_SALE_Sheet1" xfId="1496" xr:uid="{00000000-0005-0000-0000-000095060000}"/>
    <cellStyle name="_TableRowHead_Assumptions_SALE_Summary" xfId="1497" xr:uid="{00000000-0005-0000-0000-000096060000}"/>
    <cellStyle name="_TableRowHead_Model 09" xfId="1498" xr:uid="{00000000-0005-0000-0000-000097060000}"/>
    <cellStyle name="_TableRowHead_Model Short Form2" xfId="1499" xr:uid="{00000000-0005-0000-0000-000098060000}"/>
    <cellStyle name="_TableRowHead_Model Short Form2 2" xfId="1500" xr:uid="{00000000-0005-0000-0000-000099060000}"/>
    <cellStyle name="_TableRowHead_Model Short Form2_110609-AbyRenni" xfId="1501" xr:uid="{00000000-0005-0000-0000-00009A060000}"/>
    <cellStyle name="_TableRowHead_Model Short Form2_116th condo" xfId="1502" xr:uid="{00000000-0005-0000-0000-00009B060000}"/>
    <cellStyle name="_TableRowHead_Model Short Form2_116th market condo 02.23.11" xfId="1503" xr:uid="{00000000-0005-0000-0000-00009C060000}"/>
    <cellStyle name="_TableRowHead_Model Short Form2_116th market condo 12.27" xfId="1504" xr:uid="{00000000-0005-0000-0000-00009D060000}"/>
    <cellStyle name="_TableRowHead_Model Short Form2_116th market condo nmtc 03.16.11" xfId="1505" xr:uid="{00000000-0005-0000-0000-00009E060000}"/>
    <cellStyle name="_TableRowHead_Model Short Form2_116th market rental 12.27" xfId="1506" xr:uid="{00000000-0005-0000-0000-00009F060000}"/>
    <cellStyle name="_TableRowHead_Model Short Form2_120403-Utica-3rd Flr Gym" xfId="1507" xr:uid="{00000000-0005-0000-0000-0000A0060000}"/>
    <cellStyle name="_TableRowHead_Model Short Form2_120507 Dyckman Base Case" xfId="1508" xr:uid="{00000000-0005-0000-0000-0000A1060000}"/>
    <cellStyle name="_TableRowHead_Model Short Form2_120510 80-20 Dyckmanlg" xfId="1509" xr:uid="{00000000-0005-0000-0000-0000A2060000}"/>
    <cellStyle name="_TableRowHead_Model Short Form2_120604 - Utica NMTC" xfId="1510" xr:uid="{00000000-0005-0000-0000-0000A3060000}"/>
    <cellStyle name="_TableRowHead_Model Short Form2_120612 - Utica NMTC" xfId="1511" xr:uid="{00000000-0005-0000-0000-0000A4060000}"/>
    <cellStyle name="_TableRowHead_Model Short Form2_120620 - Utica NMTC" xfId="1512" xr:uid="{00000000-0005-0000-0000-0000A5060000}"/>
    <cellStyle name="_TableRowHead_Model Short Form2_120807 Standard Budget" xfId="1513" xr:uid="{00000000-0005-0000-0000-0000A6060000}"/>
    <cellStyle name="_TableRowHead_Model Short Form2_130205- 280 Franklin" xfId="1514" xr:uid="{00000000-0005-0000-0000-0000A7060000}"/>
    <cellStyle name="_TableRowHead_Model Short Form2_250 Utica 4.7.11" xfId="1515" xr:uid="{00000000-0005-0000-0000-0000A8060000}"/>
    <cellStyle name="_TableRowHead_Model Short Form2_Dev Budget" xfId="1516" xr:uid="{00000000-0005-0000-0000-0000A9060000}"/>
    <cellStyle name="_TableRowHead_Model Short Form2_Harlem 116th-117th 11 22 11" xfId="1517" xr:uid="{00000000-0005-0000-0000-0000AA060000}"/>
    <cellStyle name="_TableRowHead_Model Short Form2_Harlem 116th-117th 11 7 11" xfId="1518" xr:uid="{00000000-0005-0000-0000-0000AB060000}"/>
    <cellStyle name="_TableRowHead_Model Short Form2_Harlem 116th-117th 12-27-11" xfId="1519" xr:uid="{00000000-0005-0000-0000-0000AC060000}"/>
    <cellStyle name="_TableRowHead_Model Short Form2_Harlem 116th-117th 12-27-11 v2" xfId="1520" xr:uid="{00000000-0005-0000-0000-0000AD060000}"/>
    <cellStyle name="_TableRowHead_Model Short Form2_Harlem 116th-117th 3-12-12" xfId="1521" xr:uid="{00000000-0005-0000-0000-0000AE060000}"/>
    <cellStyle name="_TableRowHead_Model Short Form2_Harlem 116th-117th 4.8.11" xfId="1522" xr:uid="{00000000-0005-0000-0000-0000AF060000}"/>
    <cellStyle name="_TableRowHead_Model Short Form2_Harlem 116th-117th 4.8.11 v1" xfId="1523" xr:uid="{00000000-0005-0000-0000-0000B0060000}"/>
    <cellStyle name="_TableRowHead_Model Short Form2_Harlem 116th-117th 4-10-12" xfId="1524" xr:uid="{00000000-0005-0000-0000-0000B1060000}"/>
    <cellStyle name="_TableRowHead_Model Short Form2_Harlem 116th-117th 5-22-12" xfId="1525" xr:uid="{00000000-0005-0000-0000-0000B2060000}"/>
    <cellStyle name="_TableRowHead_Model Short Form2_Harlem 116th-117th 5-25-12 v1" xfId="1526" xr:uid="{00000000-0005-0000-0000-0000B3060000}"/>
    <cellStyle name="_TableRowHead_Model Short Form2_Harlem 116th-117th 5-3-12" xfId="1527" xr:uid="{00000000-0005-0000-0000-0000B4060000}"/>
    <cellStyle name="_TableRowHead_Model Short Form2_Harlem 116th-117th 6.16.11 v1" xfId="1528" xr:uid="{00000000-0005-0000-0000-0000B5060000}"/>
    <cellStyle name="_TableRowHead_Model Short Form2_Harlem 116th-117th 6.20.11 v1" xfId="1529" xr:uid="{00000000-0005-0000-0000-0000B6060000}"/>
    <cellStyle name="_TableRowHead_Model Short Form2_Harlem 116th-117th 6-1-12-js" xfId="1530" xr:uid="{00000000-0005-0000-0000-0000B7060000}"/>
    <cellStyle name="_TableRowHead_Model Short Form2_Harlem 116th-117th 6-4-12" xfId="1531" xr:uid="{00000000-0005-0000-0000-0000B8060000}"/>
    <cellStyle name="_TableRowHead_Model Short Form2_Harlem 116th-117th 6-4-12 -JS ACQUISITION CLOSING TAB" xfId="1532" xr:uid="{00000000-0005-0000-0000-0000B9060000}"/>
    <cellStyle name="_TableRowHead_Model Short Form2_Harlem 116th-117th 6-5-12 v1" xfId="1533" xr:uid="{00000000-0005-0000-0000-0000BA060000}"/>
    <cellStyle name="_TableRowHead_Model Short Form2_Harlem 116th-117th 7.7.11_condo 116 with updated TC tabs" xfId="1534" xr:uid="{00000000-0005-0000-0000-0000BB060000}"/>
    <cellStyle name="_TableRowHead_Model Short Form2_Harlem 116th-117th 8 22 11_all rental" xfId="1535" xr:uid="{00000000-0005-0000-0000-0000BC060000}"/>
    <cellStyle name="_TableRowHead_Model Short Form2_HCR Source Budget" xfId="1536" xr:uid="{00000000-0005-0000-0000-0000BD060000}"/>
    <cellStyle name="_TableRowHead_Model Short Form2_HRP-1951 Park - NORTH" xfId="1537" xr:uid="{00000000-0005-0000-0000-0000BE060000}"/>
    <cellStyle name="_TableRowHead_Model Short Form2_LIC 03.01.11" xfId="1538" xr:uid="{00000000-0005-0000-0000-0000BF060000}"/>
    <cellStyle name="_TableRowHead_Model Short Form2_LIC Pearson 07-07-11" xfId="1539" xr:uid="{00000000-0005-0000-0000-0000C0060000}"/>
    <cellStyle name="_TableRowHead_Model Short Form2_LIC Pearson 12-27-11" xfId="1540" xr:uid="{00000000-0005-0000-0000-0000C1060000}"/>
    <cellStyle name="_TableRowHead_Model Short Form2_LIC Pearson April 2012-d" xfId="1541" xr:uid="{00000000-0005-0000-0000-0000C2060000}"/>
    <cellStyle name="_TableRowHead_Model Short Form2_M&amp;O" xfId="1542" xr:uid="{00000000-0005-0000-0000-0000C3060000}"/>
    <cellStyle name="_TableRowHead_Model Short Form2_NSP Trois 02.24.11" xfId="1543" xr:uid="{00000000-0005-0000-0000-0000C4060000}"/>
    <cellStyle name="_TableRowHead_Model Short Form2_NSP Trois 03.01.11" xfId="1544" xr:uid="{00000000-0005-0000-0000-0000C5060000}"/>
    <cellStyle name="_TableRowHead_Model Short Form2_Sheet1" xfId="1545" xr:uid="{00000000-0005-0000-0000-0000C6060000}"/>
    <cellStyle name="_TableRowHead_Model Short Form2_Summary" xfId="1546" xr:uid="{00000000-0005-0000-0000-0000C7060000}"/>
    <cellStyle name="_TableRowHead_rent vs. own analysis" xfId="1547" xr:uid="{00000000-0005-0000-0000-0000C8060000}"/>
    <cellStyle name="_TableRowHead_Union CIty" xfId="1548" xr:uid="{00000000-0005-0000-0000-0000C9060000}"/>
    <cellStyle name="_TableRowHeading" xfId="1549" xr:uid="{00000000-0005-0000-0000-0000CA060000}"/>
    <cellStyle name="_TableSuperHead" xfId="1550" xr:uid="{00000000-0005-0000-0000-0000CB060000}"/>
    <cellStyle name="_TableSuperHead_Arena budget (9-9-07)" xfId="5453" xr:uid="{00000000-0005-0000-0000-0000CC060000}"/>
    <cellStyle name="_TableSuperHead_Assumptions_SALE" xfId="1551" xr:uid="{00000000-0005-0000-0000-0000CD060000}"/>
    <cellStyle name="_TableSuperHead_Assumptions_SALE 2" xfId="1552" xr:uid="{00000000-0005-0000-0000-0000CE060000}"/>
    <cellStyle name="_TableSuperHead_Assumptions_SALE_110609-AbyRenni" xfId="1553" xr:uid="{00000000-0005-0000-0000-0000CF060000}"/>
    <cellStyle name="_TableSuperHead_Assumptions_SALE_116th condo" xfId="1554" xr:uid="{00000000-0005-0000-0000-0000D0060000}"/>
    <cellStyle name="_TableSuperHead_Assumptions_SALE_116th market condo 02.23.11" xfId="1555" xr:uid="{00000000-0005-0000-0000-0000D1060000}"/>
    <cellStyle name="_TableSuperHead_Assumptions_SALE_116th market condo 12.27" xfId="1556" xr:uid="{00000000-0005-0000-0000-0000D2060000}"/>
    <cellStyle name="_TableSuperHead_Assumptions_SALE_116th market condo nmtc 03.16.11" xfId="1557" xr:uid="{00000000-0005-0000-0000-0000D3060000}"/>
    <cellStyle name="_TableSuperHead_Assumptions_SALE_116th market rental 12.27" xfId="1558" xr:uid="{00000000-0005-0000-0000-0000D4060000}"/>
    <cellStyle name="_TableSuperHead_Assumptions_SALE_120403-Utica-3rd Flr Gym" xfId="1559" xr:uid="{00000000-0005-0000-0000-0000D5060000}"/>
    <cellStyle name="_TableSuperHead_Assumptions_SALE_120507 Dyckman Base Case" xfId="1560" xr:uid="{00000000-0005-0000-0000-0000D6060000}"/>
    <cellStyle name="_TableSuperHead_Assumptions_SALE_120510 80-20 Dyckmanlg" xfId="1561" xr:uid="{00000000-0005-0000-0000-0000D7060000}"/>
    <cellStyle name="_TableSuperHead_Assumptions_SALE_120604 - Utica NMTC" xfId="1562" xr:uid="{00000000-0005-0000-0000-0000D8060000}"/>
    <cellStyle name="_TableSuperHead_Assumptions_SALE_120612 - Utica NMTC" xfId="1563" xr:uid="{00000000-0005-0000-0000-0000D9060000}"/>
    <cellStyle name="_TableSuperHead_Assumptions_SALE_120620 - Utica NMTC" xfId="1564" xr:uid="{00000000-0005-0000-0000-0000DA060000}"/>
    <cellStyle name="_TableSuperHead_Assumptions_SALE_120807 Standard Budget" xfId="1565" xr:uid="{00000000-0005-0000-0000-0000DB060000}"/>
    <cellStyle name="_TableSuperHead_Assumptions_SALE_130205- 280 Franklin" xfId="1566" xr:uid="{00000000-0005-0000-0000-0000DC060000}"/>
    <cellStyle name="_TableSuperHead_Assumptions_SALE_250 Utica 4.7.11" xfId="1567" xr:uid="{00000000-0005-0000-0000-0000DD060000}"/>
    <cellStyle name="_TableSuperHead_Assumptions_SALE_Dev Budget" xfId="1568" xr:uid="{00000000-0005-0000-0000-0000DE060000}"/>
    <cellStyle name="_TableSuperHead_Assumptions_SALE_Harlem 116th-117th 11 22 11" xfId="1569" xr:uid="{00000000-0005-0000-0000-0000DF060000}"/>
    <cellStyle name="_TableSuperHead_Assumptions_SALE_Harlem 116th-117th 11 7 11" xfId="1570" xr:uid="{00000000-0005-0000-0000-0000E0060000}"/>
    <cellStyle name="_TableSuperHead_Assumptions_SALE_Harlem 116th-117th 12-27-11" xfId="1571" xr:uid="{00000000-0005-0000-0000-0000E1060000}"/>
    <cellStyle name="_TableSuperHead_Assumptions_SALE_Harlem 116th-117th 12-27-11 v2" xfId="1572" xr:uid="{00000000-0005-0000-0000-0000E2060000}"/>
    <cellStyle name="_TableSuperHead_Assumptions_SALE_Harlem 116th-117th 3-12-12" xfId="1573" xr:uid="{00000000-0005-0000-0000-0000E3060000}"/>
    <cellStyle name="_TableSuperHead_Assumptions_SALE_Harlem 116th-117th 4.8.11" xfId="1574" xr:uid="{00000000-0005-0000-0000-0000E4060000}"/>
    <cellStyle name="_TableSuperHead_Assumptions_SALE_Harlem 116th-117th 4.8.11 v1" xfId="1575" xr:uid="{00000000-0005-0000-0000-0000E5060000}"/>
    <cellStyle name="_TableSuperHead_Assumptions_SALE_Harlem 116th-117th 4-10-12" xfId="1576" xr:uid="{00000000-0005-0000-0000-0000E6060000}"/>
    <cellStyle name="_TableSuperHead_Assumptions_SALE_Harlem 116th-117th 5-22-12" xfId="1577" xr:uid="{00000000-0005-0000-0000-0000E7060000}"/>
    <cellStyle name="_TableSuperHead_Assumptions_SALE_Harlem 116th-117th 5-25-12 v1" xfId="1578" xr:uid="{00000000-0005-0000-0000-0000E8060000}"/>
    <cellStyle name="_TableSuperHead_Assumptions_SALE_Harlem 116th-117th 5-3-12" xfId="1579" xr:uid="{00000000-0005-0000-0000-0000E9060000}"/>
    <cellStyle name="_TableSuperHead_Assumptions_SALE_Harlem 116th-117th 6.16.11 v1" xfId="1580" xr:uid="{00000000-0005-0000-0000-0000EA060000}"/>
    <cellStyle name="_TableSuperHead_Assumptions_SALE_Harlem 116th-117th 6.20.11 v1" xfId="1581" xr:uid="{00000000-0005-0000-0000-0000EB060000}"/>
    <cellStyle name="_TableSuperHead_Assumptions_SALE_Harlem 116th-117th 6-1-12-js" xfId="1582" xr:uid="{00000000-0005-0000-0000-0000EC060000}"/>
    <cellStyle name="_TableSuperHead_Assumptions_SALE_Harlem 116th-117th 6-4-12" xfId="1583" xr:uid="{00000000-0005-0000-0000-0000ED060000}"/>
    <cellStyle name="_TableSuperHead_Assumptions_SALE_Harlem 116th-117th 6-4-12 -JS ACQUISITION CLOSING TAB" xfId="1584" xr:uid="{00000000-0005-0000-0000-0000EE060000}"/>
    <cellStyle name="_TableSuperHead_Assumptions_SALE_Harlem 116th-117th 6-5-12 v1" xfId="1585" xr:uid="{00000000-0005-0000-0000-0000EF060000}"/>
    <cellStyle name="_TableSuperHead_Assumptions_SALE_Harlem 116th-117th 7.7.11_condo 116 with updated TC tabs" xfId="1586" xr:uid="{00000000-0005-0000-0000-0000F0060000}"/>
    <cellStyle name="_TableSuperHead_Assumptions_SALE_Harlem 116th-117th 8 22 11_all rental" xfId="1587" xr:uid="{00000000-0005-0000-0000-0000F1060000}"/>
    <cellStyle name="_TableSuperHead_Assumptions_SALE_HCR Source Budget" xfId="1588" xr:uid="{00000000-0005-0000-0000-0000F2060000}"/>
    <cellStyle name="_TableSuperHead_Assumptions_SALE_HRP-1951 Park - NORTH" xfId="1589" xr:uid="{00000000-0005-0000-0000-0000F3060000}"/>
    <cellStyle name="_TableSuperHead_Assumptions_SALE_LIC 03.01.11" xfId="1590" xr:uid="{00000000-0005-0000-0000-0000F4060000}"/>
    <cellStyle name="_TableSuperHead_Assumptions_SALE_LIC Pearson 07-07-11" xfId="1591" xr:uid="{00000000-0005-0000-0000-0000F5060000}"/>
    <cellStyle name="_TableSuperHead_Assumptions_SALE_LIC Pearson 12-27-11" xfId="1592" xr:uid="{00000000-0005-0000-0000-0000F6060000}"/>
    <cellStyle name="_TableSuperHead_Assumptions_SALE_LIC Pearson April 2012-d" xfId="1593" xr:uid="{00000000-0005-0000-0000-0000F7060000}"/>
    <cellStyle name="_TableSuperHead_Assumptions_SALE_M&amp;O" xfId="1594" xr:uid="{00000000-0005-0000-0000-0000F8060000}"/>
    <cellStyle name="_TableSuperHead_Assumptions_SALE_NSP Trois 02.24.11" xfId="1595" xr:uid="{00000000-0005-0000-0000-0000F9060000}"/>
    <cellStyle name="_TableSuperHead_Assumptions_SALE_NSP Trois 03.01.11" xfId="1596" xr:uid="{00000000-0005-0000-0000-0000FA060000}"/>
    <cellStyle name="_TableSuperHead_Assumptions_SALE_Sheet1" xfId="1597" xr:uid="{00000000-0005-0000-0000-0000FB060000}"/>
    <cellStyle name="_TableSuperHead_Assumptions_SALE_Summary" xfId="1598" xr:uid="{00000000-0005-0000-0000-0000FC060000}"/>
    <cellStyle name="_TableSuperHead_Book2" xfId="5455" xr:uid="{00000000-0005-0000-0000-0000FD060000}"/>
    <cellStyle name="_TableSuperHead_Merger Plans v03" xfId="1599" xr:uid="{00000000-0005-0000-0000-0000FE060000}"/>
    <cellStyle name="_TableSuperHead_Merger Plans v04" xfId="1600" xr:uid="{00000000-0005-0000-0000-0000FF060000}"/>
    <cellStyle name="_TableSuperHead_Model 09" xfId="1601" xr:uid="{00000000-0005-0000-0000-000000070000}"/>
    <cellStyle name="_TableSuperHead_Model Short Form2" xfId="1602" xr:uid="{00000000-0005-0000-0000-000001070000}"/>
    <cellStyle name="_TableSuperHead_Model Short Form2 2" xfId="1603" xr:uid="{00000000-0005-0000-0000-000002070000}"/>
    <cellStyle name="_TableSuperHead_Model Short Form2_110609-AbyRenni" xfId="1604" xr:uid="{00000000-0005-0000-0000-000003070000}"/>
    <cellStyle name="_TableSuperHead_Model Short Form2_116th condo" xfId="1605" xr:uid="{00000000-0005-0000-0000-000004070000}"/>
    <cellStyle name="_TableSuperHead_Model Short Form2_116th market condo 02.23.11" xfId="1606" xr:uid="{00000000-0005-0000-0000-000005070000}"/>
    <cellStyle name="_TableSuperHead_Model Short Form2_116th market condo 12.27" xfId="1607" xr:uid="{00000000-0005-0000-0000-000006070000}"/>
    <cellStyle name="_TableSuperHead_Model Short Form2_116th market condo nmtc 03.16.11" xfId="1608" xr:uid="{00000000-0005-0000-0000-000007070000}"/>
    <cellStyle name="_TableSuperHead_Model Short Form2_116th market rental 12.27" xfId="1609" xr:uid="{00000000-0005-0000-0000-000008070000}"/>
    <cellStyle name="_TableSuperHead_Model Short Form2_120403-Utica-3rd Flr Gym" xfId="1610" xr:uid="{00000000-0005-0000-0000-000009070000}"/>
    <cellStyle name="_TableSuperHead_Model Short Form2_120507 Dyckman Base Case" xfId="1611" xr:uid="{00000000-0005-0000-0000-00000A070000}"/>
    <cellStyle name="_TableSuperHead_Model Short Form2_120510 80-20 Dyckmanlg" xfId="1612" xr:uid="{00000000-0005-0000-0000-00000B070000}"/>
    <cellStyle name="_TableSuperHead_Model Short Form2_120604 - Utica NMTC" xfId="1613" xr:uid="{00000000-0005-0000-0000-00000C070000}"/>
    <cellStyle name="_TableSuperHead_Model Short Form2_120612 - Utica NMTC" xfId="1614" xr:uid="{00000000-0005-0000-0000-00000D070000}"/>
    <cellStyle name="_TableSuperHead_Model Short Form2_120620 - Utica NMTC" xfId="1615" xr:uid="{00000000-0005-0000-0000-00000E070000}"/>
    <cellStyle name="_TableSuperHead_Model Short Form2_120807 Standard Budget" xfId="1616" xr:uid="{00000000-0005-0000-0000-00000F070000}"/>
    <cellStyle name="_TableSuperHead_Model Short Form2_130205- 280 Franklin" xfId="1617" xr:uid="{00000000-0005-0000-0000-000010070000}"/>
    <cellStyle name="_TableSuperHead_Model Short Form2_250 Utica 4.7.11" xfId="1618" xr:uid="{00000000-0005-0000-0000-000011070000}"/>
    <cellStyle name="_TableSuperHead_Model Short Form2_Dev Budget" xfId="1619" xr:uid="{00000000-0005-0000-0000-000012070000}"/>
    <cellStyle name="_TableSuperHead_Model Short Form2_Harlem 116th-117th 11 22 11" xfId="1620" xr:uid="{00000000-0005-0000-0000-000013070000}"/>
    <cellStyle name="_TableSuperHead_Model Short Form2_Harlem 116th-117th 11 7 11" xfId="1621" xr:uid="{00000000-0005-0000-0000-000014070000}"/>
    <cellStyle name="_TableSuperHead_Model Short Form2_Harlem 116th-117th 12-27-11" xfId="1622" xr:uid="{00000000-0005-0000-0000-000015070000}"/>
    <cellStyle name="_TableSuperHead_Model Short Form2_Harlem 116th-117th 12-27-11 v2" xfId="1623" xr:uid="{00000000-0005-0000-0000-000016070000}"/>
    <cellStyle name="_TableSuperHead_Model Short Form2_Harlem 116th-117th 3-12-12" xfId="1624" xr:uid="{00000000-0005-0000-0000-000017070000}"/>
    <cellStyle name="_TableSuperHead_Model Short Form2_Harlem 116th-117th 4.8.11" xfId="1625" xr:uid="{00000000-0005-0000-0000-000018070000}"/>
    <cellStyle name="_TableSuperHead_Model Short Form2_Harlem 116th-117th 4.8.11 v1" xfId="1626" xr:uid="{00000000-0005-0000-0000-000019070000}"/>
    <cellStyle name="_TableSuperHead_Model Short Form2_Harlem 116th-117th 4-10-12" xfId="1627" xr:uid="{00000000-0005-0000-0000-00001A070000}"/>
    <cellStyle name="_TableSuperHead_Model Short Form2_Harlem 116th-117th 5-22-12" xfId="1628" xr:uid="{00000000-0005-0000-0000-00001B070000}"/>
    <cellStyle name="_TableSuperHead_Model Short Form2_Harlem 116th-117th 5-25-12 v1" xfId="1629" xr:uid="{00000000-0005-0000-0000-00001C070000}"/>
    <cellStyle name="_TableSuperHead_Model Short Form2_Harlem 116th-117th 5-3-12" xfId="1630" xr:uid="{00000000-0005-0000-0000-00001D070000}"/>
    <cellStyle name="_TableSuperHead_Model Short Form2_Harlem 116th-117th 6.16.11 v1" xfId="1631" xr:uid="{00000000-0005-0000-0000-00001E070000}"/>
    <cellStyle name="_TableSuperHead_Model Short Form2_Harlem 116th-117th 6.20.11 v1" xfId="1632" xr:uid="{00000000-0005-0000-0000-00001F070000}"/>
    <cellStyle name="_TableSuperHead_Model Short Form2_Harlem 116th-117th 6-1-12-js" xfId="1633" xr:uid="{00000000-0005-0000-0000-000020070000}"/>
    <cellStyle name="_TableSuperHead_Model Short Form2_Harlem 116th-117th 6-4-12" xfId="1634" xr:uid="{00000000-0005-0000-0000-000021070000}"/>
    <cellStyle name="_TableSuperHead_Model Short Form2_Harlem 116th-117th 6-4-12 -JS ACQUISITION CLOSING TAB" xfId="1635" xr:uid="{00000000-0005-0000-0000-000022070000}"/>
    <cellStyle name="_TableSuperHead_Model Short Form2_Harlem 116th-117th 6-5-12 v1" xfId="1636" xr:uid="{00000000-0005-0000-0000-000023070000}"/>
    <cellStyle name="_TableSuperHead_Model Short Form2_Harlem 116th-117th 7.7.11_condo 116 with updated TC tabs" xfId="1637" xr:uid="{00000000-0005-0000-0000-000024070000}"/>
    <cellStyle name="_TableSuperHead_Model Short Form2_Harlem 116th-117th 8 22 11_all rental" xfId="1638" xr:uid="{00000000-0005-0000-0000-000025070000}"/>
    <cellStyle name="_TableSuperHead_Model Short Form2_HCR Source Budget" xfId="1639" xr:uid="{00000000-0005-0000-0000-000026070000}"/>
    <cellStyle name="_TableSuperHead_Model Short Form2_HRP-1951 Park - NORTH" xfId="1640" xr:uid="{00000000-0005-0000-0000-000027070000}"/>
    <cellStyle name="_TableSuperHead_Model Short Form2_LIC 03.01.11" xfId="1641" xr:uid="{00000000-0005-0000-0000-000028070000}"/>
    <cellStyle name="_TableSuperHead_Model Short Form2_LIC Pearson 07-07-11" xfId="1642" xr:uid="{00000000-0005-0000-0000-000029070000}"/>
    <cellStyle name="_TableSuperHead_Model Short Form2_LIC Pearson 12-27-11" xfId="1643" xr:uid="{00000000-0005-0000-0000-00002A070000}"/>
    <cellStyle name="_TableSuperHead_Model Short Form2_LIC Pearson April 2012-d" xfId="1644" xr:uid="{00000000-0005-0000-0000-00002B070000}"/>
    <cellStyle name="_TableSuperHead_Model Short Form2_M&amp;O" xfId="1645" xr:uid="{00000000-0005-0000-0000-00002C070000}"/>
    <cellStyle name="_TableSuperHead_Model Short Form2_NSP Trois 02.24.11" xfId="1646" xr:uid="{00000000-0005-0000-0000-00002D070000}"/>
    <cellStyle name="_TableSuperHead_Model Short Form2_NSP Trois 03.01.11" xfId="1647" xr:uid="{00000000-0005-0000-0000-00002E070000}"/>
    <cellStyle name="_TableSuperHead_Model Short Form2_Sheet1" xfId="1648" xr:uid="{00000000-0005-0000-0000-00002F070000}"/>
    <cellStyle name="_TableSuperHead_Model Short Form2_Summary" xfId="1649" xr:uid="{00000000-0005-0000-0000-000030070000}"/>
    <cellStyle name="_TableSuperHead_rent vs. own analysis" xfId="1650" xr:uid="{00000000-0005-0000-0000-000031070000}"/>
    <cellStyle name="_TableSuperHead_SAC exhibit (9-17-07)" xfId="5332" xr:uid="{00000000-0005-0000-0000-000032070000}"/>
    <cellStyle name="_TableSuperHead_Union CIty" xfId="1651" xr:uid="{00000000-0005-0000-0000-000033070000}"/>
    <cellStyle name="_TableSuperHeading" xfId="1652" xr:uid="{00000000-0005-0000-0000-000034070000}"/>
    <cellStyle name="_TableText" xfId="1653" xr:uid="{00000000-0005-0000-0000-000035070000}"/>
    <cellStyle name="£ BP" xfId="35" xr:uid="{00000000-0005-0000-0000-000036070000}"/>
    <cellStyle name="£ BP 2" xfId="2997" xr:uid="{00000000-0005-0000-0000-000037070000}"/>
    <cellStyle name="£ BP 3" xfId="1654" xr:uid="{00000000-0005-0000-0000-000038070000}"/>
    <cellStyle name="¤@¯ë_pldt" xfId="4189" xr:uid="{00000000-0005-0000-0000-000039070000}"/>
    <cellStyle name="¥ JY" xfId="36" xr:uid="{00000000-0005-0000-0000-00003A070000}"/>
    <cellStyle name="¥ JY 2" xfId="2998" xr:uid="{00000000-0005-0000-0000-00003B070000}"/>
    <cellStyle name="¥ JY 3" xfId="1655" xr:uid="{00000000-0005-0000-0000-00003C070000}"/>
    <cellStyle name="€@¯ë_pldt" xfId="4190" xr:uid="{00000000-0005-0000-0000-00003D070000}"/>
    <cellStyle name="0" xfId="1656" xr:uid="{00000000-0005-0000-0000-00003E070000}"/>
    <cellStyle name="0 2" xfId="5376" xr:uid="{00000000-0005-0000-0000-00003F070000}"/>
    <cellStyle name="0.0" xfId="1657" xr:uid="{00000000-0005-0000-0000-000040070000}"/>
    <cellStyle name="0.0 2" xfId="5458" xr:uid="{00000000-0005-0000-0000-000041070000}"/>
    <cellStyle name="0.0 x" xfId="1658" xr:uid="{00000000-0005-0000-0000-000042070000}"/>
    <cellStyle name="0.00" xfId="1659" xr:uid="{00000000-0005-0000-0000-000043070000}"/>
    <cellStyle name="0.000" xfId="1660" xr:uid="{00000000-0005-0000-0000-000044070000}"/>
    <cellStyle name="0;0;" xfId="5354" xr:uid="{00000000-0005-0000-0000-000045070000}"/>
    <cellStyle name="000" xfId="1661" xr:uid="{00000000-0005-0000-0000-000046070000}"/>
    <cellStyle name="1" xfId="1662" xr:uid="{00000000-0005-0000-0000-000047070000}"/>
    <cellStyle name="1_03-05-31 Final OBS Reports" xfId="1663" xr:uid="{00000000-0005-0000-0000-000048070000}"/>
    <cellStyle name="1_03-05-31 Final OBS Reports_Sheet1" xfId="1664" xr:uid="{00000000-0005-0000-0000-000049070000}"/>
    <cellStyle name="1_GMACCH_Loans_OBS_033103_Final_v2" xfId="1665" xr:uid="{00000000-0005-0000-0000-00004A070000}"/>
    <cellStyle name="1_GMACCH_Loans_OBS_033103_Final_v2_Sheet1" xfId="1666" xr:uid="{00000000-0005-0000-0000-00004B070000}"/>
    <cellStyle name="1_Japan - 3Q02 Risk Rating Worksheet - 101602_Japan" xfId="1667" xr:uid="{00000000-0005-0000-0000-00004C070000}"/>
    <cellStyle name="1_Japan - 3Q02 Risk Rating Worksheet - 101602_Japan_Comparison vs. prior_Q2 2003" xfId="1668" xr:uid="{00000000-0005-0000-0000-00004D070000}"/>
    <cellStyle name="1_Japan - 3Q02 Risk Rating Worksheet - 101602_Japan_Comparison vs. prior_Q2 2003_Sheet1" xfId="1669" xr:uid="{00000000-0005-0000-0000-00004E070000}"/>
    <cellStyle name="1_Japan - 3Q02 Risk Rating Worksheet - 101602_Japan_Sheet1" xfId="1670" xr:uid="{00000000-0005-0000-0000-00004F070000}"/>
    <cellStyle name="1_Japan - 4Q2002 - Risk Rating Worksheet_final" xfId="1671" xr:uid="{00000000-0005-0000-0000-000050070000}"/>
    <cellStyle name="1_Japan - 4Q2002 - Risk Rating Worksheet_final_12.11.2002" xfId="1672" xr:uid="{00000000-0005-0000-0000-000051070000}"/>
    <cellStyle name="1_Japan - 4Q2002 - Risk Rating Worksheet_final_12.11.2002_Comparison vs. prior_Q2 2003" xfId="1673" xr:uid="{00000000-0005-0000-0000-000052070000}"/>
    <cellStyle name="1_Japan - 4Q2002 - Risk Rating Worksheet_final_12.11.2002_Comparison vs. prior_Q2 2003_Sheet1" xfId="1674" xr:uid="{00000000-0005-0000-0000-000053070000}"/>
    <cellStyle name="1_Japan - 4Q2002 - Risk Rating Worksheet_final_12.11.2002_Sheet1" xfId="1675" xr:uid="{00000000-0005-0000-0000-000054070000}"/>
    <cellStyle name="1_Japan - 4Q2002 - Risk Rating Worksheet_final_Comparison vs. prior_Q2 2003" xfId="1676" xr:uid="{00000000-0005-0000-0000-000055070000}"/>
    <cellStyle name="1_Japan - 4Q2002 - Risk Rating Worksheet_final_Comparison vs. prior_Q2 2003_Sheet1" xfId="1677" xr:uid="{00000000-0005-0000-0000-000056070000}"/>
    <cellStyle name="1_Japan - 4Q2002 - Risk Rating Worksheet_final_Sheet1" xfId="1678" xr:uid="{00000000-0005-0000-0000-000057070000}"/>
    <cellStyle name="1_Japan-1Q2003 - Risk Rating Worksheet03.06.2003F" xfId="1679" xr:uid="{00000000-0005-0000-0000-000058070000}"/>
    <cellStyle name="1_Japan-1Q2003 - Risk Rating Worksheet03.06.2003F_Comparison vs. prior_Q2 2003" xfId="1680" xr:uid="{00000000-0005-0000-0000-000059070000}"/>
    <cellStyle name="1_Japan-1Q2003 - Risk Rating Worksheet03.06.2003F_Comparison vs. prior_Q2 2003_Sheet1" xfId="1681" xr:uid="{00000000-0005-0000-0000-00005A070000}"/>
    <cellStyle name="1_Japan-1Q2003 - Risk Rating Worksheet03.06.2003F_Sheet1" xfId="1682" xr:uid="{00000000-0005-0000-0000-00005B070000}"/>
    <cellStyle name="1_SALEM" xfId="1683" xr:uid="{00000000-0005-0000-0000-00005C070000}"/>
    <cellStyle name="1_SALEM_03-05-31 Final OBS Reports" xfId="1684" xr:uid="{00000000-0005-0000-0000-00005D070000}"/>
    <cellStyle name="1_SALEM_03-05-31 Final OBS Reports_Sheet1" xfId="1685" xr:uid="{00000000-0005-0000-0000-00005E070000}"/>
    <cellStyle name="1_SALEM_GMACCH_Loans_OBS_033103_Final_v2" xfId="1686" xr:uid="{00000000-0005-0000-0000-00005F070000}"/>
    <cellStyle name="1_SALEM_GMACCH_Loans_OBS_033103_Final_v2_Sheet1" xfId="1687" xr:uid="{00000000-0005-0000-0000-000060070000}"/>
    <cellStyle name="1_SALEM_Japan - 3Q02 Risk Rating Worksheet - 101602_Japan" xfId="1688" xr:uid="{00000000-0005-0000-0000-000061070000}"/>
    <cellStyle name="1_SALEM_Japan - 3Q02 Risk Rating Worksheet - 101602_Japan_Comparison vs. prior_Q2 2003" xfId="1689" xr:uid="{00000000-0005-0000-0000-000062070000}"/>
    <cellStyle name="1_SALEM_Japan - 3Q02 Risk Rating Worksheet - 101602_Japan_Comparison vs. prior_Q2 2003_Sheet1" xfId="1690" xr:uid="{00000000-0005-0000-0000-000063070000}"/>
    <cellStyle name="1_SALEM_Japan - 3Q02 Risk Rating Worksheet - 101602_Japan_Sheet1" xfId="1691" xr:uid="{00000000-0005-0000-0000-000064070000}"/>
    <cellStyle name="1_SALEM_Japan - 4Q2002 - Risk Rating Worksheet_final" xfId="1692" xr:uid="{00000000-0005-0000-0000-000065070000}"/>
    <cellStyle name="1_SALEM_Japan - 4Q2002 - Risk Rating Worksheet_final_12.11.2002" xfId="1693" xr:uid="{00000000-0005-0000-0000-000066070000}"/>
    <cellStyle name="1_SALEM_Japan - 4Q2002 - Risk Rating Worksheet_final_12.11.2002_Comparison vs. prior_Q2 2003" xfId="1694" xr:uid="{00000000-0005-0000-0000-000067070000}"/>
    <cellStyle name="1_SALEM_Japan - 4Q2002 - Risk Rating Worksheet_final_12.11.2002_Comparison vs. prior_Q2 2003_Sheet1" xfId="1695" xr:uid="{00000000-0005-0000-0000-000068070000}"/>
    <cellStyle name="1_SALEM_Japan - 4Q2002 - Risk Rating Worksheet_final_12.11.2002_Sheet1" xfId="1696" xr:uid="{00000000-0005-0000-0000-000069070000}"/>
    <cellStyle name="1_SALEM_Japan - 4Q2002 - Risk Rating Worksheet_final_Comparison vs. prior_Q2 2003" xfId="1697" xr:uid="{00000000-0005-0000-0000-00006A070000}"/>
    <cellStyle name="1_SALEM_Japan - 4Q2002 - Risk Rating Worksheet_final_Comparison vs. prior_Q2 2003_Sheet1" xfId="1698" xr:uid="{00000000-0005-0000-0000-00006B070000}"/>
    <cellStyle name="1_SALEM_Japan - 4Q2002 - Risk Rating Worksheet_final_Sheet1" xfId="1699" xr:uid="{00000000-0005-0000-0000-00006C070000}"/>
    <cellStyle name="1_SALEM_Japan-1Q2003 - Risk Rating Worksheet03.06.2003F" xfId="1700" xr:uid="{00000000-0005-0000-0000-00006D070000}"/>
    <cellStyle name="1_SALEM_Japan-1Q2003 - Risk Rating Worksheet03.06.2003F_Comparison vs. prior_Q2 2003" xfId="1701" xr:uid="{00000000-0005-0000-0000-00006E070000}"/>
    <cellStyle name="1_SALEM_Japan-1Q2003 - Risk Rating Worksheet03.06.2003F_Comparison vs. prior_Q2 2003_Sheet1" xfId="1702" xr:uid="{00000000-0005-0000-0000-00006F070000}"/>
    <cellStyle name="1_SALEM_Japan-1Q2003 - Risk Rating Worksheet03.06.2003F_Sheet1" xfId="1703" xr:uid="{00000000-0005-0000-0000-000070070000}"/>
    <cellStyle name="1_SALEM_Sheet1" xfId="1704" xr:uid="{00000000-0005-0000-0000-000071070000}"/>
    <cellStyle name="1_SALEM_Sheet1_1" xfId="1705" xr:uid="{00000000-0005-0000-0000-000072070000}"/>
    <cellStyle name="1_SALEM_Sheet1_Sheet1" xfId="1706" xr:uid="{00000000-0005-0000-0000-000073070000}"/>
    <cellStyle name="1_SALEM_Sheet3" xfId="1707" xr:uid="{00000000-0005-0000-0000-000074070000}"/>
    <cellStyle name="1_SALEM_Sheet3_Sheet1" xfId="1708" xr:uid="{00000000-0005-0000-0000-000075070000}"/>
    <cellStyle name="1_sec8 (2)" xfId="1709" xr:uid="{00000000-0005-0000-0000-000076070000}"/>
    <cellStyle name="1_sec8 (2)_03-05-31 Final OBS Reports" xfId="1710" xr:uid="{00000000-0005-0000-0000-000077070000}"/>
    <cellStyle name="1_sec8 (2)_03-05-31 Final OBS Reports_Sheet1" xfId="1711" xr:uid="{00000000-0005-0000-0000-000078070000}"/>
    <cellStyle name="1_sec8 (2)_GMACCH_Loans_OBS_033103_Final_v2" xfId="1712" xr:uid="{00000000-0005-0000-0000-000079070000}"/>
    <cellStyle name="1_sec8 (2)_GMACCH_Loans_OBS_033103_Final_v2_Sheet1" xfId="1713" xr:uid="{00000000-0005-0000-0000-00007A070000}"/>
    <cellStyle name="1_sec8 (2)_Japan - 3Q02 Risk Rating Worksheet - 101602_Japan" xfId="1714" xr:uid="{00000000-0005-0000-0000-00007B070000}"/>
    <cellStyle name="1_sec8 (2)_Japan - 3Q02 Risk Rating Worksheet - 101602_Japan_Comparison vs. prior_Q2 2003" xfId="1715" xr:uid="{00000000-0005-0000-0000-00007C070000}"/>
    <cellStyle name="1_sec8 (2)_Japan - 3Q02 Risk Rating Worksheet - 101602_Japan_Comparison vs. prior_Q2 2003_Sheet1" xfId="1716" xr:uid="{00000000-0005-0000-0000-00007D070000}"/>
    <cellStyle name="1_sec8 (2)_Japan - 3Q02 Risk Rating Worksheet - 101602_Japan_Sheet1" xfId="1717" xr:uid="{00000000-0005-0000-0000-00007E070000}"/>
    <cellStyle name="1_sec8 (2)_Japan - 4Q2002 - Risk Rating Worksheet_final" xfId="1718" xr:uid="{00000000-0005-0000-0000-00007F070000}"/>
    <cellStyle name="1_sec8 (2)_Japan - 4Q2002 - Risk Rating Worksheet_final_12.11.2002" xfId="1719" xr:uid="{00000000-0005-0000-0000-000080070000}"/>
    <cellStyle name="1_sec8 (2)_Japan - 4Q2002 - Risk Rating Worksheet_final_12.11.2002_Comparison vs. prior_Q2 2003" xfId="1720" xr:uid="{00000000-0005-0000-0000-000081070000}"/>
    <cellStyle name="1_sec8 (2)_Japan - 4Q2002 - Risk Rating Worksheet_final_12.11.2002_Comparison vs. prior_Q2 2003_Sheet1" xfId="1721" xr:uid="{00000000-0005-0000-0000-000082070000}"/>
    <cellStyle name="1_sec8 (2)_Japan - 4Q2002 - Risk Rating Worksheet_final_12.11.2002_Sheet1" xfId="1722" xr:uid="{00000000-0005-0000-0000-000083070000}"/>
    <cellStyle name="1_sec8 (2)_Japan - 4Q2002 - Risk Rating Worksheet_final_Comparison vs. prior_Q2 2003" xfId="1723" xr:uid="{00000000-0005-0000-0000-000084070000}"/>
    <cellStyle name="1_sec8 (2)_Japan - 4Q2002 - Risk Rating Worksheet_final_Comparison vs. prior_Q2 2003_Sheet1" xfId="1724" xr:uid="{00000000-0005-0000-0000-000085070000}"/>
    <cellStyle name="1_sec8 (2)_Japan - 4Q2002 - Risk Rating Worksheet_final_Sheet1" xfId="1725" xr:uid="{00000000-0005-0000-0000-000086070000}"/>
    <cellStyle name="1_sec8 (2)_Japan-1Q2003 - Risk Rating Worksheet03.06.2003F" xfId="1726" xr:uid="{00000000-0005-0000-0000-000087070000}"/>
    <cellStyle name="1_sec8 (2)_Japan-1Q2003 - Risk Rating Worksheet03.06.2003F_Comparison vs. prior_Q2 2003" xfId="1727" xr:uid="{00000000-0005-0000-0000-000088070000}"/>
    <cellStyle name="1_sec8 (2)_Japan-1Q2003 - Risk Rating Worksheet03.06.2003F_Comparison vs. prior_Q2 2003_Sheet1" xfId="1728" xr:uid="{00000000-0005-0000-0000-000089070000}"/>
    <cellStyle name="1_sec8 (2)_Japan-1Q2003 - Risk Rating Worksheet03.06.2003F_Sheet1" xfId="1729" xr:uid="{00000000-0005-0000-0000-00008A070000}"/>
    <cellStyle name="1_sec8 (2)_Sheet1" xfId="1730" xr:uid="{00000000-0005-0000-0000-00008B070000}"/>
    <cellStyle name="1_sec8 (2)_Sheet1_1" xfId="1731" xr:uid="{00000000-0005-0000-0000-00008C070000}"/>
    <cellStyle name="1_sec8 (2)_Sheet1_Sheet1" xfId="1732" xr:uid="{00000000-0005-0000-0000-00008D070000}"/>
    <cellStyle name="1_sec8 (2)_Sheet3" xfId="1733" xr:uid="{00000000-0005-0000-0000-00008E070000}"/>
    <cellStyle name="1_sec8 (2)_Sheet3_Sheet1" xfId="1734" xr:uid="{00000000-0005-0000-0000-00008F070000}"/>
    <cellStyle name="1_Sheet1" xfId="1735" xr:uid="{00000000-0005-0000-0000-000090070000}"/>
    <cellStyle name="1_Sheet1_1" xfId="1736" xr:uid="{00000000-0005-0000-0000-000091070000}"/>
    <cellStyle name="1_Sheet1_Sheet1" xfId="1737" xr:uid="{00000000-0005-0000-0000-000092070000}"/>
    <cellStyle name="1_Sheet3" xfId="1738" xr:uid="{00000000-0005-0000-0000-000093070000}"/>
    <cellStyle name="1_Sheet3_Sheet1" xfId="1739" xr:uid="{00000000-0005-0000-0000-000094070000}"/>
    <cellStyle name="1Decimal" xfId="5459" xr:uid="{00000000-0005-0000-0000-000095070000}"/>
    <cellStyle name="2" xfId="1740" xr:uid="{00000000-0005-0000-0000-000096070000}"/>
    <cellStyle name="2_03-05-31 Final OBS Reports" xfId="1741" xr:uid="{00000000-0005-0000-0000-000097070000}"/>
    <cellStyle name="2_03-05-31 Final OBS Reports_Sheet1" xfId="1742" xr:uid="{00000000-0005-0000-0000-000098070000}"/>
    <cellStyle name="2_GMACCH_Loans_OBS_033103_Final_v2" xfId="1743" xr:uid="{00000000-0005-0000-0000-000099070000}"/>
    <cellStyle name="2_GMACCH_Loans_OBS_033103_Final_v2_Sheet1" xfId="1744" xr:uid="{00000000-0005-0000-0000-00009A070000}"/>
    <cellStyle name="2_Japan - 3Q02 Risk Rating Worksheet - 101602_Japan" xfId="1745" xr:uid="{00000000-0005-0000-0000-00009B070000}"/>
    <cellStyle name="2_Japan - 3Q02 Risk Rating Worksheet - 101602_Japan_Comparison vs. prior_Q2 2003" xfId="1746" xr:uid="{00000000-0005-0000-0000-00009C070000}"/>
    <cellStyle name="2_Japan - 3Q02 Risk Rating Worksheet - 101602_Japan_Comparison vs. prior_Q2 2003_Sheet1" xfId="1747" xr:uid="{00000000-0005-0000-0000-00009D070000}"/>
    <cellStyle name="2_Japan - 3Q02 Risk Rating Worksheet - 101602_Japan_Sheet1" xfId="1748" xr:uid="{00000000-0005-0000-0000-00009E070000}"/>
    <cellStyle name="2_Japan - 4Q2002 - Risk Rating Worksheet_final" xfId="1749" xr:uid="{00000000-0005-0000-0000-00009F070000}"/>
    <cellStyle name="2_Japan - 4Q2002 - Risk Rating Worksheet_final_12.11.2002" xfId="1750" xr:uid="{00000000-0005-0000-0000-0000A0070000}"/>
    <cellStyle name="2_Japan - 4Q2002 - Risk Rating Worksheet_final_12.11.2002_Comparison vs. prior_Q2 2003" xfId="1751" xr:uid="{00000000-0005-0000-0000-0000A1070000}"/>
    <cellStyle name="2_Japan - 4Q2002 - Risk Rating Worksheet_final_12.11.2002_Comparison vs. prior_Q2 2003_Sheet1" xfId="1752" xr:uid="{00000000-0005-0000-0000-0000A2070000}"/>
    <cellStyle name="2_Japan - 4Q2002 - Risk Rating Worksheet_final_12.11.2002_Sheet1" xfId="1753" xr:uid="{00000000-0005-0000-0000-0000A3070000}"/>
    <cellStyle name="2_Japan - 4Q2002 - Risk Rating Worksheet_final_Comparison vs. prior_Q2 2003" xfId="1754" xr:uid="{00000000-0005-0000-0000-0000A4070000}"/>
    <cellStyle name="2_Japan - 4Q2002 - Risk Rating Worksheet_final_Comparison vs. prior_Q2 2003_Sheet1" xfId="1755" xr:uid="{00000000-0005-0000-0000-0000A5070000}"/>
    <cellStyle name="2_Japan - 4Q2002 - Risk Rating Worksheet_final_Sheet1" xfId="1756" xr:uid="{00000000-0005-0000-0000-0000A6070000}"/>
    <cellStyle name="2_Japan-1Q2003 - Risk Rating Worksheet03.06.2003F" xfId="1757" xr:uid="{00000000-0005-0000-0000-0000A7070000}"/>
    <cellStyle name="2_Japan-1Q2003 - Risk Rating Worksheet03.06.2003F_Comparison vs. prior_Q2 2003" xfId="1758" xr:uid="{00000000-0005-0000-0000-0000A8070000}"/>
    <cellStyle name="2_Japan-1Q2003 - Risk Rating Worksheet03.06.2003F_Comparison vs. prior_Q2 2003_Sheet1" xfId="1759" xr:uid="{00000000-0005-0000-0000-0000A9070000}"/>
    <cellStyle name="2_Japan-1Q2003 - Risk Rating Worksheet03.06.2003F_Sheet1" xfId="1760" xr:uid="{00000000-0005-0000-0000-0000AA070000}"/>
    <cellStyle name="2_SALEM" xfId="1761" xr:uid="{00000000-0005-0000-0000-0000AB070000}"/>
    <cellStyle name="2_SALEM_03-05-31 Final OBS Reports" xfId="1762" xr:uid="{00000000-0005-0000-0000-0000AC070000}"/>
    <cellStyle name="2_SALEM_03-05-31 Final OBS Reports_Sheet1" xfId="1763" xr:uid="{00000000-0005-0000-0000-0000AD070000}"/>
    <cellStyle name="2_SALEM_GMACCH_Loans_OBS_033103_Final_v2" xfId="1764" xr:uid="{00000000-0005-0000-0000-0000AE070000}"/>
    <cellStyle name="2_SALEM_GMACCH_Loans_OBS_033103_Final_v2_Sheet1" xfId="1765" xr:uid="{00000000-0005-0000-0000-0000AF070000}"/>
    <cellStyle name="2_SALEM_Japan - 3Q02 Risk Rating Worksheet - 101602_Japan" xfId="1766" xr:uid="{00000000-0005-0000-0000-0000B0070000}"/>
    <cellStyle name="2_SALEM_Japan - 3Q02 Risk Rating Worksheet - 101602_Japan_Comparison vs. prior_Q2 2003" xfId="1767" xr:uid="{00000000-0005-0000-0000-0000B1070000}"/>
    <cellStyle name="2_SALEM_Japan - 3Q02 Risk Rating Worksheet - 101602_Japan_Comparison vs. prior_Q2 2003_Sheet1" xfId="1768" xr:uid="{00000000-0005-0000-0000-0000B2070000}"/>
    <cellStyle name="2_SALEM_Japan - 3Q02 Risk Rating Worksheet - 101602_Japan_Sheet1" xfId="1769" xr:uid="{00000000-0005-0000-0000-0000B3070000}"/>
    <cellStyle name="2_SALEM_Japan - 4Q2002 - Risk Rating Worksheet_final" xfId="1770" xr:uid="{00000000-0005-0000-0000-0000B4070000}"/>
    <cellStyle name="2_SALEM_Japan - 4Q2002 - Risk Rating Worksheet_final_12.11.2002" xfId="1771" xr:uid="{00000000-0005-0000-0000-0000B5070000}"/>
    <cellStyle name="2_SALEM_Japan - 4Q2002 - Risk Rating Worksheet_final_12.11.2002_Comparison vs. prior_Q2 2003" xfId="1772" xr:uid="{00000000-0005-0000-0000-0000B6070000}"/>
    <cellStyle name="2_SALEM_Japan - 4Q2002 - Risk Rating Worksheet_final_12.11.2002_Comparison vs. prior_Q2 2003_Sheet1" xfId="1773" xr:uid="{00000000-0005-0000-0000-0000B7070000}"/>
    <cellStyle name="2_SALEM_Japan - 4Q2002 - Risk Rating Worksheet_final_12.11.2002_Sheet1" xfId="1774" xr:uid="{00000000-0005-0000-0000-0000B8070000}"/>
    <cellStyle name="2_SALEM_Japan - 4Q2002 - Risk Rating Worksheet_final_Comparison vs. prior_Q2 2003" xfId="1775" xr:uid="{00000000-0005-0000-0000-0000B9070000}"/>
    <cellStyle name="2_SALEM_Japan - 4Q2002 - Risk Rating Worksheet_final_Comparison vs. prior_Q2 2003_Sheet1" xfId="1776" xr:uid="{00000000-0005-0000-0000-0000BA070000}"/>
    <cellStyle name="2_SALEM_Japan - 4Q2002 - Risk Rating Worksheet_final_Sheet1" xfId="1777" xr:uid="{00000000-0005-0000-0000-0000BB070000}"/>
    <cellStyle name="2_SALEM_Japan-1Q2003 - Risk Rating Worksheet03.06.2003F" xfId="1778" xr:uid="{00000000-0005-0000-0000-0000BC070000}"/>
    <cellStyle name="2_SALEM_Japan-1Q2003 - Risk Rating Worksheet03.06.2003F_Comparison vs. prior_Q2 2003" xfId="1779" xr:uid="{00000000-0005-0000-0000-0000BD070000}"/>
    <cellStyle name="2_SALEM_Japan-1Q2003 - Risk Rating Worksheet03.06.2003F_Comparison vs. prior_Q2 2003_Sheet1" xfId="1780" xr:uid="{00000000-0005-0000-0000-0000BE070000}"/>
    <cellStyle name="2_SALEM_Japan-1Q2003 - Risk Rating Worksheet03.06.2003F_Sheet1" xfId="1781" xr:uid="{00000000-0005-0000-0000-0000BF070000}"/>
    <cellStyle name="2_SALEM_Sheet1" xfId="1782" xr:uid="{00000000-0005-0000-0000-0000C0070000}"/>
    <cellStyle name="2_SALEM_Sheet1_1" xfId="1783" xr:uid="{00000000-0005-0000-0000-0000C1070000}"/>
    <cellStyle name="2_SALEM_Sheet1_Sheet1" xfId="1784" xr:uid="{00000000-0005-0000-0000-0000C2070000}"/>
    <cellStyle name="2_SALEM_Sheet3" xfId="1785" xr:uid="{00000000-0005-0000-0000-0000C3070000}"/>
    <cellStyle name="2_SALEM_Sheet3_Sheet1" xfId="1786" xr:uid="{00000000-0005-0000-0000-0000C4070000}"/>
    <cellStyle name="2_Sheet1" xfId="1787" xr:uid="{00000000-0005-0000-0000-0000C5070000}"/>
    <cellStyle name="2_Sheet1_1" xfId="1788" xr:uid="{00000000-0005-0000-0000-0000C6070000}"/>
    <cellStyle name="2_Sheet1_Sheet1" xfId="1789" xr:uid="{00000000-0005-0000-0000-0000C7070000}"/>
    <cellStyle name="2_Sheet3" xfId="1790" xr:uid="{00000000-0005-0000-0000-0000C8070000}"/>
    <cellStyle name="2_Sheet3_Sheet1" xfId="1791" xr:uid="{00000000-0005-0000-0000-0000C9070000}"/>
    <cellStyle name="20% - Accent1 2" xfId="1793" xr:uid="{00000000-0005-0000-0000-0000CA070000}"/>
    <cellStyle name="20% - Accent1 2 2" xfId="3378" xr:uid="{00000000-0005-0000-0000-0000CB070000}"/>
    <cellStyle name="20% - Accent1 2 3" xfId="3377" xr:uid="{00000000-0005-0000-0000-0000CC070000}"/>
    <cellStyle name="20% - Accent1 3" xfId="1794" xr:uid="{00000000-0005-0000-0000-0000CD070000}"/>
    <cellStyle name="20% - Accent1 4" xfId="1795" xr:uid="{00000000-0005-0000-0000-0000CE070000}"/>
    <cellStyle name="20% - Accent1 5" xfId="1796" xr:uid="{00000000-0005-0000-0000-0000CF070000}"/>
    <cellStyle name="20% - Accent1 6" xfId="1792" xr:uid="{00000000-0005-0000-0000-0000D0070000}"/>
    <cellStyle name="20% - Accent2 2" xfId="1798" xr:uid="{00000000-0005-0000-0000-0000D1070000}"/>
    <cellStyle name="20% - Accent2 2 2" xfId="3380" xr:uid="{00000000-0005-0000-0000-0000D2070000}"/>
    <cellStyle name="20% - Accent2 2 3" xfId="3379" xr:uid="{00000000-0005-0000-0000-0000D3070000}"/>
    <cellStyle name="20% - Accent2 3" xfId="1799" xr:uid="{00000000-0005-0000-0000-0000D4070000}"/>
    <cellStyle name="20% - Accent2 4" xfId="1800" xr:uid="{00000000-0005-0000-0000-0000D5070000}"/>
    <cellStyle name="20% - Accent2 5" xfId="1801" xr:uid="{00000000-0005-0000-0000-0000D6070000}"/>
    <cellStyle name="20% - Accent2 6" xfId="1797" xr:uid="{00000000-0005-0000-0000-0000D7070000}"/>
    <cellStyle name="20% - Accent3 2" xfId="1803" xr:uid="{00000000-0005-0000-0000-0000D8070000}"/>
    <cellStyle name="20% - Accent3 2 2" xfId="3382" xr:uid="{00000000-0005-0000-0000-0000D9070000}"/>
    <cellStyle name="20% - Accent3 2 3" xfId="3381" xr:uid="{00000000-0005-0000-0000-0000DA070000}"/>
    <cellStyle name="20% - Accent3 3" xfId="1804" xr:uid="{00000000-0005-0000-0000-0000DB070000}"/>
    <cellStyle name="20% - Accent3 4" xfId="1805" xr:uid="{00000000-0005-0000-0000-0000DC070000}"/>
    <cellStyle name="20% - Accent3 5" xfId="1806" xr:uid="{00000000-0005-0000-0000-0000DD070000}"/>
    <cellStyle name="20% - Accent3 6" xfId="1802" xr:uid="{00000000-0005-0000-0000-0000DE070000}"/>
    <cellStyle name="20% - Accent4 2" xfId="1808" xr:uid="{00000000-0005-0000-0000-0000DF070000}"/>
    <cellStyle name="20% - Accent4 2 2" xfId="3384" xr:uid="{00000000-0005-0000-0000-0000E0070000}"/>
    <cellStyle name="20% - Accent4 2 3" xfId="3383" xr:uid="{00000000-0005-0000-0000-0000E1070000}"/>
    <cellStyle name="20% - Accent4 3" xfId="1809" xr:uid="{00000000-0005-0000-0000-0000E2070000}"/>
    <cellStyle name="20% - Accent4 4" xfId="1810" xr:uid="{00000000-0005-0000-0000-0000E3070000}"/>
    <cellStyle name="20% - Accent4 5" xfId="1811" xr:uid="{00000000-0005-0000-0000-0000E4070000}"/>
    <cellStyle name="20% - Accent4 6" xfId="1807" xr:uid="{00000000-0005-0000-0000-0000E5070000}"/>
    <cellStyle name="20% - Accent5 2" xfId="1813" xr:uid="{00000000-0005-0000-0000-0000E6070000}"/>
    <cellStyle name="20% - Accent5 3" xfId="1814" xr:uid="{00000000-0005-0000-0000-0000E7070000}"/>
    <cellStyle name="20% - Accent5 4" xfId="1815" xr:uid="{00000000-0005-0000-0000-0000E8070000}"/>
    <cellStyle name="20% - Accent5 5" xfId="1816" xr:uid="{00000000-0005-0000-0000-0000E9070000}"/>
    <cellStyle name="20% - Accent5 6" xfId="1812" xr:uid="{00000000-0005-0000-0000-0000EA070000}"/>
    <cellStyle name="20% - Accent6 2" xfId="1818" xr:uid="{00000000-0005-0000-0000-0000EB070000}"/>
    <cellStyle name="20% - Accent6 3" xfId="1819" xr:uid="{00000000-0005-0000-0000-0000EC070000}"/>
    <cellStyle name="20% - Accent6 4" xfId="1820" xr:uid="{00000000-0005-0000-0000-0000ED070000}"/>
    <cellStyle name="20% - Accent6 5" xfId="1821" xr:uid="{00000000-0005-0000-0000-0000EE070000}"/>
    <cellStyle name="20% - Accent6 6" xfId="1817" xr:uid="{00000000-0005-0000-0000-0000EF070000}"/>
    <cellStyle name="2DecimalPercent" xfId="5460" xr:uid="{00000000-0005-0000-0000-0000F0070000}"/>
    <cellStyle name="2Decimals" xfId="5365" xr:uid="{00000000-0005-0000-0000-0000F1070000}"/>
    <cellStyle name="3" xfId="1822" xr:uid="{00000000-0005-0000-0000-0000F2070000}"/>
    <cellStyle name="3$" xfId="1823" xr:uid="{00000000-0005-0000-0000-0000F3070000}"/>
    <cellStyle name="3_03-05-31 Final OBS Reports" xfId="1824" xr:uid="{00000000-0005-0000-0000-0000F4070000}"/>
    <cellStyle name="3_03-05-31 Final OBS Reports_Sheet1" xfId="1825" xr:uid="{00000000-0005-0000-0000-0000F5070000}"/>
    <cellStyle name="3_GMACCH_Loans_OBS_033103_Final_v2" xfId="1826" xr:uid="{00000000-0005-0000-0000-0000F6070000}"/>
    <cellStyle name="3_GMACCH_Loans_OBS_033103_Final_v2_Sheet1" xfId="1827" xr:uid="{00000000-0005-0000-0000-0000F7070000}"/>
    <cellStyle name="3_Japan - 3Q02 Risk Rating Worksheet - 101602_Japan" xfId="1828" xr:uid="{00000000-0005-0000-0000-0000F8070000}"/>
    <cellStyle name="3_Japan - 3Q02 Risk Rating Worksheet - 101602_Japan_Comparison vs. prior_Q2 2003" xfId="1829" xr:uid="{00000000-0005-0000-0000-0000F9070000}"/>
    <cellStyle name="3_Japan - 3Q02 Risk Rating Worksheet - 101602_Japan_Comparison vs. prior_Q2 2003_Sheet1" xfId="1830" xr:uid="{00000000-0005-0000-0000-0000FA070000}"/>
    <cellStyle name="3_Japan - 3Q02 Risk Rating Worksheet - 101602_Japan_Sheet1" xfId="1831" xr:uid="{00000000-0005-0000-0000-0000FB070000}"/>
    <cellStyle name="3_Japan - 4Q2002 - Risk Rating Worksheet_final" xfId="1832" xr:uid="{00000000-0005-0000-0000-0000FC070000}"/>
    <cellStyle name="3_Japan - 4Q2002 - Risk Rating Worksheet_final_12.11.2002" xfId="1833" xr:uid="{00000000-0005-0000-0000-0000FD070000}"/>
    <cellStyle name="3_Japan - 4Q2002 - Risk Rating Worksheet_final_12.11.2002_Comparison vs. prior_Q2 2003" xfId="1834" xr:uid="{00000000-0005-0000-0000-0000FE070000}"/>
    <cellStyle name="3_Japan - 4Q2002 - Risk Rating Worksheet_final_12.11.2002_Comparison vs. prior_Q2 2003_Sheet1" xfId="1835" xr:uid="{00000000-0005-0000-0000-0000FF070000}"/>
    <cellStyle name="3_Japan - 4Q2002 - Risk Rating Worksheet_final_12.11.2002_Sheet1" xfId="1836" xr:uid="{00000000-0005-0000-0000-000000080000}"/>
    <cellStyle name="3_Japan - 4Q2002 - Risk Rating Worksheet_final_Comparison vs. prior_Q2 2003" xfId="1837" xr:uid="{00000000-0005-0000-0000-000001080000}"/>
    <cellStyle name="3_Japan - 4Q2002 - Risk Rating Worksheet_final_Comparison vs. prior_Q2 2003_Sheet1" xfId="1838" xr:uid="{00000000-0005-0000-0000-000002080000}"/>
    <cellStyle name="3_Japan - 4Q2002 - Risk Rating Worksheet_final_Sheet1" xfId="1839" xr:uid="{00000000-0005-0000-0000-000003080000}"/>
    <cellStyle name="3_Japan-1Q2003 - Risk Rating Worksheet03.06.2003F" xfId="1840" xr:uid="{00000000-0005-0000-0000-000004080000}"/>
    <cellStyle name="3_Japan-1Q2003 - Risk Rating Worksheet03.06.2003F_Comparison vs. prior_Q2 2003" xfId="1841" xr:uid="{00000000-0005-0000-0000-000005080000}"/>
    <cellStyle name="3_Japan-1Q2003 - Risk Rating Worksheet03.06.2003F_Comparison vs. prior_Q2 2003_Sheet1" xfId="1842" xr:uid="{00000000-0005-0000-0000-000006080000}"/>
    <cellStyle name="3_Japan-1Q2003 - Risk Rating Worksheet03.06.2003F_Sheet1" xfId="1843" xr:uid="{00000000-0005-0000-0000-000007080000}"/>
    <cellStyle name="3_Sheet1" xfId="1844" xr:uid="{00000000-0005-0000-0000-000008080000}"/>
    <cellStyle name="3_Sheet1_1" xfId="1845" xr:uid="{00000000-0005-0000-0000-000009080000}"/>
    <cellStyle name="3_Sheet1_Sheet1" xfId="1846" xr:uid="{00000000-0005-0000-0000-00000A080000}"/>
    <cellStyle name="3_Sheet3" xfId="1847" xr:uid="{00000000-0005-0000-0000-00000B080000}"/>
    <cellStyle name="3_Sheet3_Sheet1" xfId="1848" xr:uid="{00000000-0005-0000-0000-00000C080000}"/>
    <cellStyle name="³f¹ô[0]_pldt" xfId="4191" xr:uid="{00000000-0005-0000-0000-00000D080000}"/>
    <cellStyle name="³f¹ô_pldt" xfId="4192" xr:uid="{00000000-0005-0000-0000-00000E080000}"/>
    <cellStyle name="40% - Accent1 2" xfId="1850" xr:uid="{00000000-0005-0000-0000-00000F080000}"/>
    <cellStyle name="40% - Accent1 2 2" xfId="3386" xr:uid="{00000000-0005-0000-0000-000010080000}"/>
    <cellStyle name="40% - Accent1 2 3" xfId="3385" xr:uid="{00000000-0005-0000-0000-000011080000}"/>
    <cellStyle name="40% - Accent1 3" xfId="1851" xr:uid="{00000000-0005-0000-0000-000012080000}"/>
    <cellStyle name="40% - Accent1 4" xfId="1852" xr:uid="{00000000-0005-0000-0000-000013080000}"/>
    <cellStyle name="40% - Accent1 5" xfId="1853" xr:uid="{00000000-0005-0000-0000-000014080000}"/>
    <cellStyle name="40% - Accent1 6" xfId="1849" xr:uid="{00000000-0005-0000-0000-000015080000}"/>
    <cellStyle name="40% - Accent2 2" xfId="1855" xr:uid="{00000000-0005-0000-0000-000016080000}"/>
    <cellStyle name="40% - Accent2 3" xfId="1856" xr:uid="{00000000-0005-0000-0000-000017080000}"/>
    <cellStyle name="40% - Accent2 4" xfId="1857" xr:uid="{00000000-0005-0000-0000-000018080000}"/>
    <cellStyle name="40% - Accent2 5" xfId="1858" xr:uid="{00000000-0005-0000-0000-000019080000}"/>
    <cellStyle name="40% - Accent2 6" xfId="1854" xr:uid="{00000000-0005-0000-0000-00001A080000}"/>
    <cellStyle name="40% - Accent3 2" xfId="1860" xr:uid="{00000000-0005-0000-0000-00001B080000}"/>
    <cellStyle name="40% - Accent3 2 2" xfId="3388" xr:uid="{00000000-0005-0000-0000-00001C080000}"/>
    <cellStyle name="40% - Accent3 2 3" xfId="3387" xr:uid="{00000000-0005-0000-0000-00001D080000}"/>
    <cellStyle name="40% - Accent3 3" xfId="1861" xr:uid="{00000000-0005-0000-0000-00001E080000}"/>
    <cellStyle name="40% - Accent3 4" xfId="1862" xr:uid="{00000000-0005-0000-0000-00001F080000}"/>
    <cellStyle name="40% - Accent3 5" xfId="1863" xr:uid="{00000000-0005-0000-0000-000020080000}"/>
    <cellStyle name="40% - Accent3 6" xfId="1859" xr:uid="{00000000-0005-0000-0000-000021080000}"/>
    <cellStyle name="40% - Accent4 2" xfId="1865" xr:uid="{00000000-0005-0000-0000-000022080000}"/>
    <cellStyle name="40% - Accent4 2 2" xfId="3390" xr:uid="{00000000-0005-0000-0000-000023080000}"/>
    <cellStyle name="40% - Accent4 2 3" xfId="3389" xr:uid="{00000000-0005-0000-0000-000024080000}"/>
    <cellStyle name="40% - Accent4 3" xfId="1866" xr:uid="{00000000-0005-0000-0000-000025080000}"/>
    <cellStyle name="40% - Accent4 4" xfId="1867" xr:uid="{00000000-0005-0000-0000-000026080000}"/>
    <cellStyle name="40% - Accent4 5" xfId="1868" xr:uid="{00000000-0005-0000-0000-000027080000}"/>
    <cellStyle name="40% - Accent4 6" xfId="1864" xr:uid="{00000000-0005-0000-0000-000028080000}"/>
    <cellStyle name="40% - Accent5 2" xfId="1870" xr:uid="{00000000-0005-0000-0000-000029080000}"/>
    <cellStyle name="40% - Accent5 3" xfId="1871" xr:uid="{00000000-0005-0000-0000-00002A080000}"/>
    <cellStyle name="40% - Accent5 4" xfId="1872" xr:uid="{00000000-0005-0000-0000-00002B080000}"/>
    <cellStyle name="40% - Accent5 5" xfId="1873" xr:uid="{00000000-0005-0000-0000-00002C080000}"/>
    <cellStyle name="40% - Accent5 6" xfId="1869" xr:uid="{00000000-0005-0000-0000-00002D080000}"/>
    <cellStyle name="40% - Accent6 2" xfId="1875" xr:uid="{00000000-0005-0000-0000-00002E080000}"/>
    <cellStyle name="40% - Accent6 2 2" xfId="3392" xr:uid="{00000000-0005-0000-0000-00002F080000}"/>
    <cellStyle name="40% - Accent6 2 3" xfId="3391" xr:uid="{00000000-0005-0000-0000-000030080000}"/>
    <cellStyle name="40% - Accent6 3" xfId="1876" xr:uid="{00000000-0005-0000-0000-000031080000}"/>
    <cellStyle name="40% - Accent6 4" xfId="1877" xr:uid="{00000000-0005-0000-0000-000032080000}"/>
    <cellStyle name="40% - Accent6 5" xfId="1878" xr:uid="{00000000-0005-0000-0000-000033080000}"/>
    <cellStyle name="40% - Accent6 6" xfId="1874" xr:uid="{00000000-0005-0000-0000-000034080000}"/>
    <cellStyle name="60% - Accent1 2" xfId="1880" xr:uid="{00000000-0005-0000-0000-000035080000}"/>
    <cellStyle name="60% - Accent1 2 2" xfId="3394" xr:uid="{00000000-0005-0000-0000-000036080000}"/>
    <cellStyle name="60% - Accent1 2 3" xfId="3393" xr:uid="{00000000-0005-0000-0000-000037080000}"/>
    <cellStyle name="60% - Accent1 3" xfId="1881" xr:uid="{00000000-0005-0000-0000-000038080000}"/>
    <cellStyle name="60% - Accent1 4" xfId="1882" xr:uid="{00000000-0005-0000-0000-000039080000}"/>
    <cellStyle name="60% - Accent1 5" xfId="1883" xr:uid="{00000000-0005-0000-0000-00003A080000}"/>
    <cellStyle name="60% - Accent1 6" xfId="1879" xr:uid="{00000000-0005-0000-0000-00003B080000}"/>
    <cellStyle name="60% - Accent2 2" xfId="1885" xr:uid="{00000000-0005-0000-0000-00003C080000}"/>
    <cellStyle name="60% - Accent2 3" xfId="1886" xr:uid="{00000000-0005-0000-0000-00003D080000}"/>
    <cellStyle name="60% - Accent2 4" xfId="1887" xr:uid="{00000000-0005-0000-0000-00003E080000}"/>
    <cellStyle name="60% - Accent2 5" xfId="1888" xr:uid="{00000000-0005-0000-0000-00003F080000}"/>
    <cellStyle name="60% - Accent2 6" xfId="1884" xr:uid="{00000000-0005-0000-0000-000040080000}"/>
    <cellStyle name="60% - Accent3 2" xfId="1890" xr:uid="{00000000-0005-0000-0000-000041080000}"/>
    <cellStyle name="60% - Accent3 2 2" xfId="3396" xr:uid="{00000000-0005-0000-0000-000042080000}"/>
    <cellStyle name="60% - Accent3 2 3" xfId="3395" xr:uid="{00000000-0005-0000-0000-000043080000}"/>
    <cellStyle name="60% - Accent3 3" xfId="1891" xr:uid="{00000000-0005-0000-0000-000044080000}"/>
    <cellStyle name="60% - Accent3 4" xfId="1892" xr:uid="{00000000-0005-0000-0000-000045080000}"/>
    <cellStyle name="60% - Accent3 5" xfId="1893" xr:uid="{00000000-0005-0000-0000-000046080000}"/>
    <cellStyle name="60% - Accent3 6" xfId="1889" xr:uid="{00000000-0005-0000-0000-000047080000}"/>
    <cellStyle name="60% - Accent4 2" xfId="1895" xr:uid="{00000000-0005-0000-0000-000048080000}"/>
    <cellStyle name="60% - Accent4 2 2" xfId="3398" xr:uid="{00000000-0005-0000-0000-000049080000}"/>
    <cellStyle name="60% - Accent4 2 3" xfId="3397" xr:uid="{00000000-0005-0000-0000-00004A080000}"/>
    <cellStyle name="60% - Accent4 3" xfId="1896" xr:uid="{00000000-0005-0000-0000-00004B080000}"/>
    <cellStyle name="60% - Accent4 4" xfId="1897" xr:uid="{00000000-0005-0000-0000-00004C080000}"/>
    <cellStyle name="60% - Accent4 5" xfId="1898" xr:uid="{00000000-0005-0000-0000-00004D080000}"/>
    <cellStyle name="60% - Accent4 6" xfId="1894" xr:uid="{00000000-0005-0000-0000-00004E080000}"/>
    <cellStyle name="60% - Accent5 2" xfId="1900" xr:uid="{00000000-0005-0000-0000-00004F080000}"/>
    <cellStyle name="60% - Accent5 3" xfId="1901" xr:uid="{00000000-0005-0000-0000-000050080000}"/>
    <cellStyle name="60% - Accent5 4" xfId="1902" xr:uid="{00000000-0005-0000-0000-000051080000}"/>
    <cellStyle name="60% - Accent5 5" xfId="1903" xr:uid="{00000000-0005-0000-0000-000052080000}"/>
    <cellStyle name="60% - Accent5 6" xfId="1899" xr:uid="{00000000-0005-0000-0000-000053080000}"/>
    <cellStyle name="60% - Accent6 2" xfId="1905" xr:uid="{00000000-0005-0000-0000-000054080000}"/>
    <cellStyle name="60% - Accent6 2 2" xfId="3400" xr:uid="{00000000-0005-0000-0000-000055080000}"/>
    <cellStyle name="60% - Accent6 2 3" xfId="3399" xr:uid="{00000000-0005-0000-0000-000056080000}"/>
    <cellStyle name="60% - Accent6 3" xfId="1906" xr:uid="{00000000-0005-0000-0000-000057080000}"/>
    <cellStyle name="60% - Accent6 4" xfId="1907" xr:uid="{00000000-0005-0000-0000-000058080000}"/>
    <cellStyle name="60% - Accent6 5" xfId="1908" xr:uid="{00000000-0005-0000-0000-000059080000}"/>
    <cellStyle name="60% - Accent6 6" xfId="1904" xr:uid="{00000000-0005-0000-0000-00005A080000}"/>
    <cellStyle name="8pt" xfId="1909" xr:uid="{00000000-0005-0000-0000-00005B080000}"/>
    <cellStyle name="A10" xfId="1910" xr:uid="{00000000-0005-0000-0000-00005C080000}"/>
    <cellStyle name="A10 2" xfId="1911" xr:uid="{00000000-0005-0000-0000-00005D080000}"/>
    <cellStyle name="Accent1 2" xfId="1913" xr:uid="{00000000-0005-0000-0000-00005E080000}"/>
    <cellStyle name="Accent1 2 2" xfId="3402" xr:uid="{00000000-0005-0000-0000-00005F080000}"/>
    <cellStyle name="Accent1 2 3" xfId="3401" xr:uid="{00000000-0005-0000-0000-000060080000}"/>
    <cellStyle name="Accent1 3" xfId="1914" xr:uid="{00000000-0005-0000-0000-000061080000}"/>
    <cellStyle name="Accent1 4" xfId="1915" xr:uid="{00000000-0005-0000-0000-000062080000}"/>
    <cellStyle name="Accent1 5" xfId="1916" xr:uid="{00000000-0005-0000-0000-000063080000}"/>
    <cellStyle name="Accent1 6" xfId="1912" xr:uid="{00000000-0005-0000-0000-000064080000}"/>
    <cellStyle name="Accent2 2" xfId="1918" xr:uid="{00000000-0005-0000-0000-000065080000}"/>
    <cellStyle name="Accent2 2 2" xfId="3404" xr:uid="{00000000-0005-0000-0000-000066080000}"/>
    <cellStyle name="Accent2 2 3" xfId="3403" xr:uid="{00000000-0005-0000-0000-000067080000}"/>
    <cellStyle name="Accent2 3" xfId="1919" xr:uid="{00000000-0005-0000-0000-000068080000}"/>
    <cellStyle name="Accent2 4" xfId="1920" xr:uid="{00000000-0005-0000-0000-000069080000}"/>
    <cellStyle name="Accent2 5" xfId="1921" xr:uid="{00000000-0005-0000-0000-00006A080000}"/>
    <cellStyle name="Accent2 6" xfId="1917" xr:uid="{00000000-0005-0000-0000-00006B080000}"/>
    <cellStyle name="Accent3 2" xfId="1923" xr:uid="{00000000-0005-0000-0000-00006C080000}"/>
    <cellStyle name="Accent3 2 2" xfId="3406" xr:uid="{00000000-0005-0000-0000-00006D080000}"/>
    <cellStyle name="Accent3 2 3" xfId="3405" xr:uid="{00000000-0005-0000-0000-00006E080000}"/>
    <cellStyle name="Accent3 3" xfId="1924" xr:uid="{00000000-0005-0000-0000-00006F080000}"/>
    <cellStyle name="Accent3 4" xfId="1925" xr:uid="{00000000-0005-0000-0000-000070080000}"/>
    <cellStyle name="Accent3 5" xfId="1926" xr:uid="{00000000-0005-0000-0000-000071080000}"/>
    <cellStyle name="Accent3 6" xfId="1922" xr:uid="{00000000-0005-0000-0000-000072080000}"/>
    <cellStyle name="Accent4 2" xfId="1928" xr:uid="{00000000-0005-0000-0000-000073080000}"/>
    <cellStyle name="Accent4 2 2" xfId="3408" xr:uid="{00000000-0005-0000-0000-000074080000}"/>
    <cellStyle name="Accent4 2 3" xfId="3407" xr:uid="{00000000-0005-0000-0000-000075080000}"/>
    <cellStyle name="Accent4 3" xfId="1929" xr:uid="{00000000-0005-0000-0000-000076080000}"/>
    <cellStyle name="Accent4 4" xfId="1930" xr:uid="{00000000-0005-0000-0000-000077080000}"/>
    <cellStyle name="Accent4 5" xfId="1931" xr:uid="{00000000-0005-0000-0000-000078080000}"/>
    <cellStyle name="Accent4 6" xfId="1927" xr:uid="{00000000-0005-0000-0000-000079080000}"/>
    <cellStyle name="Accent5 2" xfId="1933" xr:uid="{00000000-0005-0000-0000-00007A080000}"/>
    <cellStyle name="Accent5 3" xfId="1934" xr:uid="{00000000-0005-0000-0000-00007B080000}"/>
    <cellStyle name="Accent5 4" xfId="1935" xr:uid="{00000000-0005-0000-0000-00007C080000}"/>
    <cellStyle name="Accent5 5" xfId="1936" xr:uid="{00000000-0005-0000-0000-00007D080000}"/>
    <cellStyle name="Accent5 6" xfId="1932" xr:uid="{00000000-0005-0000-0000-00007E080000}"/>
    <cellStyle name="Accent6 2" xfId="1938" xr:uid="{00000000-0005-0000-0000-00007F080000}"/>
    <cellStyle name="Accent6 3" xfId="1939" xr:uid="{00000000-0005-0000-0000-000080080000}"/>
    <cellStyle name="Accent6 4" xfId="1940" xr:uid="{00000000-0005-0000-0000-000081080000}"/>
    <cellStyle name="Accent6 5" xfId="1941" xr:uid="{00000000-0005-0000-0000-000082080000}"/>
    <cellStyle name="Accent6 6" xfId="1937" xr:uid="{00000000-0005-0000-0000-000083080000}"/>
    <cellStyle name="Acctg" xfId="5461" xr:uid="{00000000-0005-0000-0000-000084080000}"/>
    <cellStyle name="Acctg$" xfId="5462" xr:uid="{00000000-0005-0000-0000-000085080000}"/>
    <cellStyle name="Acres" xfId="1942" xr:uid="{00000000-0005-0000-0000-000086080000}"/>
    <cellStyle name="AFE" xfId="101" xr:uid="{00000000-0005-0000-0000-000087080000}"/>
    <cellStyle name="AFE 2" xfId="112" xr:uid="{00000000-0005-0000-0000-000088080000}"/>
    <cellStyle name="AFE 2 2" xfId="3036" xr:uid="{00000000-0005-0000-0000-000089080000}"/>
    <cellStyle name="AFE 2 3" xfId="1943" xr:uid="{00000000-0005-0000-0000-00008A080000}"/>
    <cellStyle name="AFE_Cash Flow for Tener 072210" xfId="1944" xr:uid="{00000000-0005-0000-0000-00008B080000}"/>
    <cellStyle name="ag" xfId="1945" xr:uid="{00000000-0005-0000-0000-00008C080000}"/>
    <cellStyle name="amount" xfId="1946" xr:uid="{00000000-0005-0000-0000-00008D080000}"/>
    <cellStyle name="amount 2" xfId="3614" xr:uid="{00000000-0005-0000-0000-00008E080000}"/>
    <cellStyle name="amount 2 2" xfId="3935" xr:uid="{00000000-0005-0000-0000-00008F080000}"/>
    <cellStyle name="amount 2 2 2" xfId="6195" xr:uid="{3CFFE586-54F8-429B-8793-595449BD961B}"/>
    <cellStyle name="amount 2 3" xfId="6086" xr:uid="{E8A89D2E-0C69-4A50-AF3E-3DBD3CBFDA29}"/>
    <cellStyle name="amount 3" xfId="5885" xr:uid="{B487C2D1-C377-41D0-B6F6-C6AFBB079F0F}"/>
    <cellStyle name="AOB" xfId="1947" xr:uid="{00000000-0005-0000-0000-000090080000}"/>
    <cellStyle name="args.style" xfId="1948" xr:uid="{00000000-0005-0000-0000-000091080000}"/>
    <cellStyle name="Arial 10" xfId="1949" xr:uid="{00000000-0005-0000-0000-000092080000}"/>
    <cellStyle name="Arial 10 10" xfId="4193" xr:uid="{00000000-0005-0000-0000-000093080000}"/>
    <cellStyle name="Arial 10 11" xfId="4194" xr:uid="{00000000-0005-0000-0000-000094080000}"/>
    <cellStyle name="Arial 10 12" xfId="4195" xr:uid="{00000000-0005-0000-0000-000095080000}"/>
    <cellStyle name="Arial 10 13" xfId="4196" xr:uid="{00000000-0005-0000-0000-000096080000}"/>
    <cellStyle name="Arial 10 14" xfId="4197" xr:uid="{00000000-0005-0000-0000-000097080000}"/>
    <cellStyle name="Arial 10 15" xfId="4198" xr:uid="{00000000-0005-0000-0000-000098080000}"/>
    <cellStyle name="Arial 10 16" xfId="4199" xr:uid="{00000000-0005-0000-0000-000099080000}"/>
    <cellStyle name="Arial 10 17" xfId="4200" xr:uid="{00000000-0005-0000-0000-00009A080000}"/>
    <cellStyle name="Arial 10 18" xfId="4201" xr:uid="{00000000-0005-0000-0000-00009B080000}"/>
    <cellStyle name="Arial 10 19" xfId="4202" xr:uid="{00000000-0005-0000-0000-00009C080000}"/>
    <cellStyle name="Arial 10 2" xfId="4203" xr:uid="{00000000-0005-0000-0000-00009D080000}"/>
    <cellStyle name="Arial 10 2 2" xfId="4204" xr:uid="{00000000-0005-0000-0000-00009E080000}"/>
    <cellStyle name="Arial 10 20" xfId="4205" xr:uid="{00000000-0005-0000-0000-00009F080000}"/>
    <cellStyle name="Arial 10 21" xfId="4206" xr:uid="{00000000-0005-0000-0000-0000A0080000}"/>
    <cellStyle name="Arial 10 22" xfId="4207" xr:uid="{00000000-0005-0000-0000-0000A1080000}"/>
    <cellStyle name="Arial 10 23" xfId="4208" xr:uid="{00000000-0005-0000-0000-0000A2080000}"/>
    <cellStyle name="Arial 10 24" xfId="4209" xr:uid="{00000000-0005-0000-0000-0000A3080000}"/>
    <cellStyle name="Arial 10 25" xfId="4210" xr:uid="{00000000-0005-0000-0000-0000A4080000}"/>
    <cellStyle name="Arial 10 26" xfId="4211" xr:uid="{00000000-0005-0000-0000-0000A5080000}"/>
    <cellStyle name="Arial 10 27" xfId="4212" xr:uid="{00000000-0005-0000-0000-0000A6080000}"/>
    <cellStyle name="Arial 10 28" xfId="4213" xr:uid="{00000000-0005-0000-0000-0000A7080000}"/>
    <cellStyle name="Arial 10 29" xfId="4214" xr:uid="{00000000-0005-0000-0000-0000A8080000}"/>
    <cellStyle name="Arial 10 3" xfId="4215" xr:uid="{00000000-0005-0000-0000-0000A9080000}"/>
    <cellStyle name="Arial 10 4" xfId="4216" xr:uid="{00000000-0005-0000-0000-0000AA080000}"/>
    <cellStyle name="Arial 10 5" xfId="4217" xr:uid="{00000000-0005-0000-0000-0000AB080000}"/>
    <cellStyle name="Arial 10 6" xfId="4218" xr:uid="{00000000-0005-0000-0000-0000AC080000}"/>
    <cellStyle name="Arial 10 7" xfId="4219" xr:uid="{00000000-0005-0000-0000-0000AD080000}"/>
    <cellStyle name="Arial 10 8" xfId="4220" xr:uid="{00000000-0005-0000-0000-0000AE080000}"/>
    <cellStyle name="Arial 10 9" xfId="4221" xr:uid="{00000000-0005-0000-0000-0000AF080000}"/>
    <cellStyle name="Arial 10_NOI" xfId="4222" xr:uid="{00000000-0005-0000-0000-0000B0080000}"/>
    <cellStyle name="Arial 12" xfId="1950" xr:uid="{00000000-0005-0000-0000-0000B1080000}"/>
    <cellStyle name="Arial 12 10" xfId="4223" xr:uid="{00000000-0005-0000-0000-0000B2080000}"/>
    <cellStyle name="Arial 12 11" xfId="4224" xr:uid="{00000000-0005-0000-0000-0000B3080000}"/>
    <cellStyle name="Arial 12 12" xfId="4225" xr:uid="{00000000-0005-0000-0000-0000B4080000}"/>
    <cellStyle name="Arial 12 13" xfId="4226" xr:uid="{00000000-0005-0000-0000-0000B5080000}"/>
    <cellStyle name="Arial 12 14" xfId="4227" xr:uid="{00000000-0005-0000-0000-0000B6080000}"/>
    <cellStyle name="Arial 12 15" xfId="4228" xr:uid="{00000000-0005-0000-0000-0000B7080000}"/>
    <cellStyle name="Arial 12 16" xfId="4229" xr:uid="{00000000-0005-0000-0000-0000B8080000}"/>
    <cellStyle name="Arial 12 2" xfId="4230" xr:uid="{00000000-0005-0000-0000-0000B9080000}"/>
    <cellStyle name="Arial 12 3" xfId="4231" xr:uid="{00000000-0005-0000-0000-0000BA080000}"/>
    <cellStyle name="Arial 12 4" xfId="4232" xr:uid="{00000000-0005-0000-0000-0000BB080000}"/>
    <cellStyle name="Arial 12 5" xfId="4233" xr:uid="{00000000-0005-0000-0000-0000BC080000}"/>
    <cellStyle name="Arial 12 6" xfId="4234" xr:uid="{00000000-0005-0000-0000-0000BD080000}"/>
    <cellStyle name="Arial 12 7" xfId="4235" xr:uid="{00000000-0005-0000-0000-0000BE080000}"/>
    <cellStyle name="Arial 12 8" xfId="4236" xr:uid="{00000000-0005-0000-0000-0000BF080000}"/>
    <cellStyle name="Arial 12 9" xfId="4237" xr:uid="{00000000-0005-0000-0000-0000C0080000}"/>
    <cellStyle name="Arial 12_Riverbend_Model_07.15.11" xfId="4238" xr:uid="{00000000-0005-0000-0000-0000C1080000}"/>
    <cellStyle name="AUDITORIUM" xfId="1951" xr:uid="{00000000-0005-0000-0000-0000C2080000}"/>
    <cellStyle name="AUDITORIUM 2" xfId="1952" xr:uid="{00000000-0005-0000-0000-0000C3080000}"/>
    <cellStyle name="Bad 2" xfId="1954" xr:uid="{00000000-0005-0000-0000-0000C4080000}"/>
    <cellStyle name="Bad 2 2" xfId="3410" xr:uid="{00000000-0005-0000-0000-0000C5080000}"/>
    <cellStyle name="Bad 2 3" xfId="3409" xr:uid="{00000000-0005-0000-0000-0000C6080000}"/>
    <cellStyle name="Bad 3" xfId="1955" xr:uid="{00000000-0005-0000-0000-0000C7080000}"/>
    <cellStyle name="Bad 4" xfId="1956" xr:uid="{00000000-0005-0000-0000-0000C8080000}"/>
    <cellStyle name="Bad 5" xfId="1957" xr:uid="{00000000-0005-0000-0000-0000C9080000}"/>
    <cellStyle name="Bad 6" xfId="1953" xr:uid="{00000000-0005-0000-0000-0000CA080000}"/>
    <cellStyle name="BalanceSheet" xfId="5465" xr:uid="{00000000-0005-0000-0000-0000CB080000}"/>
    <cellStyle name="Big Head" xfId="37" xr:uid="{00000000-0005-0000-0000-0000CC080000}"/>
    <cellStyle name="Big Head 2" xfId="3562" xr:uid="{00000000-0005-0000-0000-0000CD080000}"/>
    <cellStyle name="Big Head 3" xfId="3563" xr:uid="{00000000-0005-0000-0000-0000CE080000}"/>
    <cellStyle name="Big Head 4" xfId="3107" xr:uid="{00000000-0005-0000-0000-0000CF080000}"/>
    <cellStyle name="BLACK" xfId="1958" xr:uid="{00000000-0005-0000-0000-0000D0080000}"/>
    <cellStyle name="BLACK 2" xfId="5468" xr:uid="{00000000-0005-0000-0000-0000D1080000}"/>
    <cellStyle name="Blank[,]" xfId="1959" xr:uid="{00000000-0005-0000-0000-0000D2080000}"/>
    <cellStyle name="Blank[1%]" xfId="1960" xr:uid="{00000000-0005-0000-0000-0000D3080000}"/>
    <cellStyle name="Blue" xfId="1961" xr:uid="{00000000-0005-0000-0000-0000D4080000}"/>
    <cellStyle name="blue currency" xfId="1962" xr:uid="{00000000-0005-0000-0000-0000D5080000}"/>
    <cellStyle name="BLUE date" xfId="1963" xr:uid="{00000000-0005-0000-0000-0000D6080000}"/>
    <cellStyle name="blue font" xfId="5469" xr:uid="{00000000-0005-0000-0000-0000D7080000}"/>
    <cellStyle name="blue$00" xfId="1964" xr:uid="{00000000-0005-0000-0000-0000D8080000}"/>
    <cellStyle name="BLUE_Citrix_2pgr2" xfId="1965" xr:uid="{00000000-0005-0000-0000-0000D9080000}"/>
    <cellStyle name="Body" xfId="1966" xr:uid="{00000000-0005-0000-0000-0000DA080000}"/>
    <cellStyle name="Body 2" xfId="5473" xr:uid="{00000000-0005-0000-0000-0000DB080000}"/>
    <cellStyle name="Body text" xfId="1967" xr:uid="{00000000-0005-0000-0000-0000DC080000}"/>
    <cellStyle name="Bold subhead" xfId="38" xr:uid="{00000000-0005-0000-0000-0000DD080000}"/>
    <cellStyle name="Bold subhead 2" xfId="5418" xr:uid="{00000000-0005-0000-0000-0000DE080000}"/>
    <cellStyle name="Bold subhead 3" xfId="5475" xr:uid="{00000000-0005-0000-0000-0000DF080000}"/>
    <cellStyle name="Bold/Border" xfId="39" xr:uid="{00000000-0005-0000-0000-0000E0080000}"/>
    <cellStyle name="Bold/Border 2" xfId="1968" xr:uid="{00000000-0005-0000-0000-0000E1080000}"/>
    <cellStyle name="Bold/Border 2 2" xfId="3615" xr:uid="{00000000-0005-0000-0000-0000E2080000}"/>
    <cellStyle name="Bold/Border 2 2 2" xfId="6087" xr:uid="{F0F87A6F-4F1F-4533-A780-DEA19C89588E}"/>
    <cellStyle name="Bold/Border 2 3" xfId="3789" xr:uid="{00000000-0005-0000-0000-0000E3080000}"/>
    <cellStyle name="Bold/Border 2 3 2" xfId="6152" xr:uid="{780FFC98-6A36-4974-86ED-3719B9ED0DB8}"/>
    <cellStyle name="Bold/Border 2 4" xfId="3261" xr:uid="{00000000-0005-0000-0000-0000E4080000}"/>
    <cellStyle name="Bold/Border 2 4 2" xfId="6021" xr:uid="{3C9F5A10-FF4A-4298-9628-4200253DE1F4}"/>
    <cellStyle name="Bold/Border 2 5" xfId="5886" xr:uid="{A3323028-D0EB-4D7E-9921-AAF03EEB7F53}"/>
    <cellStyle name="Bold/Border 3" xfId="3078" xr:uid="{00000000-0005-0000-0000-0000E5080000}"/>
    <cellStyle name="Bold/Border 3 2" xfId="3900" xr:uid="{00000000-0005-0000-0000-0000E6080000}"/>
    <cellStyle name="Bold/Border 3 2 2" xfId="6180" xr:uid="{E982559D-1E94-4935-8D1D-98A6476C4E1E}"/>
    <cellStyle name="Bold/Border 3 3" xfId="5983" xr:uid="{11A44511-94B2-4460-B9C6-4DD7952D087C}"/>
    <cellStyle name="Bold/Border 4" xfId="195" xr:uid="{00000000-0005-0000-0000-0000E7080000}"/>
    <cellStyle name="Bold/Border 4 2" xfId="5856" xr:uid="{A081C3DD-3853-4638-87D2-736F6E75168D}"/>
    <cellStyle name="Bold/Border 5" xfId="5329" xr:uid="{00000000-0005-0000-0000-0000E8080000}"/>
    <cellStyle name="Bold/Border 5 2" xfId="6439" xr:uid="{39A662D2-4181-43AE-8DB8-0E7AFA099158}"/>
    <cellStyle name="Bold/Border 6" xfId="5851" xr:uid="{F14C2F03-8C11-424C-827B-3B8978EC7DB0}"/>
    <cellStyle name="BoldItalicNoUnderline" xfId="1969" xr:uid="{00000000-0005-0000-0000-0000E9080000}"/>
    <cellStyle name="BoldSDoubUnderlineBack" xfId="1970" xr:uid="{00000000-0005-0000-0000-0000EA080000}"/>
    <cellStyle name="BoldSingUnderline" xfId="1971" xr:uid="{00000000-0005-0000-0000-0000EB080000}"/>
    <cellStyle name="BoldSingUnderline 2" xfId="5887" xr:uid="{2E1F85FD-993D-4335-AE5A-C2F41F1F92A8}"/>
    <cellStyle name="BOM-DOWN" xfId="1972" xr:uid="{00000000-0005-0000-0000-0000EC080000}"/>
    <cellStyle name="Border Heavy" xfId="1973" xr:uid="{00000000-0005-0000-0000-0000ED080000}"/>
    <cellStyle name="Border Heavy 2" xfId="3765" xr:uid="{00000000-0005-0000-0000-0000EE080000}"/>
    <cellStyle name="Border Heavy 3" xfId="3263" xr:uid="{00000000-0005-0000-0000-0000EF080000}"/>
    <cellStyle name="Border Heavy 4" xfId="3151" xr:uid="{00000000-0005-0000-0000-0000F0080000}"/>
    <cellStyle name="Border Thin" xfId="1974" xr:uid="{00000000-0005-0000-0000-0000F1080000}"/>
    <cellStyle name="Border Thin 2" xfId="5888" xr:uid="{A13C208D-48CE-4A13-AF83-F241FB6EE865}"/>
    <cellStyle name="Borrower" xfId="5476" xr:uid="{00000000-0005-0000-0000-0000F2080000}"/>
    <cellStyle name="Bottom Border Line" xfId="1975" xr:uid="{00000000-0005-0000-0000-0000F3080000}"/>
    <cellStyle name="Bottom Border Line 2" xfId="3265" xr:uid="{00000000-0005-0000-0000-0000F4080000}"/>
    <cellStyle name="Bottom Border Line 2 2" xfId="6024" xr:uid="{FD9B38A6-E09F-415B-9D26-3B22B2B61BFD}"/>
    <cellStyle name="Bottom Border Line 3" xfId="5889" xr:uid="{B54786AC-47CF-43B5-BE2A-8EA4A011200B}"/>
    <cellStyle name="Bottom Edge" xfId="5478" xr:uid="{00000000-0005-0000-0000-0000F5080000}"/>
    <cellStyle name="Bottom Edge 2" xfId="6446" xr:uid="{A1255B43-95A8-4932-A3A8-86A352176877}"/>
    <cellStyle name="Bottom Line" xfId="40" xr:uid="{00000000-0005-0000-0000-0000F6080000}"/>
    <cellStyle name="Bottom Line 2" xfId="5479" xr:uid="{00000000-0005-0000-0000-0000F7080000}"/>
    <cellStyle name="bottomHeavy" xfId="1976" xr:uid="{00000000-0005-0000-0000-0000F8080000}"/>
    <cellStyle name="bottomHeavy-w-left" xfId="1977" xr:uid="{00000000-0005-0000-0000-0000F9080000}"/>
    <cellStyle name="bottomHeavy-w-left 2" xfId="5890" xr:uid="{901A86F8-049E-4E86-8FF0-4F04768EDB88}"/>
    <cellStyle name="brad" xfId="1978" xr:uid="{00000000-0005-0000-0000-0000FA080000}"/>
    <cellStyle name="Break" xfId="1979" xr:uid="{00000000-0005-0000-0000-0000FB080000}"/>
    <cellStyle name="British Pound" xfId="1980" xr:uid="{00000000-0005-0000-0000-0000FC080000}"/>
    <cellStyle name="British Pound 2" xfId="4240" xr:uid="{00000000-0005-0000-0000-0000FD080000}"/>
    <cellStyle name="British Pound 3" xfId="4239" xr:uid="{00000000-0005-0000-0000-0000FE080000}"/>
    <cellStyle name="Bullet" xfId="41" xr:uid="{00000000-0005-0000-0000-0000FF080000}"/>
    <cellStyle name="Bullet 2" xfId="2999" xr:uid="{00000000-0005-0000-0000-000000090000}"/>
    <cellStyle name="Bullet 3" xfId="1981" xr:uid="{00000000-0005-0000-0000-000001090000}"/>
    <cellStyle name="Calc Currency (0)" xfId="1982" xr:uid="{00000000-0005-0000-0000-000002090000}"/>
    <cellStyle name="Calc Currency (0) 2" xfId="1983" xr:uid="{00000000-0005-0000-0000-000003090000}"/>
    <cellStyle name="Calc Currency (2)" xfId="1984" xr:uid="{00000000-0005-0000-0000-000004090000}"/>
    <cellStyle name="Calc Currency (2) 2" xfId="1985" xr:uid="{00000000-0005-0000-0000-000005090000}"/>
    <cellStyle name="Calc Percent (0)" xfId="1986" xr:uid="{00000000-0005-0000-0000-000006090000}"/>
    <cellStyle name="Calc Percent (0) 2" xfId="1987" xr:uid="{00000000-0005-0000-0000-000007090000}"/>
    <cellStyle name="Calc Percent (1)" xfId="1988" xr:uid="{00000000-0005-0000-0000-000008090000}"/>
    <cellStyle name="Calc Percent (1) 2" xfId="1989" xr:uid="{00000000-0005-0000-0000-000009090000}"/>
    <cellStyle name="Calc Percent (2)" xfId="1990" xr:uid="{00000000-0005-0000-0000-00000A090000}"/>
    <cellStyle name="Calc Percent (2) 2" xfId="1991" xr:uid="{00000000-0005-0000-0000-00000B090000}"/>
    <cellStyle name="Calc Units (0)" xfId="1992" xr:uid="{00000000-0005-0000-0000-00000C090000}"/>
    <cellStyle name="Calc Units (0) 2" xfId="1993" xr:uid="{00000000-0005-0000-0000-00000D090000}"/>
    <cellStyle name="Calc Units (1)" xfId="1994" xr:uid="{00000000-0005-0000-0000-00000E090000}"/>
    <cellStyle name="Calc Units (1) 2" xfId="1995" xr:uid="{00000000-0005-0000-0000-00000F090000}"/>
    <cellStyle name="Calc Units (2)" xfId="1996" xr:uid="{00000000-0005-0000-0000-000010090000}"/>
    <cellStyle name="Calc Units (2) 2" xfId="1997" xr:uid="{00000000-0005-0000-0000-000011090000}"/>
    <cellStyle name="Calculation 2" xfId="1999" xr:uid="{00000000-0005-0000-0000-000012090000}"/>
    <cellStyle name="Calculation 2 2" xfId="3412" xr:uid="{00000000-0005-0000-0000-000013090000}"/>
    <cellStyle name="Calculation 2 2 2" xfId="3696" xr:uid="{00000000-0005-0000-0000-000014090000}"/>
    <cellStyle name="Calculation 2 2 2 2" xfId="5121" xr:uid="{00000000-0005-0000-0000-000015090000}"/>
    <cellStyle name="Calculation 2 2 2 2 2" xfId="5205" xr:uid="{00000000-0005-0000-0000-000016090000}"/>
    <cellStyle name="Calculation 2 2 2 2 2 2" xfId="6414" xr:uid="{BD1BDA65-AC3D-4ED0-8BD9-2DBEFB84FD47}"/>
    <cellStyle name="Calculation 2 2 2 2 3" xfId="6340" xr:uid="{D88C8350-6321-4842-9AC7-D05C807D4848}"/>
    <cellStyle name="Calculation 2 2 2 3" xfId="5162" xr:uid="{00000000-0005-0000-0000-000017090000}"/>
    <cellStyle name="Calculation 2 2 2 3 2" xfId="6373" xr:uid="{CA51274F-B4F2-4945-96F8-3AC6FA0CE2AC}"/>
    <cellStyle name="Calculation 2 2 2 4" xfId="6126" xr:uid="{3D68B0A4-135A-4F81-AAEF-48BAFAF34DEC}"/>
    <cellStyle name="Calculation 2 2 3" xfId="5082" xr:uid="{00000000-0005-0000-0000-000018090000}"/>
    <cellStyle name="Calculation 2 2 3 2" xfId="5135" xr:uid="{00000000-0005-0000-0000-000019090000}"/>
    <cellStyle name="Calculation 2 2 3 2 2" xfId="5219" xr:uid="{00000000-0005-0000-0000-00001A090000}"/>
    <cellStyle name="Calculation 2 2 3 2 2 2" xfId="6428" xr:uid="{B3124133-1CCF-42C2-801E-4714244F6E70}"/>
    <cellStyle name="Calculation 2 2 3 2 3" xfId="6354" xr:uid="{06894D09-42D1-45DE-94F2-381A06ACA614}"/>
    <cellStyle name="Calculation 2 2 3 3" xfId="5176" xr:uid="{00000000-0005-0000-0000-00001B090000}"/>
    <cellStyle name="Calculation 2 2 3 3 2" xfId="6387" xr:uid="{F2CCEE12-0E05-4DB7-81AC-89C4B2EF20F2}"/>
    <cellStyle name="Calculation 2 2 3 4" xfId="6315" xr:uid="{BE9400CB-6CDE-4B0A-A1E3-E2F9A714489A}"/>
    <cellStyle name="Calculation 2 2 4" xfId="5110" xr:uid="{00000000-0005-0000-0000-00001C090000}"/>
    <cellStyle name="Calculation 2 2 4 2" xfId="5194" xr:uid="{00000000-0005-0000-0000-00001D090000}"/>
    <cellStyle name="Calculation 2 2 4 2 2" xfId="6403" xr:uid="{1E659D8F-BFB7-4196-BFE7-363D700C4633}"/>
    <cellStyle name="Calculation 2 2 4 3" xfId="6329" xr:uid="{421CEA6E-EA43-4D78-AC55-7D23274D8481}"/>
    <cellStyle name="Calculation 2 2 5" xfId="5031" xr:uid="{00000000-0005-0000-0000-00001E090000}"/>
    <cellStyle name="Calculation 2 2 5 2" xfId="6296" xr:uid="{27B04876-ED2E-449B-83A3-E3F468188B82}"/>
    <cellStyle name="Calculation 2 2 6" xfId="6073" xr:uid="{59173182-EFAC-4B51-B3D8-EE7C0B6A43DE}"/>
    <cellStyle name="Calculation 2 3" xfId="3411" xr:uid="{00000000-0005-0000-0000-00001F090000}"/>
    <cellStyle name="Calculation 2 3 2" xfId="3923" xr:uid="{00000000-0005-0000-0000-000020090000}"/>
    <cellStyle name="Calculation 2 3 2 2" xfId="5127" xr:uid="{00000000-0005-0000-0000-000021090000}"/>
    <cellStyle name="Calculation 2 3 2 2 2" xfId="6346" xr:uid="{0D25C430-E9BA-465E-AEDC-770B76D62D74}"/>
    <cellStyle name="Calculation 2 3 2 3" xfId="5211" xr:uid="{00000000-0005-0000-0000-000022090000}"/>
    <cellStyle name="Calculation 2 3 2 3 2" xfId="6420" xr:uid="{63CF4C5C-ED85-4B06-8636-351A24DB380E}"/>
    <cellStyle name="Calculation 2 3 2 4" xfId="6185" xr:uid="{6C13A7CB-41AB-4D9F-8A96-E25CF29FFDFA}"/>
    <cellStyle name="Calculation 2 3 3" xfId="5168" xr:uid="{00000000-0005-0000-0000-000023090000}"/>
    <cellStyle name="Calculation 2 3 3 2" xfId="6379" xr:uid="{6170C5B5-2BD2-4D4F-91C6-CF51A41FA887}"/>
    <cellStyle name="Calculation 2 3 4" xfId="6072" xr:uid="{44E7FF67-706C-4BD6-BAE6-42BC6C903AF8}"/>
    <cellStyle name="Calculation 2 4" xfId="3697" xr:uid="{00000000-0005-0000-0000-000024090000}"/>
    <cellStyle name="Calculation 2 4 2" xfId="5123" xr:uid="{00000000-0005-0000-0000-000025090000}"/>
    <cellStyle name="Calculation 2 4 2 2" xfId="5207" xr:uid="{00000000-0005-0000-0000-000026090000}"/>
    <cellStyle name="Calculation 2 4 2 2 2" xfId="6416" xr:uid="{2F263F72-B65E-4180-8ACD-A83DBF6E33A5}"/>
    <cellStyle name="Calculation 2 4 2 3" xfId="6342" xr:uid="{14870D2B-9A88-4CB6-BA7D-BE3858F212C0}"/>
    <cellStyle name="Calculation 2 4 3" xfId="5164" xr:uid="{00000000-0005-0000-0000-000027090000}"/>
    <cellStyle name="Calculation 2 4 3 2" xfId="6375" xr:uid="{6625552B-C377-4D74-8D3E-E23223B03005}"/>
    <cellStyle name="Calculation 2 4 4" xfId="6127" xr:uid="{859AE934-22DD-4B76-86EC-61966276C6D7}"/>
    <cellStyle name="Calculation 2 5" xfId="5109" xr:uid="{00000000-0005-0000-0000-000028090000}"/>
    <cellStyle name="Calculation 2 5 2" xfId="5193" xr:uid="{00000000-0005-0000-0000-000029090000}"/>
    <cellStyle name="Calculation 2 5 2 2" xfId="6402" xr:uid="{7A809AF0-A48D-4663-ACC8-1E8263F6DF57}"/>
    <cellStyle name="Calculation 2 5 3" xfId="6328" xr:uid="{2A4AF504-EFCC-4C73-A93A-B47BCD5D584D}"/>
    <cellStyle name="Calculation 2 6" xfId="5045" xr:uid="{00000000-0005-0000-0000-00002A090000}"/>
    <cellStyle name="Calculation 2 6 2" xfId="6301" xr:uid="{3A230DCB-3C12-4287-8D96-0DAB2B2E7796}"/>
    <cellStyle name="Calculation 2 7" xfId="5892" xr:uid="{CD4853E6-91AD-49DA-A570-D03DC1911D36}"/>
    <cellStyle name="Calculation 3" xfId="2000" xr:uid="{00000000-0005-0000-0000-00002B090000}"/>
    <cellStyle name="Calculation 3 2" xfId="3617" xr:uid="{00000000-0005-0000-0000-00002C090000}"/>
    <cellStyle name="Calculation 3 2 2" xfId="3937" xr:uid="{00000000-0005-0000-0000-00002D090000}"/>
    <cellStyle name="Calculation 3 2 2 2" xfId="6197" xr:uid="{50103086-5FFD-466B-B0F5-654CF1D8B9CF}"/>
    <cellStyle name="Calculation 3 2 3" xfId="5122" xr:uid="{00000000-0005-0000-0000-00002E090000}"/>
    <cellStyle name="Calculation 3 2 3 2" xfId="6341" xr:uid="{A77DA133-B37D-4F02-B1A2-50D06BB5E244}"/>
    <cellStyle name="Calculation 3 2 4" xfId="5206" xr:uid="{00000000-0005-0000-0000-00002F090000}"/>
    <cellStyle name="Calculation 3 2 4 2" xfId="6415" xr:uid="{34D1DB5B-2835-4230-AB39-259C7A168402}"/>
    <cellStyle name="Calculation 3 2 5" xfId="6089" xr:uid="{75E2924E-241C-4C5F-856C-BB49B91F9056}"/>
    <cellStyle name="Calculation 3 3" xfId="5163" xr:uid="{00000000-0005-0000-0000-000030090000}"/>
    <cellStyle name="Calculation 3 3 2" xfId="6374" xr:uid="{21BF95FB-AB54-4C8A-BF6D-D30477647C2E}"/>
    <cellStyle name="Calculation 3 4" xfId="5893" xr:uid="{8BF0DA0A-DBA6-44E8-81EA-8E22240B392C}"/>
    <cellStyle name="Calculation 4" xfId="2001" xr:uid="{00000000-0005-0000-0000-000031090000}"/>
    <cellStyle name="Calculation 4 2" xfId="3618" xr:uid="{00000000-0005-0000-0000-000032090000}"/>
    <cellStyle name="Calculation 4 2 2" xfId="3938" xr:uid="{00000000-0005-0000-0000-000033090000}"/>
    <cellStyle name="Calculation 4 2 2 2" xfId="6198" xr:uid="{416503ED-F1B1-4144-AB06-10634BA2AF39}"/>
    <cellStyle name="Calculation 4 2 3" xfId="5130" xr:uid="{00000000-0005-0000-0000-000034090000}"/>
    <cellStyle name="Calculation 4 2 3 2" xfId="6349" xr:uid="{6E5133B3-3FF3-45A2-A979-1622CF1FA42B}"/>
    <cellStyle name="Calculation 4 2 4" xfId="5214" xr:uid="{00000000-0005-0000-0000-000035090000}"/>
    <cellStyle name="Calculation 4 2 4 2" xfId="6423" xr:uid="{238AEF56-D69B-4F97-8356-72DBD3759676}"/>
    <cellStyle name="Calculation 4 2 5" xfId="6090" xr:uid="{FD02F914-F606-4A75-8B10-16DA82FD3BB5}"/>
    <cellStyle name="Calculation 4 3" xfId="5073" xr:uid="{00000000-0005-0000-0000-000036090000}"/>
    <cellStyle name="Calculation 4 3 2" xfId="6312" xr:uid="{4CB3CDF7-BA83-4FD4-AED3-06D615E9F2DF}"/>
    <cellStyle name="Calculation 4 4" xfId="5171" xr:uid="{00000000-0005-0000-0000-000037090000}"/>
    <cellStyle name="Calculation 4 4 2" xfId="6382" xr:uid="{80C16EE7-7E69-40CD-B200-5FAE81C2758B}"/>
    <cellStyle name="Calculation 4 5" xfId="5894" xr:uid="{5391C63D-4155-4A0B-A969-662FCC5F6102}"/>
    <cellStyle name="Calculation 5" xfId="2002" xr:uid="{00000000-0005-0000-0000-000038090000}"/>
    <cellStyle name="Calculation 5 2" xfId="3619" xr:uid="{00000000-0005-0000-0000-000039090000}"/>
    <cellStyle name="Calculation 5 2 2" xfId="3939" xr:uid="{00000000-0005-0000-0000-00003A090000}"/>
    <cellStyle name="Calculation 5 2 2 2" xfId="6199" xr:uid="{71FD4CA8-14BA-44E0-B4B2-9FB5D541AA17}"/>
    <cellStyle name="Calculation 5 2 3" xfId="5104" xr:uid="{00000000-0005-0000-0000-00003B090000}"/>
    <cellStyle name="Calculation 5 2 3 2" xfId="6323" xr:uid="{C01DABBA-AEF6-4B8B-A4BF-A1C5C21452A9}"/>
    <cellStyle name="Calculation 5 2 4" xfId="5188" xr:uid="{00000000-0005-0000-0000-00003C090000}"/>
    <cellStyle name="Calculation 5 2 4 2" xfId="6397" xr:uid="{356C66E0-84C9-4ED5-9E5A-0BF710D9DFEF}"/>
    <cellStyle name="Calculation 5 2 5" xfId="6091" xr:uid="{FA72C9B8-226C-4B6E-BEF4-BC06957B4109}"/>
    <cellStyle name="Calculation 5 3" xfId="5029" xr:uid="{00000000-0005-0000-0000-00003D090000}"/>
    <cellStyle name="Calculation 5 3 2" xfId="6295" xr:uid="{2D239C14-A4B8-47F9-93E9-233A837929D7}"/>
    <cellStyle name="Calculation 5 4" xfId="5035" xr:uid="{00000000-0005-0000-0000-00003E090000}"/>
    <cellStyle name="Calculation 5 4 2" xfId="6298" xr:uid="{E8083A63-0248-4265-AB8C-84671C64A0A6}"/>
    <cellStyle name="Calculation 5 5" xfId="5895" xr:uid="{2A38A755-2C61-4FF1-A842-288549BB7DE7}"/>
    <cellStyle name="Calculation 6" xfId="1998" xr:uid="{00000000-0005-0000-0000-00003F090000}"/>
    <cellStyle name="Calculation 6 2" xfId="3616" xr:uid="{00000000-0005-0000-0000-000040090000}"/>
    <cellStyle name="Calculation 6 2 2" xfId="3936" xr:uid="{00000000-0005-0000-0000-000041090000}"/>
    <cellStyle name="Calculation 6 2 2 2" xfId="6196" xr:uid="{81739B35-66EA-45EE-BF25-2134A5634D22}"/>
    <cellStyle name="Calculation 6 2 3" xfId="6088" xr:uid="{C92C29EC-C226-441A-AF7E-2EEAE51578DC}"/>
    <cellStyle name="Calculation 6 3" xfId="5891" xr:uid="{389ABB7B-D35C-4E9D-8CD6-0CBCB1A7D751}"/>
    <cellStyle name="Calculation 7" xfId="3351" xr:uid="{00000000-0005-0000-0000-000042090000}"/>
    <cellStyle name="Calculation 7 2" xfId="3920" xr:uid="{00000000-0005-0000-0000-000043090000}"/>
    <cellStyle name="Calculation 7 2 2" xfId="6182" xr:uid="{BD6FF5CC-929D-46F9-94A6-4AF7E0DB4FD0}"/>
    <cellStyle name="Calculation 7 3" xfId="6069" xr:uid="{C8839E77-C5FD-4A87-86FF-FCF87C6F4378}"/>
    <cellStyle name="caps 0.00" xfId="2003" xr:uid="{00000000-0005-0000-0000-000044090000}"/>
    <cellStyle name="caps 0.00 2" xfId="3875" xr:uid="{00000000-0005-0000-0000-000045090000}"/>
    <cellStyle name="caps 0.00 2 2" xfId="6172" xr:uid="{B6859262-EDB1-438A-BD66-4E0AFEDF0ACA}"/>
    <cellStyle name="caps 0.00 3" xfId="5896" xr:uid="{46831EEE-3546-49F1-8EE7-40666FEF17B4}"/>
    <cellStyle name="capsdate" xfId="2004" xr:uid="{00000000-0005-0000-0000-000046090000}"/>
    <cellStyle name="Case" xfId="2005" xr:uid="{00000000-0005-0000-0000-000047090000}"/>
    <cellStyle name="Case 2" xfId="4242" xr:uid="{00000000-0005-0000-0000-000048090000}"/>
    <cellStyle name="Case 3" xfId="4241" xr:uid="{00000000-0005-0000-0000-000049090000}"/>
    <cellStyle name="CashFlow" xfId="5483" xr:uid="{00000000-0005-0000-0000-00004A090000}"/>
    <cellStyle name="Center Across" xfId="2006" xr:uid="{00000000-0005-0000-0000-00004B090000}"/>
    <cellStyle name="Center Across 2" xfId="3620" xr:uid="{00000000-0005-0000-0000-00004C090000}"/>
    <cellStyle name="Center Across 2 2" xfId="6092" xr:uid="{48335349-6D5B-4D21-9BDD-A7080BC32339}"/>
    <cellStyle name="Center Across 3" xfId="3790" xr:uid="{00000000-0005-0000-0000-00004D090000}"/>
    <cellStyle name="Center Across 3 2" xfId="6153" xr:uid="{FCD54293-2950-452F-8899-057D2D352C05}"/>
    <cellStyle name="Center Across 4" xfId="3266" xr:uid="{00000000-0005-0000-0000-00004E090000}"/>
    <cellStyle name="Center Across 4 2" xfId="6025" xr:uid="{B9AFC8AF-5AA3-4E28-A203-04A8E20AD6CE}"/>
    <cellStyle name="Center Across 5" xfId="5897" xr:uid="{803F81D4-188B-4DB7-829A-B1C71B663A87}"/>
    <cellStyle name="Cents" xfId="5485" xr:uid="{00000000-0005-0000-0000-00004F090000}"/>
    <cellStyle name="Cents 2" xfId="6447" xr:uid="{EB33FC3A-C29F-4921-8999-3567B68EDCA5}"/>
    <cellStyle name="Check Cell 2" xfId="2008" xr:uid="{00000000-0005-0000-0000-000050090000}"/>
    <cellStyle name="Check Cell 3" xfId="2009" xr:uid="{00000000-0005-0000-0000-000051090000}"/>
    <cellStyle name="Check Cell 4" xfId="2010" xr:uid="{00000000-0005-0000-0000-000052090000}"/>
    <cellStyle name="Check Cell 5" xfId="2011" xr:uid="{00000000-0005-0000-0000-000053090000}"/>
    <cellStyle name="Check Cell 6" xfId="2007" xr:uid="{00000000-0005-0000-0000-000054090000}"/>
    <cellStyle name="Classic" xfId="2012" xr:uid="{00000000-0005-0000-0000-000055090000}"/>
    <cellStyle name="colheadleft" xfId="2013" xr:uid="{00000000-0005-0000-0000-000056090000}"/>
    <cellStyle name="colheadleft 2" xfId="5486" xr:uid="{00000000-0005-0000-0000-000057090000}"/>
    <cellStyle name="colheadleft 2 2" xfId="6448" xr:uid="{A08B91FE-7F11-49F6-B25D-B421B79B1F9B}"/>
    <cellStyle name="colheadleft 3" xfId="5340" xr:uid="{00000000-0005-0000-0000-000058090000}"/>
    <cellStyle name="colheadright" xfId="2014" xr:uid="{00000000-0005-0000-0000-000059090000}"/>
    <cellStyle name="colheadright 2" xfId="3621" xr:uid="{00000000-0005-0000-0000-00005A090000}"/>
    <cellStyle name="colheadright 2 2" xfId="6093" xr:uid="{49ACF54A-FB5F-4184-9CD6-B89FA3BC4B2A}"/>
    <cellStyle name="colheadright 3" xfId="3791" xr:uid="{00000000-0005-0000-0000-00005B090000}"/>
    <cellStyle name="colheadright 3 2" xfId="6154" xr:uid="{11A349BB-297F-4A54-84BE-49B62019AA17}"/>
    <cellStyle name="colheadright 4" xfId="3267" xr:uid="{00000000-0005-0000-0000-00005C090000}"/>
    <cellStyle name="colheadright 4 2" xfId="6026" xr:uid="{5A6A1D72-BCEA-495B-8E53-C75BA25DF1FF}"/>
    <cellStyle name="colheadright 5" xfId="5487" xr:uid="{00000000-0005-0000-0000-00005D090000}"/>
    <cellStyle name="colheadright 5 2" xfId="6449" xr:uid="{AEAA27E9-6975-4A4D-A69F-E04377960E61}"/>
    <cellStyle name="colheadright 6" xfId="5467" xr:uid="{00000000-0005-0000-0000-00005E090000}"/>
    <cellStyle name="colheadright 6 2" xfId="6445" xr:uid="{670ED2A3-BEDC-42C4-9774-2DB4F3892EA0}"/>
    <cellStyle name="colheadright 7" xfId="5898" xr:uid="{F45934B4-B241-47E0-8697-C4E2BF05E485}"/>
    <cellStyle name="Column Heading" xfId="2015" xr:uid="{00000000-0005-0000-0000-00005F090000}"/>
    <cellStyle name="Column_Title" xfId="5847" xr:uid="{00000000-0005-0000-0000-000060090000}"/>
    <cellStyle name="ColumnNumber" xfId="5351" xr:uid="{00000000-0005-0000-0000-000061090000}"/>
    <cellStyle name="ColumnNumber 2" xfId="6441" xr:uid="{C111D71E-278E-4307-9B20-82A680636D9A}"/>
    <cellStyle name="Comma" xfId="1" builtinId="3"/>
    <cellStyle name="Comma  - Style1" xfId="42" xr:uid="{00000000-0005-0000-0000-000063090000}"/>
    <cellStyle name="Comma  - Style1 2" xfId="3000" xr:uid="{00000000-0005-0000-0000-000064090000}"/>
    <cellStyle name="Comma  - Style1 3" xfId="2017" xr:uid="{00000000-0005-0000-0000-000065090000}"/>
    <cellStyle name="Comma  - Style1 4" xfId="5489" xr:uid="{00000000-0005-0000-0000-000066090000}"/>
    <cellStyle name="Comma  - Style2" xfId="43" xr:uid="{00000000-0005-0000-0000-000067090000}"/>
    <cellStyle name="Comma  - Style2 2" xfId="3001" xr:uid="{00000000-0005-0000-0000-000068090000}"/>
    <cellStyle name="Comma  - Style2 3" xfId="2018" xr:uid="{00000000-0005-0000-0000-000069090000}"/>
    <cellStyle name="Comma  - Style2 4" xfId="5407" xr:uid="{00000000-0005-0000-0000-00006A090000}"/>
    <cellStyle name="Comma  - Style3" xfId="44" xr:uid="{00000000-0005-0000-0000-00006B090000}"/>
    <cellStyle name="Comma  - Style3 2" xfId="3002" xr:uid="{00000000-0005-0000-0000-00006C090000}"/>
    <cellStyle name="Comma  - Style3 3" xfId="2019" xr:uid="{00000000-0005-0000-0000-00006D090000}"/>
    <cellStyle name="Comma  - Style3 4" xfId="5490" xr:uid="{00000000-0005-0000-0000-00006E090000}"/>
    <cellStyle name="Comma  - Style4" xfId="45" xr:uid="{00000000-0005-0000-0000-00006F090000}"/>
    <cellStyle name="Comma  - Style4 2" xfId="3003" xr:uid="{00000000-0005-0000-0000-000070090000}"/>
    <cellStyle name="Comma  - Style4 3" xfId="2020" xr:uid="{00000000-0005-0000-0000-000071090000}"/>
    <cellStyle name="Comma  - Style4 4" xfId="5492" xr:uid="{00000000-0005-0000-0000-000072090000}"/>
    <cellStyle name="Comma  - Style5" xfId="46" xr:uid="{00000000-0005-0000-0000-000073090000}"/>
    <cellStyle name="Comma  - Style5 2" xfId="3004" xr:uid="{00000000-0005-0000-0000-000074090000}"/>
    <cellStyle name="Comma  - Style5 3" xfId="2021" xr:uid="{00000000-0005-0000-0000-000075090000}"/>
    <cellStyle name="Comma  - Style5 4" xfId="5495" xr:uid="{00000000-0005-0000-0000-000076090000}"/>
    <cellStyle name="Comma  - Style6" xfId="47" xr:uid="{00000000-0005-0000-0000-000077090000}"/>
    <cellStyle name="Comma  - Style6 2" xfId="3005" xr:uid="{00000000-0005-0000-0000-000078090000}"/>
    <cellStyle name="Comma  - Style6 3" xfId="2022" xr:uid="{00000000-0005-0000-0000-000079090000}"/>
    <cellStyle name="Comma  - Style6 4" xfId="5496" xr:uid="{00000000-0005-0000-0000-00007A090000}"/>
    <cellStyle name="Comma  - Style7" xfId="48" xr:uid="{00000000-0005-0000-0000-00007B090000}"/>
    <cellStyle name="Comma  - Style7 2" xfId="3006" xr:uid="{00000000-0005-0000-0000-00007C090000}"/>
    <cellStyle name="Comma  - Style7 3" xfId="2023" xr:uid="{00000000-0005-0000-0000-00007D090000}"/>
    <cellStyle name="Comma  - Style7 4" xfId="5500" xr:uid="{00000000-0005-0000-0000-00007E090000}"/>
    <cellStyle name="Comma  - Style8" xfId="49" xr:uid="{00000000-0005-0000-0000-00007F090000}"/>
    <cellStyle name="Comma  - Style8 2" xfId="3007" xr:uid="{00000000-0005-0000-0000-000080090000}"/>
    <cellStyle name="Comma  - Style8 3" xfId="2024" xr:uid="{00000000-0005-0000-0000-000081090000}"/>
    <cellStyle name="Comma  - Style8 4" xfId="5502" xr:uid="{00000000-0005-0000-0000-000082090000}"/>
    <cellStyle name="Comma [   0.00]" xfId="2025" xr:uid="{00000000-0005-0000-0000-000083090000}"/>
    <cellStyle name="Comma [   0]" xfId="2026" xr:uid="{00000000-0005-0000-0000-000084090000}"/>
    <cellStyle name="Comma [0] 2" xfId="126" xr:uid="{00000000-0005-0000-0000-000085090000}"/>
    <cellStyle name="Comma [0] 3" xfId="4874" xr:uid="{00000000-0005-0000-0000-000086090000}"/>
    <cellStyle name="Comma [00]" xfId="2027" xr:uid="{00000000-0005-0000-0000-000087090000}"/>
    <cellStyle name="Comma [00] 2" xfId="2028" xr:uid="{00000000-0005-0000-0000-000088090000}"/>
    <cellStyle name="Comma [1]" xfId="2029" xr:uid="{00000000-0005-0000-0000-000089090000}"/>
    <cellStyle name="Comma 0" xfId="2030" xr:uid="{00000000-0005-0000-0000-00008A090000}"/>
    <cellStyle name="Comma 10" xfId="2031" xr:uid="{00000000-0005-0000-0000-00008B090000}"/>
    <cellStyle name="Comma 10 2" xfId="2032" xr:uid="{00000000-0005-0000-0000-00008C090000}"/>
    <cellStyle name="Comma 10 2 2" xfId="5505" xr:uid="{00000000-0005-0000-0000-00008D090000}"/>
    <cellStyle name="Comma 10 2 3" xfId="5494" xr:uid="{00000000-0005-0000-0000-00008E090000}"/>
    <cellStyle name="Comma 10 3" xfId="5498" xr:uid="{00000000-0005-0000-0000-00008F090000}"/>
    <cellStyle name="Comma 10 4" xfId="5499" xr:uid="{00000000-0005-0000-0000-000090090000}"/>
    <cellStyle name="Comma 10 5" xfId="5501" xr:uid="{00000000-0005-0000-0000-000091090000}"/>
    <cellStyle name="Comma 11" xfId="2033" xr:uid="{00000000-0005-0000-0000-000092090000}"/>
    <cellStyle name="Comma 11 2" xfId="2034" xr:uid="{00000000-0005-0000-0000-000093090000}"/>
    <cellStyle name="Comma 12" xfId="2035" xr:uid="{00000000-0005-0000-0000-000094090000}"/>
    <cellStyle name="Comma 12 2" xfId="2036" xr:uid="{00000000-0005-0000-0000-000095090000}"/>
    <cellStyle name="Comma 13" xfId="2016" xr:uid="{00000000-0005-0000-0000-000096090000}"/>
    <cellStyle name="Comma 13 2" xfId="3622" xr:uid="{00000000-0005-0000-0000-000097090000}"/>
    <cellStyle name="Comma 13 3" xfId="3534" xr:uid="{00000000-0005-0000-0000-000098090000}"/>
    <cellStyle name="Comma 14" xfId="2967" xr:uid="{00000000-0005-0000-0000-000099090000}"/>
    <cellStyle name="Comma 14 2" xfId="4243" xr:uid="{00000000-0005-0000-0000-00009A090000}"/>
    <cellStyle name="Comma 15" xfId="2965" xr:uid="{00000000-0005-0000-0000-00009B090000}"/>
    <cellStyle name="Comma 16" xfId="2966" xr:uid="{00000000-0005-0000-0000-00009C090000}"/>
    <cellStyle name="Comma 16 2" xfId="5509" xr:uid="{00000000-0005-0000-0000-00009D090000}"/>
    <cellStyle name="Comma 16 3" xfId="5481" xr:uid="{00000000-0005-0000-0000-00009E090000}"/>
    <cellStyle name="Comma 17" xfId="2964" xr:uid="{00000000-0005-0000-0000-00009F090000}"/>
    <cellStyle name="Comma 17 2" xfId="5512" xr:uid="{00000000-0005-0000-0000-0000A0090000}"/>
    <cellStyle name="Comma 17 3" xfId="5385" xr:uid="{00000000-0005-0000-0000-0000A1090000}"/>
    <cellStyle name="Comma 18" xfId="2980" xr:uid="{00000000-0005-0000-0000-0000A2090000}"/>
    <cellStyle name="Comma 18 2" xfId="5514" xr:uid="{00000000-0005-0000-0000-0000A3090000}"/>
    <cellStyle name="Comma 19" xfId="2983" xr:uid="{00000000-0005-0000-0000-0000A4090000}"/>
    <cellStyle name="Comma 19 2" xfId="5517" xr:uid="{00000000-0005-0000-0000-0000A5090000}"/>
    <cellStyle name="Comma 2" xfId="5" xr:uid="{00000000-0005-0000-0000-0000A6090000}"/>
    <cellStyle name="Comma 2 10" xfId="4244" xr:uid="{00000000-0005-0000-0000-0000A7090000}"/>
    <cellStyle name="Comma 2 11" xfId="4245" xr:uid="{00000000-0005-0000-0000-0000A8090000}"/>
    <cellStyle name="Comma 2 12" xfId="4246" xr:uid="{00000000-0005-0000-0000-0000A9090000}"/>
    <cellStyle name="Comma 2 13" xfId="4247" xr:uid="{00000000-0005-0000-0000-0000AA090000}"/>
    <cellStyle name="Comma 2 14" xfId="4248" xr:uid="{00000000-0005-0000-0000-0000AB090000}"/>
    <cellStyle name="Comma 2 15" xfId="4249" xr:uid="{00000000-0005-0000-0000-0000AC090000}"/>
    <cellStyle name="Comma 2 16" xfId="4250" xr:uid="{00000000-0005-0000-0000-0000AD090000}"/>
    <cellStyle name="Comma 2 17" xfId="4251" xr:uid="{00000000-0005-0000-0000-0000AE090000}"/>
    <cellStyle name="Comma 2 18" xfId="4252" xr:uid="{00000000-0005-0000-0000-0000AF090000}"/>
    <cellStyle name="Comma 2 19" xfId="4253" xr:uid="{00000000-0005-0000-0000-0000B0090000}"/>
    <cellStyle name="Comma 2 2" xfId="127" xr:uid="{00000000-0005-0000-0000-0000B1090000}"/>
    <cellStyle name="Comma 2 2 2" xfId="2038" xr:uid="{00000000-0005-0000-0000-0000B2090000}"/>
    <cellStyle name="Comma 2 2 2 2" xfId="5519" xr:uid="{00000000-0005-0000-0000-0000B3090000}"/>
    <cellStyle name="Comma 2 2 2 3" xfId="5518" xr:uid="{00000000-0005-0000-0000-0000B4090000}"/>
    <cellStyle name="Comma 2 2 3" xfId="3045" xr:uid="{00000000-0005-0000-0000-0000B5090000}"/>
    <cellStyle name="Comma 2 2 3 2" xfId="3730" xr:uid="{00000000-0005-0000-0000-0000B6090000}"/>
    <cellStyle name="Comma 2 2 3 3" xfId="3414" xr:uid="{00000000-0005-0000-0000-0000B7090000}"/>
    <cellStyle name="Comma 2 2 4" xfId="2037" xr:uid="{00000000-0005-0000-0000-0000B8090000}"/>
    <cellStyle name="Comma 2 2 4 2" xfId="5093" xr:uid="{00000000-0005-0000-0000-0000B9090000}"/>
    <cellStyle name="Comma 2 2 5" xfId="3594" xr:uid="{00000000-0005-0000-0000-0000BA090000}"/>
    <cellStyle name="Comma 2 2 5 2" xfId="4254" xr:uid="{00000000-0005-0000-0000-0000BB090000}"/>
    <cellStyle name="Comma 2 2 6" xfId="3413" xr:uid="{00000000-0005-0000-0000-0000BC090000}"/>
    <cellStyle name="Comma 2 2 6 2" xfId="4255" xr:uid="{00000000-0005-0000-0000-0000BD090000}"/>
    <cellStyle name="Comma 2 2 7" xfId="4842" xr:uid="{00000000-0005-0000-0000-0000BE090000}"/>
    <cellStyle name="Comma 2 2 8" xfId="4936" xr:uid="{00000000-0005-0000-0000-0000BF090000}"/>
    <cellStyle name="Comma 2 20" xfId="4256" xr:uid="{00000000-0005-0000-0000-0000C0090000}"/>
    <cellStyle name="Comma 2 21" xfId="4257" xr:uid="{00000000-0005-0000-0000-0000C1090000}"/>
    <cellStyle name="Comma 2 22" xfId="4258" xr:uid="{00000000-0005-0000-0000-0000C2090000}"/>
    <cellStyle name="Comma 2 23" xfId="4259" xr:uid="{00000000-0005-0000-0000-0000C3090000}"/>
    <cellStyle name="Comma 2 24" xfId="4260" xr:uid="{00000000-0005-0000-0000-0000C4090000}"/>
    <cellStyle name="Comma 2 25" xfId="4261" xr:uid="{00000000-0005-0000-0000-0000C5090000}"/>
    <cellStyle name="Comma 2 26" xfId="4262" xr:uid="{00000000-0005-0000-0000-0000C6090000}"/>
    <cellStyle name="Comma 2 27" xfId="4263" xr:uid="{00000000-0005-0000-0000-0000C7090000}"/>
    <cellStyle name="Comma 2 28" xfId="4264" xr:uid="{00000000-0005-0000-0000-0000C8090000}"/>
    <cellStyle name="Comma 2 29" xfId="4265" xr:uid="{00000000-0005-0000-0000-0000C9090000}"/>
    <cellStyle name="Comma 2 3" xfId="119" xr:uid="{00000000-0005-0000-0000-0000CA090000}"/>
    <cellStyle name="Comma 2 3 2" xfId="2040" xr:uid="{00000000-0005-0000-0000-0000CB090000}"/>
    <cellStyle name="Comma 2 3 2 2" xfId="5522" xr:uid="{00000000-0005-0000-0000-0000CC090000}"/>
    <cellStyle name="Comma 2 3 2 3" xfId="5520" xr:uid="{00000000-0005-0000-0000-0000CD090000}"/>
    <cellStyle name="Comma 2 3 3" xfId="3039" xr:uid="{00000000-0005-0000-0000-0000CE090000}"/>
    <cellStyle name="Comma 2 3 3 2" xfId="5523" xr:uid="{00000000-0005-0000-0000-0000CF090000}"/>
    <cellStyle name="Comma 2 3 4" xfId="2039" xr:uid="{00000000-0005-0000-0000-0000D0090000}"/>
    <cellStyle name="Comma 2 3 5" xfId="5092" xr:uid="{00000000-0005-0000-0000-0000D1090000}"/>
    <cellStyle name="Comma 2 3 6" xfId="5504" xr:uid="{00000000-0005-0000-0000-0000D2090000}"/>
    <cellStyle name="Comma 2 30" xfId="4841" xr:uid="{00000000-0005-0000-0000-0000D3090000}"/>
    <cellStyle name="Comma 2 31" xfId="4935" xr:uid="{00000000-0005-0000-0000-0000D4090000}"/>
    <cellStyle name="Comma 2 32" xfId="25" xr:uid="{00000000-0005-0000-0000-0000D5090000}"/>
    <cellStyle name="Comma 2 4" xfId="50" xr:uid="{00000000-0005-0000-0000-0000D6090000}"/>
    <cellStyle name="Comma 2 4 2" xfId="2042" xr:uid="{00000000-0005-0000-0000-0000D7090000}"/>
    <cellStyle name="Comma 2 4 2 2" xfId="5525" xr:uid="{00000000-0005-0000-0000-0000D8090000}"/>
    <cellStyle name="Comma 2 4 3" xfId="2041" xr:uid="{00000000-0005-0000-0000-0000D9090000}"/>
    <cellStyle name="Comma 2 4 4" xfId="5524" xr:uid="{00000000-0005-0000-0000-0000DA090000}"/>
    <cellStyle name="Comma 2 5" xfId="2043" xr:uid="{00000000-0005-0000-0000-0000DB090000}"/>
    <cellStyle name="Comma 2 5 2" xfId="2044" xr:uid="{00000000-0005-0000-0000-0000DC090000}"/>
    <cellStyle name="Comma 2 5 3" xfId="5526" xr:uid="{00000000-0005-0000-0000-0000DD090000}"/>
    <cellStyle name="Comma 2 6" xfId="2045" xr:uid="{00000000-0005-0000-0000-0000DE090000}"/>
    <cellStyle name="Comma 2 6 2" xfId="2046" xr:uid="{00000000-0005-0000-0000-0000DF090000}"/>
    <cellStyle name="Comma 2 6 3" xfId="5528" xr:uid="{00000000-0005-0000-0000-0000E0090000}"/>
    <cellStyle name="Comma 2 7" xfId="2047" xr:uid="{00000000-0005-0000-0000-0000E1090000}"/>
    <cellStyle name="Comma 2 7 2" xfId="2048" xr:uid="{00000000-0005-0000-0000-0000E2090000}"/>
    <cellStyle name="Comma 2 8" xfId="2049" xr:uid="{00000000-0005-0000-0000-0000E3090000}"/>
    <cellStyle name="Comma 2 8 2" xfId="2050" xr:uid="{00000000-0005-0000-0000-0000E4090000}"/>
    <cellStyle name="Comma 2 9" xfId="3008" xr:uid="{00000000-0005-0000-0000-0000E5090000}"/>
    <cellStyle name="Comma 2 9 2" xfId="4266" xr:uid="{00000000-0005-0000-0000-0000E6090000}"/>
    <cellStyle name="Comma 2_111_Washington_9-14-10_loan_size_base_on_$55_rents_$40MMland_-_new_model_10am - changes v1" xfId="2051" xr:uid="{00000000-0005-0000-0000-0000E7090000}"/>
    <cellStyle name="Comma 20" xfId="2987" xr:uid="{00000000-0005-0000-0000-0000E8090000}"/>
    <cellStyle name="Comma 20 2" xfId="5790" xr:uid="{00000000-0005-0000-0000-0000E9090000}"/>
    <cellStyle name="Comma 21" xfId="2994" xr:uid="{00000000-0005-0000-0000-0000EA090000}"/>
    <cellStyle name="Comma 22" xfId="241" xr:uid="{00000000-0005-0000-0000-0000EB090000}"/>
    <cellStyle name="Comma 23" xfId="3059" xr:uid="{00000000-0005-0000-0000-0000EC090000}"/>
    <cellStyle name="Comma 24" xfId="3070" xr:uid="{00000000-0005-0000-0000-0000ED090000}"/>
    <cellStyle name="Comma 25" xfId="3062" xr:uid="{00000000-0005-0000-0000-0000EE090000}"/>
    <cellStyle name="Comma 26" xfId="3352" xr:uid="{00000000-0005-0000-0000-0000EF090000}"/>
    <cellStyle name="Comma 27" xfId="3709" xr:uid="{00000000-0005-0000-0000-0000F0090000}"/>
    <cellStyle name="Comma 28" xfId="3775" xr:uid="{00000000-0005-0000-0000-0000F1090000}"/>
    <cellStyle name="Comma 29" xfId="3375" xr:uid="{00000000-0005-0000-0000-0000F2090000}"/>
    <cellStyle name="Comma 3" xfId="20" xr:uid="{00000000-0005-0000-0000-0000F3090000}"/>
    <cellStyle name="Comma 3 10" xfId="4267" xr:uid="{00000000-0005-0000-0000-0000F4090000}"/>
    <cellStyle name="Comma 3 10 2" xfId="4268" xr:uid="{00000000-0005-0000-0000-0000F5090000}"/>
    <cellStyle name="Comma 3 10 3" xfId="4269" xr:uid="{00000000-0005-0000-0000-0000F6090000}"/>
    <cellStyle name="Comma 3 10 3 2" xfId="4270" xr:uid="{00000000-0005-0000-0000-0000F7090000}"/>
    <cellStyle name="Comma 3 10 3 2 2" xfId="215" xr:uid="{00000000-0005-0000-0000-0000F8090000}"/>
    <cellStyle name="Comma 3 10 3 2 3" xfId="4271" xr:uid="{00000000-0005-0000-0000-0000F9090000}"/>
    <cellStyle name="Comma 3 10 3 2 4" xfId="4272" xr:uid="{00000000-0005-0000-0000-0000FA090000}"/>
    <cellStyle name="Comma 3 10 3 3" xfId="4273" xr:uid="{00000000-0005-0000-0000-0000FB090000}"/>
    <cellStyle name="Comma 3 10 4" xfId="4274" xr:uid="{00000000-0005-0000-0000-0000FC090000}"/>
    <cellStyle name="Comma 3 11" xfId="4275" xr:uid="{00000000-0005-0000-0000-0000FD090000}"/>
    <cellStyle name="Comma 3 11 2" xfId="4276" xr:uid="{00000000-0005-0000-0000-0000FE090000}"/>
    <cellStyle name="Comma 3 11 2 2" xfId="4277" xr:uid="{00000000-0005-0000-0000-0000FF090000}"/>
    <cellStyle name="Comma 3 11 2 3" xfId="4278" xr:uid="{00000000-0005-0000-0000-0000000A0000}"/>
    <cellStyle name="Comma 3 2" xfId="122" xr:uid="{00000000-0005-0000-0000-0000010A0000}"/>
    <cellStyle name="Comma 3 2 2" xfId="138" xr:uid="{00000000-0005-0000-0000-0000020A0000}"/>
    <cellStyle name="Comma 3 2 2 2" xfId="3052" xr:uid="{00000000-0005-0000-0000-0000030A0000}"/>
    <cellStyle name="Comma 3 2 2 2 2" xfId="3734" xr:uid="{00000000-0005-0000-0000-0000040A0000}"/>
    <cellStyle name="Comma 3 2 2 2 3" xfId="3807" xr:uid="{00000000-0005-0000-0000-0000050A0000}"/>
    <cellStyle name="Comma 3 2 2 2 4" xfId="3893" xr:uid="{00000000-0005-0000-0000-0000060A0000}"/>
    <cellStyle name="Comma 3 2 2 2 5" xfId="3323" xr:uid="{00000000-0005-0000-0000-0000070A0000}"/>
    <cellStyle name="Comma 3 2 2 3" xfId="3080" xr:uid="{00000000-0005-0000-0000-0000080A0000}"/>
    <cellStyle name="Comma 3 2 2 3 2" xfId="3745" xr:uid="{00000000-0005-0000-0000-0000090A0000}"/>
    <cellStyle name="Comma 3 2 2 3 3" xfId="3815" xr:uid="{00000000-0005-0000-0000-00000A0A0000}"/>
    <cellStyle name="Comma 3 2 2 3 4" xfId="3902" xr:uid="{00000000-0005-0000-0000-00000B0A0000}"/>
    <cellStyle name="Comma 3 2 2 3 5" xfId="3335" xr:uid="{00000000-0005-0000-0000-00000C0A0000}"/>
    <cellStyle name="Comma 3 2 2 4" xfId="3600" xr:uid="{00000000-0005-0000-0000-00000D0A0000}"/>
    <cellStyle name="Comma 3 2 2 5" xfId="3786" xr:uid="{00000000-0005-0000-0000-00000E0A0000}"/>
    <cellStyle name="Comma 3 2 2 6" xfId="3867" xr:uid="{00000000-0005-0000-0000-00000F0A0000}"/>
    <cellStyle name="Comma 3 2 2 7" xfId="3119" xr:uid="{00000000-0005-0000-0000-0000100A0000}"/>
    <cellStyle name="Comma 3 2 2 8" xfId="235" xr:uid="{00000000-0005-0000-0000-0000110A0000}"/>
    <cellStyle name="Comma 3 2 2 9" xfId="4279" xr:uid="{00000000-0005-0000-0000-0000120A0000}"/>
    <cellStyle name="Comma 3 2 3" xfId="3041" xr:uid="{00000000-0005-0000-0000-0000130A0000}"/>
    <cellStyle name="Comma 3 2 3 2" xfId="3728" xr:uid="{00000000-0005-0000-0000-0000140A0000}"/>
    <cellStyle name="Comma 3 2 3 3" xfId="3805" xr:uid="{00000000-0005-0000-0000-0000150A0000}"/>
    <cellStyle name="Comma 3 2 3 4" xfId="3891" xr:uid="{00000000-0005-0000-0000-0000160A0000}"/>
    <cellStyle name="Comma 3 2 3 5" xfId="3321" xr:uid="{00000000-0005-0000-0000-0000170A0000}"/>
    <cellStyle name="Comma 3 2 3 6" xfId="4280" xr:uid="{00000000-0005-0000-0000-0000180A0000}"/>
    <cellStyle name="Comma 3 2 4" xfId="2052" xr:uid="{00000000-0005-0000-0000-0000190A0000}"/>
    <cellStyle name="Comma 3 2 5" xfId="3076" xr:uid="{00000000-0005-0000-0000-00001A0A0000}"/>
    <cellStyle name="Comma 3 2 5 2" xfId="3743" xr:uid="{00000000-0005-0000-0000-00001B0A0000}"/>
    <cellStyle name="Comma 3 2 5 3" xfId="3813" xr:uid="{00000000-0005-0000-0000-00001C0A0000}"/>
    <cellStyle name="Comma 3 2 5 4" xfId="3899" xr:uid="{00000000-0005-0000-0000-00001D0A0000}"/>
    <cellStyle name="Comma 3 2 5 5" xfId="3333" xr:uid="{00000000-0005-0000-0000-00001E0A0000}"/>
    <cellStyle name="Comma 3 2 6" xfId="3591" xr:uid="{00000000-0005-0000-0000-00001F0A0000}"/>
    <cellStyle name="Comma 3 2 6 2" xfId="3865" xr:uid="{00000000-0005-0000-0000-0000200A0000}"/>
    <cellStyle name="Comma 3 2 7" xfId="3784" xr:uid="{00000000-0005-0000-0000-0000210A0000}"/>
    <cellStyle name="Comma 3 2 8" xfId="3117" xr:uid="{00000000-0005-0000-0000-0000220A0000}"/>
    <cellStyle name="Comma 3 2 9" xfId="228" xr:uid="{00000000-0005-0000-0000-0000230A0000}"/>
    <cellStyle name="Comma 3 3" xfId="3415" xr:uid="{00000000-0005-0000-0000-0000240A0000}"/>
    <cellStyle name="Comma 3 3 2" xfId="4281" xr:uid="{00000000-0005-0000-0000-0000250A0000}"/>
    <cellStyle name="Comma 3 3 2 2" xfId="5445" xr:uid="{00000000-0005-0000-0000-0000260A0000}"/>
    <cellStyle name="Comma 3 3 2 3" xfId="5370" xr:uid="{00000000-0005-0000-0000-0000270A0000}"/>
    <cellStyle name="Comma 3 3 3" xfId="5357" xr:uid="{00000000-0005-0000-0000-0000280A0000}"/>
    <cellStyle name="Comma 3 3 4" xfId="5530" xr:uid="{00000000-0005-0000-0000-0000290A0000}"/>
    <cellStyle name="Comma 3 4" xfId="4282" xr:uid="{00000000-0005-0000-0000-00002A0A0000}"/>
    <cellStyle name="Comma 3 4 2" xfId="4283" xr:uid="{00000000-0005-0000-0000-00002B0A0000}"/>
    <cellStyle name="Comma 3 4 2 2" xfId="4284" xr:uid="{00000000-0005-0000-0000-00002C0A0000}"/>
    <cellStyle name="Comma 3 4 2 3" xfId="4285" xr:uid="{00000000-0005-0000-0000-00002D0A0000}"/>
    <cellStyle name="Comma 3 4 2 4" xfId="5470" xr:uid="{00000000-0005-0000-0000-00002E0A0000}"/>
    <cellStyle name="Comma 3 4 3" xfId="4286" xr:uid="{00000000-0005-0000-0000-00002F0A0000}"/>
    <cellStyle name="Comma 3 4 4" xfId="5366" xr:uid="{00000000-0005-0000-0000-0000300A0000}"/>
    <cellStyle name="Comma 3 5" xfId="4287" xr:uid="{00000000-0005-0000-0000-0000310A0000}"/>
    <cellStyle name="Comma 3 5 2" xfId="4288" xr:uid="{00000000-0005-0000-0000-0000320A0000}"/>
    <cellStyle name="Comma 3 5 3" xfId="5367" xr:uid="{00000000-0005-0000-0000-0000330A0000}"/>
    <cellStyle name="Comma 3 6" xfId="4289" xr:uid="{00000000-0005-0000-0000-0000340A0000}"/>
    <cellStyle name="Comma 3 6 2" xfId="4290" xr:uid="{00000000-0005-0000-0000-0000350A0000}"/>
    <cellStyle name="Comma 3 7" xfId="4291" xr:uid="{00000000-0005-0000-0000-0000360A0000}"/>
    <cellStyle name="Comma 3 8" xfId="4292" xr:uid="{00000000-0005-0000-0000-0000370A0000}"/>
    <cellStyle name="Comma 3 9" xfId="4293" xr:uid="{00000000-0005-0000-0000-0000380A0000}"/>
    <cellStyle name="Comma 30" xfId="3655" xr:uid="{00000000-0005-0000-0000-0000390A0000}"/>
    <cellStyle name="Comma 31" xfId="3779" xr:uid="{00000000-0005-0000-0000-00003A0A0000}"/>
    <cellStyle name="Comma 32" xfId="3830" xr:uid="{00000000-0005-0000-0000-00003B0A0000}"/>
    <cellStyle name="Comma 33" xfId="3886" xr:uid="{00000000-0005-0000-0000-00003C0A0000}"/>
    <cellStyle name="Comma 34" xfId="3872" xr:uid="{00000000-0005-0000-0000-00003D0A0000}"/>
    <cellStyle name="Comma 35" xfId="3104" xr:uid="{00000000-0005-0000-0000-00003E0A0000}"/>
    <cellStyle name="Comma 36" xfId="3317" xr:uid="{00000000-0005-0000-0000-00003F0A0000}"/>
    <cellStyle name="Comma 37" xfId="3918" xr:uid="{00000000-0005-0000-0000-0000400A0000}"/>
    <cellStyle name="Comma 38" xfId="183" xr:uid="{00000000-0005-0000-0000-0000410A0000}"/>
    <cellStyle name="Comma 39" xfId="4873" xr:uid="{00000000-0005-0000-0000-0000420A0000}"/>
    <cellStyle name="Comma 4" xfId="51" xr:uid="{00000000-0005-0000-0000-0000430A0000}"/>
    <cellStyle name="Comma 4 10" xfId="4294" xr:uid="{00000000-0005-0000-0000-0000440A0000}"/>
    <cellStyle name="Comma 4 2" xfId="128" xr:uid="{00000000-0005-0000-0000-0000450A0000}"/>
    <cellStyle name="Comma 4 2 2" xfId="3547" xr:uid="{00000000-0005-0000-0000-0000460A0000}"/>
    <cellStyle name="Comma 4 2 2 2" xfId="3850" xr:uid="{00000000-0005-0000-0000-0000470A0000}"/>
    <cellStyle name="Comma 4 2 2 3" xfId="4296" xr:uid="{00000000-0005-0000-0000-0000480A0000}"/>
    <cellStyle name="Comma 4 2 2 4" xfId="5066" xr:uid="{00000000-0005-0000-0000-0000490A0000}"/>
    <cellStyle name="Comma 4 2 3" xfId="3595" xr:uid="{00000000-0005-0000-0000-00004A0A0000}"/>
    <cellStyle name="Comma 4 2 3 2" xfId="5531" xr:uid="{00000000-0005-0000-0000-00004B0A0000}"/>
    <cellStyle name="Comma 4 2 4" xfId="3416" xr:uid="{00000000-0005-0000-0000-00004C0A0000}"/>
    <cellStyle name="Comma 4 2 5" xfId="3835" xr:uid="{00000000-0005-0000-0000-00004D0A0000}"/>
    <cellStyle name="Comma 4 2 6" xfId="4295" xr:uid="{00000000-0005-0000-0000-00004E0A0000}"/>
    <cellStyle name="Comma 4 2 7" xfId="5039" xr:uid="{00000000-0005-0000-0000-00004F0A0000}"/>
    <cellStyle name="Comma 4 3" xfId="3009" xr:uid="{00000000-0005-0000-0000-0000500A0000}"/>
    <cellStyle name="Comma 4 3 2" xfId="3548" xr:uid="{00000000-0005-0000-0000-0000510A0000}"/>
    <cellStyle name="Comma 4 3 2 2" xfId="3851" xr:uid="{00000000-0005-0000-0000-0000520A0000}"/>
    <cellStyle name="Comma 4 3 2 3" xfId="5067" xr:uid="{00000000-0005-0000-0000-0000530A0000}"/>
    <cellStyle name="Comma 4 3 3" xfId="3720" xr:uid="{00000000-0005-0000-0000-0000540A0000}"/>
    <cellStyle name="Comma 4 3 4" xfId="3417" xr:uid="{00000000-0005-0000-0000-0000550A0000}"/>
    <cellStyle name="Comma 4 3 5" xfId="3836" xr:uid="{00000000-0005-0000-0000-0000560A0000}"/>
    <cellStyle name="Comma 4 3 6" xfId="4297" xr:uid="{00000000-0005-0000-0000-0000570A0000}"/>
    <cellStyle name="Comma 4 3 7" xfId="5040" xr:uid="{00000000-0005-0000-0000-0000580A0000}"/>
    <cellStyle name="Comma 4 4" xfId="2053" xr:uid="{00000000-0005-0000-0000-0000590A0000}"/>
    <cellStyle name="Comma 4 4 2" xfId="3549" xr:uid="{00000000-0005-0000-0000-00005A0A0000}"/>
    <cellStyle name="Comma 4 4 2 2" xfId="3852" xr:uid="{00000000-0005-0000-0000-00005B0A0000}"/>
    <cellStyle name="Comma 4 4 2 3" xfId="5068" xr:uid="{00000000-0005-0000-0000-00005C0A0000}"/>
    <cellStyle name="Comma 4 4 3" xfId="3623" xr:uid="{00000000-0005-0000-0000-00005D0A0000}"/>
    <cellStyle name="Comma 4 4 4" xfId="3418" xr:uid="{00000000-0005-0000-0000-00005E0A0000}"/>
    <cellStyle name="Comma 4 4 5" xfId="3837" xr:uid="{00000000-0005-0000-0000-00005F0A0000}"/>
    <cellStyle name="Comma 4 4 6" xfId="5041" xr:uid="{00000000-0005-0000-0000-0000600A0000}"/>
    <cellStyle name="Comma 4 5" xfId="3419" xr:uid="{00000000-0005-0000-0000-0000610A0000}"/>
    <cellStyle name="Comma 4 5 2" xfId="3550" xr:uid="{00000000-0005-0000-0000-0000620A0000}"/>
    <cellStyle name="Comma 4 5 2 2" xfId="3853" xr:uid="{00000000-0005-0000-0000-0000630A0000}"/>
    <cellStyle name="Comma 4 5 2 3" xfId="5069" xr:uid="{00000000-0005-0000-0000-0000640A0000}"/>
    <cellStyle name="Comma 4 5 3" xfId="3838" xr:uid="{00000000-0005-0000-0000-0000650A0000}"/>
    <cellStyle name="Comma 4 5 4" xfId="4298" xr:uid="{00000000-0005-0000-0000-0000660A0000}"/>
    <cellStyle name="Comma 4 5 5" xfId="5042" xr:uid="{00000000-0005-0000-0000-0000670A0000}"/>
    <cellStyle name="Comma 4 6" xfId="3420" xr:uid="{00000000-0005-0000-0000-0000680A0000}"/>
    <cellStyle name="Comma 4 6 2" xfId="3551" xr:uid="{00000000-0005-0000-0000-0000690A0000}"/>
    <cellStyle name="Comma 4 6 2 2" xfId="3854" xr:uid="{00000000-0005-0000-0000-00006A0A0000}"/>
    <cellStyle name="Comma 4 6 2 3" xfId="5070" xr:uid="{00000000-0005-0000-0000-00006B0A0000}"/>
    <cellStyle name="Comma 4 6 3" xfId="3839" xr:uid="{00000000-0005-0000-0000-00006C0A0000}"/>
    <cellStyle name="Comma 4 6 4" xfId="4299" xr:uid="{00000000-0005-0000-0000-00006D0A0000}"/>
    <cellStyle name="Comma 4 6 5" xfId="5043" xr:uid="{00000000-0005-0000-0000-00006E0A0000}"/>
    <cellStyle name="Comma 4 7" xfId="3538" xr:uid="{00000000-0005-0000-0000-00006F0A0000}"/>
    <cellStyle name="Comma 4 7 2" xfId="4300" xr:uid="{00000000-0005-0000-0000-0000700A0000}"/>
    <cellStyle name="Comma 4 8" xfId="3564" xr:uid="{00000000-0005-0000-0000-0000710A0000}"/>
    <cellStyle name="Comma 4 8 2" xfId="4301" xr:uid="{00000000-0005-0000-0000-0000720A0000}"/>
    <cellStyle name="Comma 4 9" xfId="4302" xr:uid="{00000000-0005-0000-0000-0000730A0000}"/>
    <cellStyle name="Comma 40" xfId="4882" xr:uid="{00000000-0005-0000-0000-0000740A0000}"/>
    <cellStyle name="Comma 41" xfId="4887" xr:uid="{00000000-0005-0000-0000-0000750A0000}"/>
    <cellStyle name="Comma 42" xfId="4911" xr:uid="{00000000-0005-0000-0000-0000760A0000}"/>
    <cellStyle name="Comma 43" xfId="4934" xr:uid="{00000000-0005-0000-0000-0000770A0000}"/>
    <cellStyle name="Comma 44" xfId="4956" xr:uid="{00000000-0005-0000-0000-0000780A0000}"/>
    <cellStyle name="Comma 45" xfId="4961" xr:uid="{00000000-0005-0000-0000-0000790A0000}"/>
    <cellStyle name="Comma 46" xfId="4962" xr:uid="{00000000-0005-0000-0000-00007A0A0000}"/>
    <cellStyle name="Comma 47" xfId="4965" xr:uid="{00000000-0005-0000-0000-00007B0A0000}"/>
    <cellStyle name="Comma 48" xfId="4988" xr:uid="{00000000-0005-0000-0000-00007C0A0000}"/>
    <cellStyle name="Comma 49" xfId="4992" xr:uid="{00000000-0005-0000-0000-00007D0A0000}"/>
    <cellStyle name="Comma 5" xfId="52" xr:uid="{00000000-0005-0000-0000-00007E0A0000}"/>
    <cellStyle name="Comma 5 10" xfId="4303" xr:uid="{00000000-0005-0000-0000-00007F0A0000}"/>
    <cellStyle name="Comma 5 10 2" xfId="4304" xr:uid="{00000000-0005-0000-0000-0000800A0000}"/>
    <cellStyle name="Comma 5 2" xfId="3010" xr:uid="{00000000-0005-0000-0000-0000810A0000}"/>
    <cellStyle name="Comma 5 2 2" xfId="3552" xr:uid="{00000000-0005-0000-0000-0000820A0000}"/>
    <cellStyle name="Comma 5 2 2 2" xfId="3855" xr:uid="{00000000-0005-0000-0000-0000830A0000}"/>
    <cellStyle name="Comma 5 2 2 3" xfId="4306" xr:uid="{00000000-0005-0000-0000-0000840A0000}"/>
    <cellStyle name="Comma 5 2 2 4" xfId="5071" xr:uid="{00000000-0005-0000-0000-0000850A0000}"/>
    <cellStyle name="Comma 5 2 3" xfId="3721" xr:uid="{00000000-0005-0000-0000-0000860A0000}"/>
    <cellStyle name="Comma 5 2 3 2" xfId="5534" xr:uid="{00000000-0005-0000-0000-0000870A0000}"/>
    <cellStyle name="Comma 5 2 4" xfId="3421" xr:uid="{00000000-0005-0000-0000-0000880A0000}"/>
    <cellStyle name="Comma 5 2 5" xfId="3840" xr:uid="{00000000-0005-0000-0000-0000890A0000}"/>
    <cellStyle name="Comma 5 2 6" xfId="4305" xr:uid="{00000000-0005-0000-0000-00008A0A0000}"/>
    <cellStyle name="Comma 5 2 7" xfId="5044" xr:uid="{00000000-0005-0000-0000-00008B0A0000}"/>
    <cellStyle name="Comma 5 3" xfId="2054" xr:uid="{00000000-0005-0000-0000-00008C0A0000}"/>
    <cellStyle name="Comma 5 3 2" xfId="3624" xr:uid="{00000000-0005-0000-0000-00008D0A0000}"/>
    <cellStyle name="Comma 5 3 2 2" xfId="4307" xr:uid="{00000000-0005-0000-0000-00008E0A0000}"/>
    <cellStyle name="Comma 5 3 2 3" xfId="5536" xr:uid="{00000000-0005-0000-0000-00008F0A0000}"/>
    <cellStyle name="Comma 5 3 3" xfId="3539" xr:uid="{00000000-0005-0000-0000-0000900A0000}"/>
    <cellStyle name="Comma 5 3 4" xfId="5535" xr:uid="{00000000-0005-0000-0000-0000910A0000}"/>
    <cellStyle name="Comma 5 4" xfId="3565" xr:uid="{00000000-0005-0000-0000-0000920A0000}"/>
    <cellStyle name="Comma 5 4 2" xfId="4308" xr:uid="{00000000-0005-0000-0000-0000930A0000}"/>
    <cellStyle name="Comma 5 4 3" xfId="5353" xr:uid="{00000000-0005-0000-0000-0000940A0000}"/>
    <cellStyle name="Comma 5 5" xfId="3353" xr:uid="{00000000-0005-0000-0000-0000950A0000}"/>
    <cellStyle name="Comma 5 5 2" xfId="4309" xr:uid="{00000000-0005-0000-0000-0000960A0000}"/>
    <cellStyle name="Comma 5 6" xfId="4310" xr:uid="{00000000-0005-0000-0000-0000970A0000}"/>
    <cellStyle name="Comma 5 7" xfId="4311" xr:uid="{00000000-0005-0000-0000-0000980A0000}"/>
    <cellStyle name="Comma 5 8" xfId="4312" xr:uid="{00000000-0005-0000-0000-0000990A0000}"/>
    <cellStyle name="Comma 5 9" xfId="4313" xr:uid="{00000000-0005-0000-0000-00009A0A0000}"/>
    <cellStyle name="Comma 50" xfId="4996" xr:uid="{00000000-0005-0000-0000-00009B0A0000}"/>
    <cellStyle name="Comma 51" xfId="4999" xr:uid="{00000000-0005-0000-0000-00009C0A0000}"/>
    <cellStyle name="Comma 52" xfId="5022" xr:uid="{00000000-0005-0000-0000-00009D0A0000}"/>
    <cellStyle name="Comma 53" xfId="5056" xr:uid="{00000000-0005-0000-0000-00009E0A0000}"/>
    <cellStyle name="Comma 54" xfId="5230" xr:uid="{00000000-0005-0000-0000-00009F0A0000}"/>
    <cellStyle name="Comma 55" xfId="5254" xr:uid="{00000000-0005-0000-0000-0000A00A0000}"/>
    <cellStyle name="Comma 56" xfId="5259" xr:uid="{00000000-0005-0000-0000-0000A10A0000}"/>
    <cellStyle name="Comma 57" xfId="5285" xr:uid="{00000000-0005-0000-0000-0000A20A0000}"/>
    <cellStyle name="Comma 58" xfId="5308" xr:uid="{00000000-0005-0000-0000-0000A30A0000}"/>
    <cellStyle name="Comma 59" xfId="13" xr:uid="{00000000-0005-0000-0000-0000A40A0000}"/>
    <cellStyle name="Comma 6" xfId="108" xr:uid="{00000000-0005-0000-0000-0000A50A0000}"/>
    <cellStyle name="Comma 6 2" xfId="115" xr:uid="{00000000-0005-0000-0000-0000A60A0000}"/>
    <cellStyle name="Comma 6 2 2" xfId="5539" xr:uid="{00000000-0005-0000-0000-0000A70A0000}"/>
    <cellStyle name="Comma 6 2 3" xfId="5538" xr:uid="{00000000-0005-0000-0000-0000A80A0000}"/>
    <cellStyle name="Comma 6 3" xfId="3033" xr:uid="{00000000-0005-0000-0000-0000A90A0000}"/>
    <cellStyle name="Comma 6 3 2" xfId="5540" xr:uid="{00000000-0005-0000-0000-0000AA0A0000}"/>
    <cellStyle name="Comma 6 4" xfId="2055" xr:uid="{00000000-0005-0000-0000-0000AB0A0000}"/>
    <cellStyle name="Comma 6 5" xfId="5537" xr:uid="{00000000-0005-0000-0000-0000AC0A0000}"/>
    <cellStyle name="Comma 60" xfId="5315" xr:uid="{00000000-0005-0000-0000-0000AD0A0000}"/>
    <cellStyle name="Comma 61" xfId="5319" xr:uid="{00000000-0005-0000-0000-0000AE0A0000}"/>
    <cellStyle name="Comma 62" xfId="5333" xr:uid="{00000000-0005-0000-0000-0000AF0A0000}"/>
    <cellStyle name="Comma 63" xfId="5769" xr:uid="{00000000-0005-0000-0000-0000B00A0000}"/>
    <cellStyle name="Comma 64" xfId="5840" xr:uid="{00000000-0005-0000-0000-0000B10A0000}"/>
    <cellStyle name="Comma 65" xfId="5843" xr:uid="{00000000-0005-0000-0000-0000B20A0000}"/>
    <cellStyle name="Comma 7" xfId="139" xr:uid="{00000000-0005-0000-0000-0000B30A0000}"/>
    <cellStyle name="Comma 7 2" xfId="3601" xr:uid="{00000000-0005-0000-0000-0000B40A0000}"/>
    <cellStyle name="Comma 7 2 2" xfId="4314" xr:uid="{00000000-0005-0000-0000-0000B50A0000}"/>
    <cellStyle name="Comma 7 2 2 2" xfId="5373" xr:uid="{00000000-0005-0000-0000-0000B60A0000}"/>
    <cellStyle name="Comma 7 2 3" xfId="5437" xr:uid="{00000000-0005-0000-0000-0000B70A0000}"/>
    <cellStyle name="Comma 7 3" xfId="3374" xr:uid="{00000000-0005-0000-0000-0000B80A0000}"/>
    <cellStyle name="Comma 7 3 2" xfId="4316" xr:uid="{00000000-0005-0000-0000-0000B90A0000}"/>
    <cellStyle name="Comma 7 3 2 2" xfId="4317" xr:uid="{00000000-0005-0000-0000-0000BA0A0000}"/>
    <cellStyle name="Comma 7 3 3" xfId="4318" xr:uid="{00000000-0005-0000-0000-0000BB0A0000}"/>
    <cellStyle name="Comma 7 3 4" xfId="4319" xr:uid="{00000000-0005-0000-0000-0000BC0A0000}"/>
    <cellStyle name="Comma 7 3 5" xfId="4315" xr:uid="{00000000-0005-0000-0000-0000BD0A0000}"/>
    <cellStyle name="Comma 7 3 6" xfId="5542" xr:uid="{00000000-0005-0000-0000-0000BE0A0000}"/>
    <cellStyle name="Comma 7 4" xfId="4320" xr:uid="{00000000-0005-0000-0000-0000BF0A0000}"/>
    <cellStyle name="Comma 7 4 2" xfId="4321" xr:uid="{00000000-0005-0000-0000-0000C00A0000}"/>
    <cellStyle name="Comma 7 4 3" xfId="4322" xr:uid="{00000000-0005-0000-0000-0000C10A0000}"/>
    <cellStyle name="Comma 7 5" xfId="4323" xr:uid="{00000000-0005-0000-0000-0000C20A0000}"/>
    <cellStyle name="Comma 7 5 2" xfId="4324" xr:uid="{00000000-0005-0000-0000-0000C30A0000}"/>
    <cellStyle name="Comma 7 5 3" xfId="4325" xr:uid="{00000000-0005-0000-0000-0000C40A0000}"/>
    <cellStyle name="Comma 7 6" xfId="4326" xr:uid="{00000000-0005-0000-0000-0000C50A0000}"/>
    <cellStyle name="Comma 7 6 2" xfId="4327" xr:uid="{00000000-0005-0000-0000-0000C60A0000}"/>
    <cellStyle name="Comma 7 6 3" xfId="4328" xr:uid="{00000000-0005-0000-0000-0000C70A0000}"/>
    <cellStyle name="Comma 7 6 3 2" xfId="4329" xr:uid="{00000000-0005-0000-0000-0000C80A0000}"/>
    <cellStyle name="Comma 7 6 3 3" xfId="4330" xr:uid="{00000000-0005-0000-0000-0000C90A0000}"/>
    <cellStyle name="Comma 7 7" xfId="4331" xr:uid="{00000000-0005-0000-0000-0000CA0A0000}"/>
    <cellStyle name="Comma 7 8" xfId="5541" xr:uid="{00000000-0005-0000-0000-0000CB0A0000}"/>
    <cellStyle name="Comma 8" xfId="147" xr:uid="{00000000-0005-0000-0000-0000CC0A0000}"/>
    <cellStyle name="Comma 8 2" xfId="3057" xr:uid="{00000000-0005-0000-0000-0000CD0A0000}"/>
    <cellStyle name="Comma 8 2 2" xfId="3736" xr:uid="{00000000-0005-0000-0000-0000CE0A0000}"/>
    <cellStyle name="Comma 8 2 3" xfId="3102" xr:uid="{00000000-0005-0000-0000-0000CF0A0000}"/>
    <cellStyle name="Comma 8 3" xfId="2056" xr:uid="{00000000-0005-0000-0000-0000D00A0000}"/>
    <cellStyle name="Comma 8 3 2" xfId="4333" xr:uid="{00000000-0005-0000-0000-0000D10A0000}"/>
    <cellStyle name="Comma 8 3 3" xfId="4332" xr:uid="{00000000-0005-0000-0000-0000D20A0000}"/>
    <cellStyle name="Comma 8 4" xfId="3607" xr:uid="{00000000-0005-0000-0000-0000D30A0000}"/>
    <cellStyle name="Comma 8 5" xfId="5543" xr:uid="{00000000-0005-0000-0000-0000D40A0000}"/>
    <cellStyle name="Comma 9" xfId="162" xr:uid="{00000000-0005-0000-0000-0000D50A0000}"/>
    <cellStyle name="Comma 9 2" xfId="2057" xr:uid="{00000000-0005-0000-0000-0000D60A0000}"/>
    <cellStyle name="Comma 9 2 2" xfId="4335" xr:uid="{00000000-0005-0000-0000-0000D70A0000}"/>
    <cellStyle name="Comma 9 2 2 2" xfId="4336" xr:uid="{00000000-0005-0000-0000-0000D80A0000}"/>
    <cellStyle name="Comma 9 2 2 3" xfId="5544" xr:uid="{00000000-0005-0000-0000-0000D90A0000}"/>
    <cellStyle name="Comma 9 2 3" xfId="4337" xr:uid="{00000000-0005-0000-0000-0000DA0A0000}"/>
    <cellStyle name="Comma 9 2 4" xfId="4338" xr:uid="{00000000-0005-0000-0000-0000DB0A0000}"/>
    <cellStyle name="Comma 9 2 5" xfId="4334" xr:uid="{00000000-0005-0000-0000-0000DC0A0000}"/>
    <cellStyle name="Comma 9 2 6" xfId="5482" xr:uid="{00000000-0005-0000-0000-0000DD0A0000}"/>
    <cellStyle name="Comma 9 3" xfId="4339" xr:uid="{00000000-0005-0000-0000-0000DE0A0000}"/>
    <cellStyle name="Comma 9 3 2" xfId="4340" xr:uid="{00000000-0005-0000-0000-0000DF0A0000}"/>
    <cellStyle name="Comma 9 3 3" xfId="4341" xr:uid="{00000000-0005-0000-0000-0000E00A0000}"/>
    <cellStyle name="Comma 9 3 4" xfId="5545" xr:uid="{00000000-0005-0000-0000-0000E10A0000}"/>
    <cellStyle name="Comma 9 4" xfId="4342" xr:uid="{00000000-0005-0000-0000-0000E20A0000}"/>
    <cellStyle name="Comma 9 4 2" xfId="4343" xr:uid="{00000000-0005-0000-0000-0000E30A0000}"/>
    <cellStyle name="Comma 9 4 3" xfId="4344" xr:uid="{00000000-0005-0000-0000-0000E40A0000}"/>
    <cellStyle name="Comma 9 5" xfId="4345" xr:uid="{00000000-0005-0000-0000-0000E50A0000}"/>
    <cellStyle name="Comma 9 6" xfId="4346" xr:uid="{00000000-0005-0000-0000-0000E60A0000}"/>
    <cellStyle name="Comma 9 7" xfId="4347" xr:uid="{00000000-0005-0000-0000-0000E70A0000}"/>
    <cellStyle name="Comma 9 8" xfId="4348" xr:uid="{00000000-0005-0000-0000-0000E80A0000}"/>
    <cellStyle name="Comma 9 9" xfId="5471" xr:uid="{00000000-0005-0000-0000-0000E90A0000}"/>
    <cellStyle name="Comma Cents" xfId="5414" xr:uid="{00000000-0005-0000-0000-0000EA0A0000}"/>
    <cellStyle name="Comma0" xfId="53" xr:uid="{00000000-0005-0000-0000-0000EB0A0000}"/>
    <cellStyle name="Comma0 - Modelo1" xfId="5547" xr:uid="{00000000-0005-0000-0000-0000EC0A0000}"/>
    <cellStyle name="Comma0 - Style1" xfId="5548" xr:uid="{00000000-0005-0000-0000-0000ED0A0000}"/>
    <cellStyle name="Comma0 - Style4" xfId="2059" xr:uid="{00000000-0005-0000-0000-0000EE0A0000}"/>
    <cellStyle name="Comma0 - Style5" xfId="2060" xr:uid="{00000000-0005-0000-0000-0000EF0A0000}"/>
    <cellStyle name="Comma0 - Style5 2" xfId="5395" xr:uid="{00000000-0005-0000-0000-0000F00A0000}"/>
    <cellStyle name="Comma0 10" xfId="4349" xr:uid="{00000000-0005-0000-0000-0000F10A0000}"/>
    <cellStyle name="Comma0 11" xfId="5546" xr:uid="{00000000-0005-0000-0000-0000F20A0000}"/>
    <cellStyle name="Comma0 12" xfId="5792" xr:uid="{00000000-0005-0000-0000-0000F30A0000}"/>
    <cellStyle name="Comma0 2" xfId="3011" xr:uid="{00000000-0005-0000-0000-0000F40A0000}"/>
    <cellStyle name="Comma0 2 2" xfId="4350" xr:uid="{00000000-0005-0000-0000-0000F50A0000}"/>
    <cellStyle name="Comma0 3" xfId="2058" xr:uid="{00000000-0005-0000-0000-0000F60A0000}"/>
    <cellStyle name="Comma0 3 2" xfId="4351" xr:uid="{00000000-0005-0000-0000-0000F70A0000}"/>
    <cellStyle name="Comma0 4" xfId="4352" xr:uid="{00000000-0005-0000-0000-0000F80A0000}"/>
    <cellStyle name="Comma0 5" xfId="4353" xr:uid="{00000000-0005-0000-0000-0000F90A0000}"/>
    <cellStyle name="Comma0 6" xfId="4354" xr:uid="{00000000-0005-0000-0000-0000FA0A0000}"/>
    <cellStyle name="Comma0 7" xfId="4355" xr:uid="{00000000-0005-0000-0000-0000FB0A0000}"/>
    <cellStyle name="Comma0 8" xfId="4356" xr:uid="{00000000-0005-0000-0000-0000FC0A0000}"/>
    <cellStyle name="Comma0 9" xfId="4357" xr:uid="{00000000-0005-0000-0000-0000FD0A0000}"/>
    <cellStyle name="Comma0_111_Washington_9-14-10_loan_size_base_on_$55_rents_$40MMland_-_new_model_10am - changes v1" xfId="2061" xr:uid="{00000000-0005-0000-0000-0000FE0A0000}"/>
    <cellStyle name="Comma1 - Modelo2" xfId="5550" xr:uid="{00000000-0005-0000-0000-0000FF0A0000}"/>
    <cellStyle name="Comma1 - Style1" xfId="2062" xr:uid="{00000000-0005-0000-0000-0000000B0000}"/>
    <cellStyle name="Comma1 - Style1 2" xfId="5551" xr:uid="{00000000-0005-0000-0000-0000010B0000}"/>
    <cellStyle name="Comma1 - Style2" xfId="5552" xr:uid="{00000000-0005-0000-0000-0000020B0000}"/>
    <cellStyle name="CommaFixed" xfId="2063" xr:uid="{00000000-0005-0000-0000-0000030B0000}"/>
    <cellStyle name="CommaFixed 2" xfId="5899" xr:uid="{D3E48A39-E91E-4606-9CF8-FC1DF136C56C}"/>
    <cellStyle name="Command" xfId="54" xr:uid="{00000000-0005-0000-0000-0000040B0000}"/>
    <cellStyle name="Command 2" xfId="4878" xr:uid="{00000000-0005-0000-0000-0000050B0000}"/>
    <cellStyle name="Command 3" xfId="5554" xr:uid="{00000000-0005-0000-0000-0000060B0000}"/>
    <cellStyle name="CommaNoDec" xfId="2064" xr:uid="{00000000-0005-0000-0000-0000070B0000}"/>
    <cellStyle name="CommaNoDec 2" xfId="5900" xr:uid="{42567B6C-1CD7-4A89-843C-A942CCC46BA4}"/>
    <cellStyle name="CommaNoDecTot" xfId="2065" xr:uid="{00000000-0005-0000-0000-0000080B0000}"/>
    <cellStyle name="commas" xfId="2066" xr:uid="{00000000-0005-0000-0000-0000090B0000}"/>
    <cellStyle name="CommaTotTop" xfId="2067" xr:uid="{00000000-0005-0000-0000-00000A0B0000}"/>
    <cellStyle name="CommaTotTopNoDec" xfId="2068" xr:uid="{00000000-0005-0000-0000-00000B0B0000}"/>
    <cellStyle name="company" xfId="55" xr:uid="{00000000-0005-0000-0000-00000C0B0000}"/>
    <cellStyle name="company 2" xfId="3561" xr:uid="{00000000-0005-0000-0000-00000D0B0000}"/>
    <cellStyle name="company 3" xfId="3566" xr:uid="{00000000-0005-0000-0000-00000E0B0000}"/>
    <cellStyle name="company 4" xfId="3108" xr:uid="{00000000-0005-0000-0000-00000F0B0000}"/>
    <cellStyle name="company 5" xfId="4877" xr:uid="{00000000-0005-0000-0000-0000100B0000}"/>
    <cellStyle name="company 6" xfId="5149" xr:uid="{00000000-0005-0000-0000-0000110B0000}"/>
    <cellStyle name="company 7" xfId="5556" xr:uid="{00000000-0005-0000-0000-0000120B0000}"/>
    <cellStyle name="Component" xfId="2069" xr:uid="{00000000-0005-0000-0000-0000130B0000}"/>
    <cellStyle name="Component 2" xfId="3268" xr:uid="{00000000-0005-0000-0000-0000140B0000}"/>
    <cellStyle name="Component 2 2" xfId="6027" xr:uid="{6E33FDC9-DBF0-4514-A767-926CFFC50288}"/>
    <cellStyle name="Component 3" xfId="3150" xr:uid="{00000000-0005-0000-0000-0000150B0000}"/>
    <cellStyle name="Component 3 2" xfId="6012" xr:uid="{7B3D04F4-B44C-46DB-9702-6D7A6E3C238E}"/>
    <cellStyle name="Component 4" xfId="5901" xr:uid="{8B8559EC-105C-4375-9EA4-92AEF1BDD429}"/>
    <cellStyle name="Copied" xfId="2070" xr:uid="{00000000-0005-0000-0000-0000160B0000}"/>
    <cellStyle name="COST1" xfId="2071" xr:uid="{00000000-0005-0000-0000-0000170B0000}"/>
    <cellStyle name="Curren - Style2" xfId="2072" xr:uid="{00000000-0005-0000-0000-0000180B0000}"/>
    <cellStyle name="Curren - Style2 2" xfId="5557" xr:uid="{00000000-0005-0000-0000-0000190B0000}"/>
    <cellStyle name="Curren - Style5" xfId="2073" xr:uid="{00000000-0005-0000-0000-00001A0B0000}"/>
    <cellStyle name="Currency" xfId="2" builtinId="4"/>
    <cellStyle name="Currency (3)" xfId="2075" xr:uid="{00000000-0005-0000-0000-00001C0B0000}"/>
    <cellStyle name="Currency (Rounded)" xfId="56" xr:uid="{00000000-0005-0000-0000-00001D0B0000}"/>
    <cellStyle name="Currency [$     0.00]" xfId="2076" xr:uid="{00000000-0005-0000-0000-00001E0B0000}"/>
    <cellStyle name="Currency [$     0]" xfId="2077" xr:uid="{00000000-0005-0000-0000-00001F0B0000}"/>
    <cellStyle name="Currency [00]" xfId="2078" xr:uid="{00000000-0005-0000-0000-0000200B0000}"/>
    <cellStyle name="Currency [00] 2" xfId="2079" xr:uid="{00000000-0005-0000-0000-0000210B0000}"/>
    <cellStyle name="Currency [2]" xfId="2080" xr:uid="{00000000-0005-0000-0000-0000220B0000}"/>
    <cellStyle name="Currency 0" xfId="2081" xr:uid="{00000000-0005-0000-0000-0000230B0000}"/>
    <cellStyle name="Currency 0.0" xfId="2082" xr:uid="{00000000-0005-0000-0000-0000240B0000}"/>
    <cellStyle name="Currency 0.0 2" xfId="3876" xr:uid="{00000000-0005-0000-0000-0000250B0000}"/>
    <cellStyle name="Currency 10" xfId="2083" xr:uid="{00000000-0005-0000-0000-0000260B0000}"/>
    <cellStyle name="Currency 10 2" xfId="3625" xr:uid="{00000000-0005-0000-0000-0000270B0000}"/>
    <cellStyle name="Currency 10 2 2" xfId="5429" xr:uid="{00000000-0005-0000-0000-0000280B0000}"/>
    <cellStyle name="Currency 10 2 3" xfId="5561" xr:uid="{00000000-0005-0000-0000-0000290B0000}"/>
    <cellStyle name="Currency 10 3" xfId="3355" xr:uid="{00000000-0005-0000-0000-00002A0B0000}"/>
    <cellStyle name="Currency 10 3 2" xfId="5563" xr:uid="{00000000-0005-0000-0000-00002B0B0000}"/>
    <cellStyle name="Currency 10 4" xfId="5424" xr:uid="{00000000-0005-0000-0000-00002C0B0000}"/>
    <cellStyle name="Currency 10 5" xfId="5566" xr:uid="{00000000-0005-0000-0000-00002D0B0000}"/>
    <cellStyle name="Currency 10 6" xfId="5560" xr:uid="{00000000-0005-0000-0000-00002E0B0000}"/>
    <cellStyle name="Currency 11" xfId="148" xr:uid="{00000000-0005-0000-0000-00002F0B0000}"/>
    <cellStyle name="Currency 11 2" xfId="3083" xr:uid="{00000000-0005-0000-0000-0000300B0000}"/>
    <cellStyle name="Currency 11 3" xfId="3626" xr:uid="{00000000-0005-0000-0000-0000310B0000}"/>
    <cellStyle name="Currency 11 4" xfId="2084" xr:uid="{00000000-0005-0000-0000-0000320B0000}"/>
    <cellStyle name="Currency 12" xfId="2085" xr:uid="{00000000-0005-0000-0000-0000330B0000}"/>
    <cellStyle name="Currency 12 2" xfId="3627" xr:uid="{00000000-0005-0000-0000-0000340B0000}"/>
    <cellStyle name="Currency 12 3" xfId="3532" xr:uid="{00000000-0005-0000-0000-0000350B0000}"/>
    <cellStyle name="Currency 13" xfId="2086" xr:uid="{00000000-0005-0000-0000-0000360B0000}"/>
    <cellStyle name="Currency 13 2" xfId="2087" xr:uid="{00000000-0005-0000-0000-0000370B0000}"/>
    <cellStyle name="Currency 14" xfId="2074" xr:uid="{00000000-0005-0000-0000-0000380B0000}"/>
    <cellStyle name="Currency 15" xfId="2969" xr:uid="{00000000-0005-0000-0000-0000390B0000}"/>
    <cellStyle name="Currency 16" xfId="2963" xr:uid="{00000000-0005-0000-0000-00003A0B0000}"/>
    <cellStyle name="Currency 16 2" xfId="5569" xr:uid="{00000000-0005-0000-0000-00003B0B0000}"/>
    <cellStyle name="Currency 16 3" xfId="5567" xr:uid="{00000000-0005-0000-0000-00003C0B0000}"/>
    <cellStyle name="Currency 17" xfId="2968" xr:uid="{00000000-0005-0000-0000-00003D0B0000}"/>
    <cellStyle name="Currency 17 2" xfId="5456" xr:uid="{00000000-0005-0000-0000-00003E0B0000}"/>
    <cellStyle name="Currency 17 3" xfId="5570" xr:uid="{00000000-0005-0000-0000-00003F0B0000}"/>
    <cellStyle name="Currency 18" xfId="2962" xr:uid="{00000000-0005-0000-0000-0000400B0000}"/>
    <cellStyle name="Currency 18 2" xfId="5572" xr:uid="{00000000-0005-0000-0000-0000410B0000}"/>
    <cellStyle name="Currency 19" xfId="2981" xr:uid="{00000000-0005-0000-0000-0000420B0000}"/>
    <cellStyle name="Currency 19 2" xfId="5343" xr:uid="{00000000-0005-0000-0000-0000430B0000}"/>
    <cellStyle name="Currency 2" xfId="26" xr:uid="{00000000-0005-0000-0000-0000440B0000}"/>
    <cellStyle name="Currency 2 10" xfId="4843" xr:uid="{00000000-0005-0000-0000-0000450B0000}"/>
    <cellStyle name="Currency 2 11" xfId="5575" xr:uid="{00000000-0005-0000-0000-0000460B0000}"/>
    <cellStyle name="Currency 2 2" xfId="124" xr:uid="{00000000-0005-0000-0000-0000470B0000}"/>
    <cellStyle name="Currency 2 2 2" xfId="3043" xr:uid="{00000000-0005-0000-0000-0000480B0000}"/>
    <cellStyle name="Currency 2 2 2 2" xfId="3729" xr:uid="{00000000-0005-0000-0000-0000490B0000}"/>
    <cellStyle name="Currency 2 2 2 2 2" xfId="5416" xr:uid="{00000000-0005-0000-0000-00004A0B0000}"/>
    <cellStyle name="Currency 2 2 2 3" xfId="3422" xr:uid="{00000000-0005-0000-0000-00004B0B0000}"/>
    <cellStyle name="Currency 2 2 2 4" xfId="5474" xr:uid="{00000000-0005-0000-0000-00004C0B0000}"/>
    <cellStyle name="Currency 2 2 3" xfId="2088" xr:uid="{00000000-0005-0000-0000-00004D0B0000}"/>
    <cellStyle name="Currency 2 2 3 2" xfId="3628" xr:uid="{00000000-0005-0000-0000-00004E0B0000}"/>
    <cellStyle name="Currency 2 2 3 3" xfId="3423" xr:uid="{00000000-0005-0000-0000-00004F0B0000}"/>
    <cellStyle name="Currency 2 2 3 4" xfId="5577" xr:uid="{00000000-0005-0000-0000-0000500B0000}"/>
    <cellStyle name="Currency 2 2 4" xfId="3592" xr:uid="{00000000-0005-0000-0000-0000510B0000}"/>
    <cellStyle name="Currency 2 2 4 2" xfId="4358" xr:uid="{00000000-0005-0000-0000-0000520B0000}"/>
    <cellStyle name="Currency 2 2 5" xfId="3357" xr:uid="{00000000-0005-0000-0000-0000530B0000}"/>
    <cellStyle name="Currency 2 2 6" xfId="4359" xr:uid="{00000000-0005-0000-0000-0000540B0000}"/>
    <cellStyle name="Currency 2 2 7" xfId="5576" xr:uid="{00000000-0005-0000-0000-0000550B0000}"/>
    <cellStyle name="Currency 2 3" xfId="2089" xr:uid="{00000000-0005-0000-0000-0000560B0000}"/>
    <cellStyle name="Currency 2 3 2" xfId="3629" xr:uid="{00000000-0005-0000-0000-0000570B0000}"/>
    <cellStyle name="Currency 2 3 2 2" xfId="4361" xr:uid="{00000000-0005-0000-0000-0000580B0000}"/>
    <cellStyle name="Currency 2 3 2 3" xfId="5578" xr:uid="{00000000-0005-0000-0000-0000590B0000}"/>
    <cellStyle name="Currency 2 3 3" xfId="3358" xr:uid="{00000000-0005-0000-0000-00005A0B0000}"/>
    <cellStyle name="Currency 2 3 4" xfId="4360" xr:uid="{00000000-0005-0000-0000-00005B0B0000}"/>
    <cellStyle name="Currency 2 3 5" xfId="5466" xr:uid="{00000000-0005-0000-0000-00005C0B0000}"/>
    <cellStyle name="Currency 2 4" xfId="2090" xr:uid="{00000000-0005-0000-0000-00005D0B0000}"/>
    <cellStyle name="Currency 2 4 2" xfId="3630" xr:uid="{00000000-0005-0000-0000-00005E0B0000}"/>
    <cellStyle name="Currency 2 4 2 2" xfId="4363" xr:uid="{00000000-0005-0000-0000-00005F0B0000}"/>
    <cellStyle name="Currency 2 4 3" xfId="3424" xr:uid="{00000000-0005-0000-0000-0000600B0000}"/>
    <cellStyle name="Currency 2 4 4" xfId="4362" xr:uid="{00000000-0005-0000-0000-0000610B0000}"/>
    <cellStyle name="Currency 2 4 5" xfId="5579" xr:uid="{00000000-0005-0000-0000-0000620B0000}"/>
    <cellStyle name="Currency 2 5" xfId="2091" xr:uid="{00000000-0005-0000-0000-0000630B0000}"/>
    <cellStyle name="Currency 2 5 2" xfId="4364" xr:uid="{00000000-0005-0000-0000-0000640B0000}"/>
    <cellStyle name="Currency 2 5 3" xfId="5030" xr:uid="{00000000-0005-0000-0000-0000650B0000}"/>
    <cellStyle name="Currency 2 6" xfId="3356" xr:uid="{00000000-0005-0000-0000-0000660B0000}"/>
    <cellStyle name="Currency 2 6 2" xfId="4365" xr:uid="{00000000-0005-0000-0000-0000670B0000}"/>
    <cellStyle name="Currency 2 6 3" xfId="5094" xr:uid="{00000000-0005-0000-0000-0000680B0000}"/>
    <cellStyle name="Currency 2 7" xfId="4366" xr:uid="{00000000-0005-0000-0000-0000690B0000}"/>
    <cellStyle name="Currency 2 8" xfId="4367" xr:uid="{00000000-0005-0000-0000-00006A0B0000}"/>
    <cellStyle name="Currency 2 9" xfId="4368" xr:uid="{00000000-0005-0000-0000-00006B0B0000}"/>
    <cellStyle name="Currency 2_111_Washington_9-14-10_loan_size_base_on_$55_rents_$40MMland_-_new_model_10am - changes v1" xfId="2092" xr:uid="{00000000-0005-0000-0000-00006C0B0000}"/>
    <cellStyle name="Currency 20" xfId="2982" xr:uid="{00000000-0005-0000-0000-00006D0B0000}"/>
    <cellStyle name="Currency 20 2" xfId="5527" xr:uid="{00000000-0005-0000-0000-00006E0B0000}"/>
    <cellStyle name="Currency 21" xfId="2986" xr:uid="{00000000-0005-0000-0000-00006F0B0000}"/>
    <cellStyle name="Currency 21 2" xfId="5568" xr:uid="{00000000-0005-0000-0000-0000700B0000}"/>
    <cellStyle name="Currency 22" xfId="2995" xr:uid="{00000000-0005-0000-0000-0000710B0000}"/>
    <cellStyle name="Currency 22 2" xfId="5571" xr:uid="{00000000-0005-0000-0000-0000720B0000}"/>
    <cellStyle name="Currency 23" xfId="242" xr:uid="{00000000-0005-0000-0000-0000730B0000}"/>
    <cellStyle name="Currency 23 2" xfId="5573" xr:uid="{00000000-0005-0000-0000-0000740B0000}"/>
    <cellStyle name="Currency 24" xfId="3060" xr:uid="{00000000-0005-0000-0000-0000750B0000}"/>
    <cellStyle name="Currency 24 2" xfId="5344" xr:uid="{00000000-0005-0000-0000-0000760B0000}"/>
    <cellStyle name="Currency 25" xfId="3069" xr:uid="{00000000-0005-0000-0000-0000770B0000}"/>
    <cellStyle name="Currency 25 2" xfId="5791" xr:uid="{00000000-0005-0000-0000-0000780B0000}"/>
    <cellStyle name="Currency 26" xfId="3077" xr:uid="{00000000-0005-0000-0000-0000790B0000}"/>
    <cellStyle name="Currency 27" xfId="3354" xr:uid="{00000000-0005-0000-0000-00007A0B0000}"/>
    <cellStyle name="Currency 28" xfId="3708" xr:uid="{00000000-0005-0000-0000-00007B0B0000}"/>
    <cellStyle name="Currency 29" xfId="3774" xr:uid="{00000000-0005-0000-0000-00007C0B0000}"/>
    <cellStyle name="Currency 3" xfId="21" xr:uid="{00000000-0005-0000-0000-00007D0B0000}"/>
    <cellStyle name="Currency 3 10" xfId="4844" xr:uid="{00000000-0005-0000-0000-00007E0B0000}"/>
    <cellStyle name="Currency 3 11" xfId="4940" xr:uid="{00000000-0005-0000-0000-00007F0B0000}"/>
    <cellStyle name="Currency 3 2" xfId="57" xr:uid="{00000000-0005-0000-0000-0000800B0000}"/>
    <cellStyle name="Currency 3 2 2" xfId="3012" xr:uid="{00000000-0005-0000-0000-0000810B0000}"/>
    <cellStyle name="Currency 3 2 2 2" xfId="4370" xr:uid="{00000000-0005-0000-0000-0000820B0000}"/>
    <cellStyle name="Currency 3 2 2 3" xfId="5582" xr:uid="{00000000-0005-0000-0000-0000830B0000}"/>
    <cellStyle name="Currency 3 2 3" xfId="2094" xr:uid="{00000000-0005-0000-0000-0000840B0000}"/>
    <cellStyle name="Currency 3 2 4" xfId="3567" xr:uid="{00000000-0005-0000-0000-0000850B0000}"/>
    <cellStyle name="Currency 3 2 5" xfId="3425" xr:uid="{00000000-0005-0000-0000-0000860B0000}"/>
    <cellStyle name="Currency 3 2 6" xfId="4369" xr:uid="{00000000-0005-0000-0000-0000870B0000}"/>
    <cellStyle name="Currency 3 2 7" xfId="5428" xr:uid="{00000000-0005-0000-0000-0000880B0000}"/>
    <cellStyle name="Currency 3 3" xfId="129" xr:uid="{00000000-0005-0000-0000-0000890B0000}"/>
    <cellStyle name="Currency 3 3 2" xfId="3046" xr:uid="{00000000-0005-0000-0000-00008A0B0000}"/>
    <cellStyle name="Currency 3 3 2 2" xfId="4372" xr:uid="{00000000-0005-0000-0000-00008B0B0000}"/>
    <cellStyle name="Currency 3 3 3" xfId="2093" xr:uid="{00000000-0005-0000-0000-00008C0B0000}"/>
    <cellStyle name="Currency 3 3 4" xfId="3596" xr:uid="{00000000-0005-0000-0000-00008D0B0000}"/>
    <cellStyle name="Currency 3 3 5" xfId="3536" xr:uid="{00000000-0005-0000-0000-00008E0B0000}"/>
    <cellStyle name="Currency 3 3 6" xfId="4371" xr:uid="{00000000-0005-0000-0000-00008F0B0000}"/>
    <cellStyle name="Currency 3 3 7" xfId="5565" xr:uid="{00000000-0005-0000-0000-0000900B0000}"/>
    <cellStyle name="Currency 3 4" xfId="4373" xr:uid="{00000000-0005-0000-0000-0000910B0000}"/>
    <cellStyle name="Currency 3 5" xfId="4374" xr:uid="{00000000-0005-0000-0000-0000920B0000}"/>
    <cellStyle name="Currency 3 6" xfId="4375" xr:uid="{00000000-0005-0000-0000-0000930B0000}"/>
    <cellStyle name="Currency 3 7" xfId="4376" xr:uid="{00000000-0005-0000-0000-0000940B0000}"/>
    <cellStyle name="Currency 3 8" xfId="4377" xr:uid="{00000000-0005-0000-0000-0000950B0000}"/>
    <cellStyle name="Currency 3 9" xfId="4378" xr:uid="{00000000-0005-0000-0000-0000960B0000}"/>
    <cellStyle name="Currency 30" xfId="3778" xr:uid="{00000000-0005-0000-0000-0000970B0000}"/>
    <cellStyle name="Currency 31" xfId="3780" xr:uid="{00000000-0005-0000-0000-0000980B0000}"/>
    <cellStyle name="Currency 32" xfId="3831" xr:uid="{00000000-0005-0000-0000-0000990B0000}"/>
    <cellStyle name="Currency 33" xfId="3849" xr:uid="{00000000-0005-0000-0000-00009A0B0000}"/>
    <cellStyle name="Currency 34" xfId="3873" xr:uid="{00000000-0005-0000-0000-00009B0B0000}"/>
    <cellStyle name="Currency 35" xfId="3105" xr:uid="{00000000-0005-0000-0000-00009C0B0000}"/>
    <cellStyle name="Currency 36" xfId="3316" xr:uid="{00000000-0005-0000-0000-00009D0B0000}"/>
    <cellStyle name="Currency 37" xfId="3917" xr:uid="{00000000-0005-0000-0000-00009E0B0000}"/>
    <cellStyle name="Currency 38" xfId="184" xr:uid="{00000000-0005-0000-0000-00009F0B0000}"/>
    <cellStyle name="Currency 39" xfId="4875" xr:uid="{00000000-0005-0000-0000-0000A00B0000}"/>
    <cellStyle name="Currency 4" xfId="58" xr:uid="{00000000-0005-0000-0000-0000A10B0000}"/>
    <cellStyle name="Currency 4 10" xfId="4380" xr:uid="{00000000-0005-0000-0000-0000A20B0000}"/>
    <cellStyle name="Currency 4 11" xfId="4381" xr:uid="{00000000-0005-0000-0000-0000A30B0000}"/>
    <cellStyle name="Currency 4 11 2" xfId="4382" xr:uid="{00000000-0005-0000-0000-0000A40B0000}"/>
    <cellStyle name="Currency 4 11 3" xfId="4383" xr:uid="{00000000-0005-0000-0000-0000A50B0000}"/>
    <cellStyle name="Currency 4 12" xfId="4379" xr:uid="{00000000-0005-0000-0000-0000A60B0000}"/>
    <cellStyle name="Currency 4 13" xfId="5258" xr:uid="{00000000-0005-0000-0000-0000A70B0000}"/>
    <cellStyle name="Currency 4 14" xfId="5283" xr:uid="{00000000-0005-0000-0000-0000A80B0000}"/>
    <cellStyle name="Currency 4 15" xfId="5313" xr:uid="{00000000-0005-0000-0000-0000A90B0000}"/>
    <cellStyle name="Currency 4 16" xfId="5562" xr:uid="{00000000-0005-0000-0000-0000AA0B0000}"/>
    <cellStyle name="Currency 4 2" xfId="2096" xr:uid="{00000000-0005-0000-0000-0000AB0B0000}"/>
    <cellStyle name="Currency 4 2 2" xfId="4385" xr:uid="{00000000-0005-0000-0000-0000AC0B0000}"/>
    <cellStyle name="Currency 4 2 2 2" xfId="4386" xr:uid="{00000000-0005-0000-0000-0000AD0B0000}"/>
    <cellStyle name="Currency 4 2 3" xfId="4387" xr:uid="{00000000-0005-0000-0000-0000AE0B0000}"/>
    <cellStyle name="Currency 4 2 4" xfId="4384" xr:uid="{00000000-0005-0000-0000-0000AF0B0000}"/>
    <cellStyle name="Currency 4 2 5" xfId="5583" xr:uid="{00000000-0005-0000-0000-0000B00B0000}"/>
    <cellStyle name="Currency 4 3" xfId="3013" xr:uid="{00000000-0005-0000-0000-0000B10B0000}"/>
    <cellStyle name="Currency 4 3 2" xfId="4388" xr:uid="{00000000-0005-0000-0000-0000B20B0000}"/>
    <cellStyle name="Currency 4 4" xfId="2095" xr:uid="{00000000-0005-0000-0000-0000B30B0000}"/>
    <cellStyle name="Currency 4 4 2" xfId="4389" xr:uid="{00000000-0005-0000-0000-0000B40B0000}"/>
    <cellStyle name="Currency 4 5" xfId="3568" xr:uid="{00000000-0005-0000-0000-0000B50B0000}"/>
    <cellStyle name="Currency 4 5 2" xfId="4390" xr:uid="{00000000-0005-0000-0000-0000B60B0000}"/>
    <cellStyle name="Currency 4 6" xfId="3359" xr:uid="{00000000-0005-0000-0000-0000B70B0000}"/>
    <cellStyle name="Currency 4 6 2" xfId="4391" xr:uid="{00000000-0005-0000-0000-0000B80B0000}"/>
    <cellStyle name="Currency 4 7" xfId="4392" xr:uid="{00000000-0005-0000-0000-0000B90B0000}"/>
    <cellStyle name="Currency 4 8" xfId="4393" xr:uid="{00000000-0005-0000-0000-0000BA0B0000}"/>
    <cellStyle name="Currency 4 9" xfId="4394" xr:uid="{00000000-0005-0000-0000-0000BB0B0000}"/>
    <cellStyle name="Currency 4 9 2" xfId="4395" xr:uid="{00000000-0005-0000-0000-0000BC0B0000}"/>
    <cellStyle name="Currency 4 9 3" xfId="4396" xr:uid="{00000000-0005-0000-0000-0000BD0B0000}"/>
    <cellStyle name="Currency 40" xfId="4883" xr:uid="{00000000-0005-0000-0000-0000BE0B0000}"/>
    <cellStyle name="Currency 41" xfId="4888" xr:uid="{00000000-0005-0000-0000-0000BF0B0000}"/>
    <cellStyle name="Currency 42" xfId="4912" xr:uid="{00000000-0005-0000-0000-0000C00B0000}"/>
    <cellStyle name="Currency 43" xfId="4938" xr:uid="{00000000-0005-0000-0000-0000C10B0000}"/>
    <cellStyle name="Currency 44" xfId="4951" xr:uid="{00000000-0005-0000-0000-0000C20B0000}"/>
    <cellStyle name="Currency 45" xfId="4957" xr:uid="{00000000-0005-0000-0000-0000C30B0000}"/>
    <cellStyle name="Currency 46" xfId="4952" xr:uid="{00000000-0005-0000-0000-0000C40B0000}"/>
    <cellStyle name="Currency 47" xfId="4966" xr:uid="{00000000-0005-0000-0000-0000C50B0000}"/>
    <cellStyle name="Currency 48" xfId="4989" xr:uid="{00000000-0005-0000-0000-0000C60B0000}"/>
    <cellStyle name="Currency 49" xfId="4991" xr:uid="{00000000-0005-0000-0000-0000C70B0000}"/>
    <cellStyle name="Currency 5" xfId="99" xr:uid="{00000000-0005-0000-0000-0000C80B0000}"/>
    <cellStyle name="Currency 5 2" xfId="3031" xr:uid="{00000000-0005-0000-0000-0000C90B0000}"/>
    <cellStyle name="Currency 5 2 2" xfId="3726" xr:uid="{00000000-0005-0000-0000-0000CA0B0000}"/>
    <cellStyle name="Currency 5 2 2 2" xfId="5585" xr:uid="{00000000-0005-0000-0000-0000CB0B0000}"/>
    <cellStyle name="Currency 5 2 3" xfId="3540" xr:uid="{00000000-0005-0000-0000-0000CC0B0000}"/>
    <cellStyle name="Currency 5 2 4" xfId="4397" xr:uid="{00000000-0005-0000-0000-0000CD0B0000}"/>
    <cellStyle name="Currency 5 2 5" xfId="5581" xr:uid="{00000000-0005-0000-0000-0000CE0B0000}"/>
    <cellStyle name="Currency 5 3" xfId="2097" xr:uid="{00000000-0005-0000-0000-0000CF0B0000}"/>
    <cellStyle name="Currency 5 3 2" xfId="5587" xr:uid="{00000000-0005-0000-0000-0000D00B0000}"/>
    <cellStyle name="Currency 5 4" xfId="3584" xr:uid="{00000000-0005-0000-0000-0000D10B0000}"/>
    <cellStyle name="Currency 5 5" xfId="3360" xr:uid="{00000000-0005-0000-0000-0000D20B0000}"/>
    <cellStyle name="Currency 5 6" xfId="5426" xr:uid="{00000000-0005-0000-0000-0000D30B0000}"/>
    <cellStyle name="Currency 50" xfId="4997" xr:uid="{00000000-0005-0000-0000-0000D40B0000}"/>
    <cellStyle name="Currency 51" xfId="5000" xr:uid="{00000000-0005-0000-0000-0000D50B0000}"/>
    <cellStyle name="Currency 52" xfId="5102" xr:uid="{00000000-0005-0000-0000-0000D60B0000}"/>
    <cellStyle name="Currency 53" xfId="5187" xr:uid="{00000000-0005-0000-0000-0000D70B0000}"/>
    <cellStyle name="Currency 54" xfId="5151" xr:uid="{00000000-0005-0000-0000-0000D80B0000}"/>
    <cellStyle name="Currency 55" xfId="5186" xr:uid="{00000000-0005-0000-0000-0000D90B0000}"/>
    <cellStyle name="Currency 56" xfId="5231" xr:uid="{00000000-0005-0000-0000-0000DA0B0000}"/>
    <cellStyle name="Currency 57" xfId="5233" xr:uid="{00000000-0005-0000-0000-0000DB0B0000}"/>
    <cellStyle name="Currency 58" xfId="5260" xr:uid="{00000000-0005-0000-0000-0000DC0B0000}"/>
    <cellStyle name="Currency 59" xfId="5286" xr:uid="{00000000-0005-0000-0000-0000DD0B0000}"/>
    <cellStyle name="Currency 6" xfId="109" xr:uid="{00000000-0005-0000-0000-0000DE0B0000}"/>
    <cellStyle name="Currency 6 2" xfId="116" xr:uid="{00000000-0005-0000-0000-0000DF0B0000}"/>
    <cellStyle name="Currency 6 3" xfId="3034" xr:uid="{00000000-0005-0000-0000-0000E00B0000}"/>
    <cellStyle name="Currency 6 4" xfId="2098" xr:uid="{00000000-0005-0000-0000-0000E10B0000}"/>
    <cellStyle name="Currency 6 5" xfId="3586" xr:uid="{00000000-0005-0000-0000-0000E20B0000}"/>
    <cellStyle name="Currency 6 6" xfId="3361" xr:uid="{00000000-0005-0000-0000-0000E30B0000}"/>
    <cellStyle name="Currency 60" xfId="5287" xr:uid="{00000000-0005-0000-0000-0000E40B0000}"/>
    <cellStyle name="Currency 61" xfId="14" xr:uid="{00000000-0005-0000-0000-0000E50B0000}"/>
    <cellStyle name="Currency 62" xfId="5316" xr:uid="{00000000-0005-0000-0000-0000E60B0000}"/>
    <cellStyle name="Currency 63" xfId="5320" xr:uid="{00000000-0005-0000-0000-0000E70B0000}"/>
    <cellStyle name="Currency 64" xfId="5326" xr:uid="{00000000-0005-0000-0000-0000E80B0000}"/>
    <cellStyle name="Currency 65" xfId="5776" xr:uid="{00000000-0005-0000-0000-0000E90B0000}"/>
    <cellStyle name="Currency 66" xfId="5838" xr:uid="{00000000-0005-0000-0000-0000EA0B0000}"/>
    <cellStyle name="Currency 67" xfId="5845" xr:uid="{00000000-0005-0000-0000-0000EB0B0000}"/>
    <cellStyle name="Currency 7" xfId="140" xr:uid="{00000000-0005-0000-0000-0000EC0B0000}"/>
    <cellStyle name="Currency 7 2" xfId="3541" xr:uid="{00000000-0005-0000-0000-0000ED0B0000}"/>
    <cellStyle name="Currency 7 2 2" xfId="4398" xr:uid="{00000000-0005-0000-0000-0000EE0B0000}"/>
    <cellStyle name="Currency 7 3" xfId="3602" xr:uid="{00000000-0005-0000-0000-0000EF0B0000}"/>
    <cellStyle name="Currency 7 4" xfId="3362" xr:uid="{00000000-0005-0000-0000-0000F00B0000}"/>
    <cellStyle name="Currency 8" xfId="163" xr:uid="{00000000-0005-0000-0000-0000F10B0000}"/>
    <cellStyle name="Currency 8 2" xfId="3631" xr:uid="{00000000-0005-0000-0000-0000F20B0000}"/>
    <cellStyle name="Currency 8 3" xfId="3363" xr:uid="{00000000-0005-0000-0000-0000F30B0000}"/>
    <cellStyle name="Currency 9" xfId="2099" xr:uid="{00000000-0005-0000-0000-0000F40B0000}"/>
    <cellStyle name="Currency 9 2" xfId="3542" xr:uid="{00000000-0005-0000-0000-0000F50B0000}"/>
    <cellStyle name="Currency 9 2 2" xfId="5589" xr:uid="{00000000-0005-0000-0000-0000F60B0000}"/>
    <cellStyle name="Currency 9 3" xfId="3632" xr:uid="{00000000-0005-0000-0000-0000F70B0000}"/>
    <cellStyle name="Currency 9 4" xfId="3364" xr:uid="{00000000-0005-0000-0000-0000F80B0000}"/>
    <cellStyle name="Currency 9 5" xfId="5588" xr:uid="{00000000-0005-0000-0000-0000F90B0000}"/>
    <cellStyle name="Currency0" xfId="59" xr:uid="{00000000-0005-0000-0000-0000FA0B0000}"/>
    <cellStyle name="Currency0 10" xfId="4399" xr:uid="{00000000-0005-0000-0000-0000FB0B0000}"/>
    <cellStyle name="Currency0 2" xfId="3014" xr:uid="{00000000-0005-0000-0000-0000FC0B0000}"/>
    <cellStyle name="Currency0 2 2" xfId="4400" xr:uid="{00000000-0005-0000-0000-0000FD0B0000}"/>
    <cellStyle name="Currency0 3" xfId="2100" xr:uid="{00000000-0005-0000-0000-0000FE0B0000}"/>
    <cellStyle name="Currency0 3 2" xfId="4401" xr:uid="{00000000-0005-0000-0000-0000FF0B0000}"/>
    <cellStyle name="Currency0 4" xfId="4402" xr:uid="{00000000-0005-0000-0000-0000000C0000}"/>
    <cellStyle name="Currency0 5" xfId="4403" xr:uid="{00000000-0005-0000-0000-0000010C0000}"/>
    <cellStyle name="Currency0 6" xfId="4404" xr:uid="{00000000-0005-0000-0000-0000020C0000}"/>
    <cellStyle name="Currency0 7" xfId="4405" xr:uid="{00000000-0005-0000-0000-0000030C0000}"/>
    <cellStyle name="Currency0 8" xfId="4406" xr:uid="{00000000-0005-0000-0000-0000040C0000}"/>
    <cellStyle name="Currency0 9" xfId="4407" xr:uid="{00000000-0005-0000-0000-0000050C0000}"/>
    <cellStyle name="Currency1" xfId="2101" xr:uid="{00000000-0005-0000-0000-0000060C0000}"/>
    <cellStyle name="CurrencyTotTop[" xfId="2102" xr:uid="{00000000-0005-0000-0000-0000070C0000}"/>
    <cellStyle name="Cŵrrency ś0]" xfId="2103" xr:uid="{00000000-0005-0000-0000-0000080C0000}"/>
    <cellStyle name="Dash" xfId="2104" xr:uid="{00000000-0005-0000-0000-0000090C0000}"/>
    <cellStyle name="Dash 2" xfId="5430" xr:uid="{00000000-0005-0000-0000-00000A0C0000}"/>
    <cellStyle name="Date" xfId="60" xr:uid="{00000000-0005-0000-0000-00000B0C0000}"/>
    <cellStyle name="Date - Style2" xfId="5592" xr:uid="{00000000-0005-0000-0000-00000C0C0000}"/>
    <cellStyle name="Date [mm-d-yyyy]" xfId="5413" xr:uid="{00000000-0005-0000-0000-00000D0C0000}"/>
    <cellStyle name="Date [mm-d-yyyy] 2" xfId="6443" xr:uid="{42A60185-063D-4AB8-8116-2E0420855FA5}"/>
    <cellStyle name="DATE 10" xfId="2106" xr:uid="{00000000-0005-0000-0000-00000E0C0000}"/>
    <cellStyle name="Date 11" xfId="3015" xr:uid="{00000000-0005-0000-0000-00000F0C0000}"/>
    <cellStyle name="Date 12" xfId="2105" xr:uid="{00000000-0005-0000-0000-0000100C0000}"/>
    <cellStyle name="Date 13" xfId="4408" xr:uid="{00000000-0005-0000-0000-0000110C0000}"/>
    <cellStyle name="date 14" xfId="5590" xr:uid="{00000000-0005-0000-0000-0000120C0000}"/>
    <cellStyle name="date 15" xfId="5798" xr:uid="{00000000-0005-0000-0000-0000130C0000}"/>
    <cellStyle name="Date 2" xfId="2107" xr:uid="{00000000-0005-0000-0000-0000140C0000}"/>
    <cellStyle name="Date 2 2" xfId="2108" xr:uid="{00000000-0005-0000-0000-0000150C0000}"/>
    <cellStyle name="Date 2 2 2" xfId="4410" xr:uid="{00000000-0005-0000-0000-0000160C0000}"/>
    <cellStyle name="Date 2 3" xfId="4411" xr:uid="{00000000-0005-0000-0000-0000170C0000}"/>
    <cellStyle name="Date 2 4" xfId="4409" xr:uid="{00000000-0005-0000-0000-0000180C0000}"/>
    <cellStyle name="Date 3" xfId="2109" xr:uid="{00000000-0005-0000-0000-0000190C0000}"/>
    <cellStyle name="Date 3 2" xfId="2110" xr:uid="{00000000-0005-0000-0000-00001A0C0000}"/>
    <cellStyle name="Date 3 2 2" xfId="4413" xr:uid="{00000000-0005-0000-0000-00001B0C0000}"/>
    <cellStyle name="Date 3 3" xfId="4414" xr:uid="{00000000-0005-0000-0000-00001C0C0000}"/>
    <cellStyle name="Date 3 4" xfId="4412" xr:uid="{00000000-0005-0000-0000-00001D0C0000}"/>
    <cellStyle name="DATE 4" xfId="2111" xr:uid="{00000000-0005-0000-0000-00001E0C0000}"/>
    <cellStyle name="Date 4 2" xfId="4416" xr:uid="{00000000-0005-0000-0000-00001F0C0000}"/>
    <cellStyle name="Date 4 3" xfId="4417" xr:uid="{00000000-0005-0000-0000-0000200C0000}"/>
    <cellStyle name="Date 4 4" xfId="4415" xr:uid="{00000000-0005-0000-0000-0000210C0000}"/>
    <cellStyle name="DATE 5" xfId="2112" xr:uid="{00000000-0005-0000-0000-0000220C0000}"/>
    <cellStyle name="Date 5 2" xfId="4419" xr:uid="{00000000-0005-0000-0000-0000230C0000}"/>
    <cellStyle name="Date 5 3" xfId="4420" xr:uid="{00000000-0005-0000-0000-0000240C0000}"/>
    <cellStyle name="Date 5 4" xfId="4418" xr:uid="{00000000-0005-0000-0000-0000250C0000}"/>
    <cellStyle name="DATE 6" xfId="2113" xr:uid="{00000000-0005-0000-0000-0000260C0000}"/>
    <cellStyle name="Date 6 2" xfId="4421" xr:uid="{00000000-0005-0000-0000-0000270C0000}"/>
    <cellStyle name="DATE 7" xfId="2114" xr:uid="{00000000-0005-0000-0000-0000280C0000}"/>
    <cellStyle name="Date 7 2" xfId="4422" xr:uid="{00000000-0005-0000-0000-0000290C0000}"/>
    <cellStyle name="DATE 8" xfId="2115" xr:uid="{00000000-0005-0000-0000-00002A0C0000}"/>
    <cellStyle name="Date 8 2" xfId="4423" xr:uid="{00000000-0005-0000-0000-00002B0C0000}"/>
    <cellStyle name="DATE 9" xfId="2116" xr:uid="{00000000-0005-0000-0000-00002C0C0000}"/>
    <cellStyle name="Date 9 2" xfId="4424" xr:uid="{00000000-0005-0000-0000-00002D0C0000}"/>
    <cellStyle name="Date Aligned" xfId="2117" xr:uid="{00000000-0005-0000-0000-00002E0C0000}"/>
    <cellStyle name="date month-year" xfId="2118" xr:uid="{00000000-0005-0000-0000-00002F0C0000}"/>
    <cellStyle name="Date Short" xfId="2119" xr:uid="{00000000-0005-0000-0000-0000300C0000}"/>
    <cellStyle name="Date_0. Portfolio Consolidated" xfId="5594" xr:uid="{00000000-0005-0000-0000-0000310C0000}"/>
    <cellStyle name="Date1" xfId="2120" xr:uid="{00000000-0005-0000-0000-0000320C0000}"/>
    <cellStyle name="Dates" xfId="5497" xr:uid="{00000000-0005-0000-0000-0000330C0000}"/>
    <cellStyle name="DateYear" xfId="5595" xr:uid="{00000000-0005-0000-0000-0000340C0000}"/>
    <cellStyle name="DblLineDollarAcct" xfId="5596" xr:uid="{00000000-0005-0000-0000-0000350C0000}"/>
    <cellStyle name="DblLinePercent" xfId="5597" xr:uid="{00000000-0005-0000-0000-0000360C0000}"/>
    <cellStyle name="decimal 0" xfId="2121" xr:uid="{00000000-0005-0000-0000-0000370C0000}"/>
    <cellStyle name="decimal 1" xfId="2122" xr:uid="{00000000-0005-0000-0000-0000380C0000}"/>
    <cellStyle name="decimal 2" xfId="2123" xr:uid="{00000000-0005-0000-0000-0000390C0000}"/>
    <cellStyle name="Dev Fee" xfId="2124" xr:uid="{00000000-0005-0000-0000-00003A0C0000}"/>
    <cellStyle name="Dev Fee 2" xfId="3877" xr:uid="{00000000-0005-0000-0000-00003B0C0000}"/>
    <cellStyle name="Dev Fee 2 2" xfId="6173" xr:uid="{7B6DDCF1-2D31-42E7-AC3E-7CE920259E85}"/>
    <cellStyle name="Dev Fee 3" xfId="5902" xr:uid="{806A1245-268E-4724-AC99-D5872DD32A39}"/>
    <cellStyle name="DEV PTR" xfId="2125" xr:uid="{00000000-0005-0000-0000-00003C0C0000}"/>
    <cellStyle name="DEV PTR 2" xfId="3269" xr:uid="{00000000-0005-0000-0000-00003D0C0000}"/>
    <cellStyle name="DEV PTR 3" xfId="5903" xr:uid="{F43116B7-F023-41C8-9BF4-49ECFCBF4DBC}"/>
    <cellStyle name="Dex Doub Line" xfId="2126" xr:uid="{00000000-0005-0000-0000-00003E0C0000}"/>
    <cellStyle name="Dex Doub Line 2" xfId="3633" xr:uid="{00000000-0005-0000-0000-00003F0C0000}"/>
    <cellStyle name="Dex Doub Line 2 2" xfId="3940" xr:uid="{00000000-0005-0000-0000-0000400C0000}"/>
    <cellStyle name="Dex Doub Line 2 2 2" xfId="6200" xr:uid="{67082A74-8B7B-4CE2-B7F7-FDF14C467B7D}"/>
    <cellStyle name="Dex Doub Line 2 3" xfId="6094" xr:uid="{5AD76798-F15F-4D4F-B92B-431E9807F622}"/>
    <cellStyle name="Dex Doub Line 3" xfId="3270" xr:uid="{00000000-0005-0000-0000-0000410C0000}"/>
    <cellStyle name="Dex Doub Line 3 2" xfId="6028" xr:uid="{D003E6DD-4C00-4A58-883B-389F16A7F8D3}"/>
    <cellStyle name="Dex Doub Line 4" xfId="3149" xr:uid="{00000000-0005-0000-0000-0000420C0000}"/>
    <cellStyle name="Dex Doub Line 4 2" xfId="6011" xr:uid="{852FC423-39A8-4BEE-AC4B-644DF634E67F}"/>
    <cellStyle name="Dex Doub Line 5" xfId="5904" xr:uid="{FB31C954-40CB-49EF-BDCD-65AEAACBFEBF}"/>
    <cellStyle name="Dezimal [0]_Compiling Utility Macros" xfId="102" xr:uid="{00000000-0005-0000-0000-0000430C0000}"/>
    <cellStyle name="Dezimal_Compiling Utility Macros" xfId="103" xr:uid="{00000000-0005-0000-0000-0000440C0000}"/>
    <cellStyle name="Dia" xfId="5600" xr:uid="{00000000-0005-0000-0000-0000450C0000}"/>
    <cellStyle name="Dollar" xfId="5602" xr:uid="{00000000-0005-0000-0000-0000460C0000}"/>
    <cellStyle name="Dollar1" xfId="2127" xr:uid="{00000000-0005-0000-0000-0000470C0000}"/>
    <cellStyle name="Dollar1Blue" xfId="2128" xr:uid="{00000000-0005-0000-0000-0000480C0000}"/>
    <cellStyle name="Dollar2" xfId="2129" xr:uid="{00000000-0005-0000-0000-0000490C0000}"/>
    <cellStyle name="DollarAccounting" xfId="5603" xr:uid="{00000000-0005-0000-0000-00004A0C0000}"/>
    <cellStyle name="Dollars/sqft" xfId="2130" xr:uid="{00000000-0005-0000-0000-00004B0C0000}"/>
    <cellStyle name="DollarWhole" xfId="5604" xr:uid="{00000000-0005-0000-0000-00004C0C0000}"/>
    <cellStyle name="dotted" xfId="2131" xr:uid="{00000000-0005-0000-0000-00004D0C0000}"/>
    <cellStyle name="dotted 2" xfId="3634" xr:uid="{00000000-0005-0000-0000-00004E0C0000}"/>
    <cellStyle name="dotted 2 2" xfId="6095" xr:uid="{DE3EEC97-4EBA-4858-9165-2FC6CFF34D1C}"/>
    <cellStyle name="dotted 3" xfId="3792" xr:uid="{00000000-0005-0000-0000-00004F0C0000}"/>
    <cellStyle name="dotted 3 2" xfId="6155" xr:uid="{8FA92BE9-4ADE-4FB9-9AE9-A3995A405AB7}"/>
    <cellStyle name="dotted 4" xfId="3271" xr:uid="{00000000-0005-0000-0000-0000500C0000}"/>
    <cellStyle name="dotted 4 2" xfId="6029" xr:uid="{05E6890F-BA68-4E5A-9615-57BCE5061054}"/>
    <cellStyle name="dotted 5" xfId="5905" xr:uid="{72FF2110-95B0-4DBE-9F66-D05BEAA3FAB1}"/>
    <cellStyle name="Dotted Line" xfId="2132" xr:uid="{00000000-0005-0000-0000-0000510C0000}"/>
    <cellStyle name="Double Accounting" xfId="2133" xr:uid="{00000000-0005-0000-0000-0000520C0000}"/>
    <cellStyle name="Double Accounting 2" xfId="4425" xr:uid="{00000000-0005-0000-0000-0000530C0000}"/>
    <cellStyle name="DownLoad" xfId="2134" xr:uid="{00000000-0005-0000-0000-0000540C0000}"/>
    <cellStyle name="dp*Accent" xfId="2135" xr:uid="{00000000-0005-0000-0000-0000550C0000}"/>
    <cellStyle name="dp*ChartSubTitle" xfId="2136" xr:uid="{00000000-0005-0000-0000-0000560C0000}"/>
    <cellStyle name="dp*ChartTitle" xfId="2137" xr:uid="{00000000-0005-0000-0000-0000570C0000}"/>
    <cellStyle name="dp*ColumnHeading1" xfId="2138" xr:uid="{00000000-0005-0000-0000-0000580C0000}"/>
    <cellStyle name="dp*ColumnHeading1 2" xfId="3272" xr:uid="{00000000-0005-0000-0000-0000590C0000}"/>
    <cellStyle name="dp*ColumnHeading2" xfId="2139" xr:uid="{00000000-0005-0000-0000-00005A0C0000}"/>
    <cellStyle name="dp*ColumnHeadingDate" xfId="2140" xr:uid="{00000000-0005-0000-0000-00005B0C0000}"/>
    <cellStyle name="dp*FiscalDate" xfId="2141" xr:uid="{00000000-0005-0000-0000-00005C0C0000}"/>
    <cellStyle name="dp*Footnote" xfId="2142" xr:uid="{00000000-0005-0000-0000-00005D0C0000}"/>
    <cellStyle name="dp*Information" xfId="2143" xr:uid="{00000000-0005-0000-0000-00005E0C0000}"/>
    <cellStyle name="dp*LabelItalics" xfId="2144" xr:uid="{00000000-0005-0000-0000-00005F0C0000}"/>
    <cellStyle name="dp*LabelItalicsLineAbove" xfId="2145" xr:uid="{00000000-0005-0000-0000-0000600C0000}"/>
    <cellStyle name="dp*LabelLine" xfId="2146" xr:uid="{00000000-0005-0000-0000-0000610C0000}"/>
    <cellStyle name="dp*Labels" xfId="2147" xr:uid="{00000000-0005-0000-0000-0000620C0000}"/>
    <cellStyle name="dp*Normal" xfId="2148" xr:uid="{00000000-0005-0000-0000-0000630C0000}"/>
    <cellStyle name="dp*NormalCurrency1Dec." xfId="2149" xr:uid="{00000000-0005-0000-0000-0000640C0000}"/>
    <cellStyle name="dp*NormalCurrency2Dec." xfId="2150" xr:uid="{00000000-0005-0000-0000-0000650C0000}"/>
    <cellStyle name="dp*Number%Italics" xfId="2151" xr:uid="{00000000-0005-0000-0000-0000660C0000}"/>
    <cellStyle name="dp*Number%ItalicsLineAbove" xfId="2152" xr:uid="{00000000-0005-0000-0000-0000670C0000}"/>
    <cellStyle name="dp*Number%ItalicsLineAbove 2" xfId="3635" xr:uid="{00000000-0005-0000-0000-0000680C0000}"/>
    <cellStyle name="dp*Number%ItalicsLineAbove 2 2" xfId="6096" xr:uid="{4BE4A56B-B6D8-4607-9947-4007661921C0}"/>
    <cellStyle name="dp*Number%ItalicsLineAbove 3" xfId="3793" xr:uid="{00000000-0005-0000-0000-0000690C0000}"/>
    <cellStyle name="dp*Number%ItalicsLineAbove 3 2" xfId="3981" xr:uid="{00000000-0005-0000-0000-00006A0C0000}"/>
    <cellStyle name="dp*Number%ItalicsLineAbove 3 2 2" xfId="6241" xr:uid="{9196C482-233A-4B11-8C56-3426A3903063}"/>
    <cellStyle name="dp*Number%ItalicsLineAbove 3 3" xfId="6156" xr:uid="{2D03F94B-FC26-4680-97BF-676C202A28A9}"/>
    <cellStyle name="dp*Number%ItalicsLineAbove 4" xfId="5906" xr:uid="{F9B4DD16-CB94-4376-B9AF-C19AA9F18915}"/>
    <cellStyle name="dp*NumberCurrencyLine" xfId="2153" xr:uid="{00000000-0005-0000-0000-00006B0C0000}"/>
    <cellStyle name="dp*NumberGeneral" xfId="2154" xr:uid="{00000000-0005-0000-0000-00006C0C0000}"/>
    <cellStyle name="dp*NumberGeneral2Dec." xfId="2155" xr:uid="{00000000-0005-0000-0000-00006D0C0000}"/>
    <cellStyle name="dp*NumberLine" xfId="2156" xr:uid="{00000000-0005-0000-0000-00006E0C0000}"/>
    <cellStyle name="dp*NumberLine 2" xfId="3636" xr:uid="{00000000-0005-0000-0000-00006F0C0000}"/>
    <cellStyle name="dp*NumberLine 2 2" xfId="6097" xr:uid="{4EF64621-4671-47FA-97A1-6033A1D7EB15}"/>
    <cellStyle name="dp*NumberLine 3" xfId="3794" xr:uid="{00000000-0005-0000-0000-0000700C0000}"/>
    <cellStyle name="dp*NumberLine 3 2" xfId="6157" xr:uid="{F8776AB3-C863-4524-B583-35807606214E}"/>
    <cellStyle name="dp*NumberLine 4" xfId="3273" xr:uid="{00000000-0005-0000-0000-0000710C0000}"/>
    <cellStyle name="dp*NumberLine 4 2" xfId="6030" xr:uid="{94C7045D-4109-4E09-8CDF-F5E60785E6D2}"/>
    <cellStyle name="dp*NumberLine 5" xfId="5907" xr:uid="{196A572D-9E74-4A9F-B7EA-062DDE8210A6}"/>
    <cellStyle name="dp*NumberLineEPS" xfId="2157" xr:uid="{00000000-0005-0000-0000-0000720C0000}"/>
    <cellStyle name="dp*NumberLineEPS 2" xfId="3637" xr:uid="{00000000-0005-0000-0000-0000730C0000}"/>
    <cellStyle name="dp*NumberLineEPS 2 2" xfId="6098" xr:uid="{FAA2EBD2-9127-4D6E-AD41-8B985380EEB0}"/>
    <cellStyle name="dp*NumberLineEPS 3" xfId="3795" xr:uid="{00000000-0005-0000-0000-0000740C0000}"/>
    <cellStyle name="dp*NumberLineEPS 3 2" xfId="6158" xr:uid="{AD7C6BCE-94C2-46E3-8749-E2866B71D34E}"/>
    <cellStyle name="dp*NumberLineEPS 4" xfId="3274" xr:uid="{00000000-0005-0000-0000-0000750C0000}"/>
    <cellStyle name="dp*NumberLineEPS 4 2" xfId="6031" xr:uid="{F6F55A7B-2C3A-44C3-BB87-8AA8E9461DEF}"/>
    <cellStyle name="dp*NumberLineEPS 5" xfId="5908" xr:uid="{3E8B5BF3-8E98-4C21-B323-E461CB98BF1D}"/>
    <cellStyle name="dp*NumberSpecial" xfId="2158" xr:uid="{00000000-0005-0000-0000-0000760C0000}"/>
    <cellStyle name="dp*RatioX" xfId="2159" xr:uid="{00000000-0005-0000-0000-0000770C0000}"/>
    <cellStyle name="dp*SeriesName" xfId="2160" xr:uid="{00000000-0005-0000-0000-0000780C0000}"/>
    <cellStyle name="dp*SheetSubTitle" xfId="2161" xr:uid="{00000000-0005-0000-0000-0000790C0000}"/>
    <cellStyle name="dp*SheetSubTitle 2" xfId="3638" xr:uid="{00000000-0005-0000-0000-00007A0C0000}"/>
    <cellStyle name="dp*SheetSubTitle 2 2" xfId="6099" xr:uid="{A51B3863-8E77-494B-9827-ADBEEF2B2C68}"/>
    <cellStyle name="dp*SheetSubTitle 3" xfId="3796" xr:uid="{00000000-0005-0000-0000-00007B0C0000}"/>
    <cellStyle name="dp*SheetSubTitle 3 2" xfId="6159" xr:uid="{1C652A0D-631C-412F-9579-9FD770B4B06A}"/>
    <cellStyle name="dp*SheetSubTitle 4" xfId="3275" xr:uid="{00000000-0005-0000-0000-00007C0C0000}"/>
    <cellStyle name="dp*SheetSubTitle 4 2" xfId="6032" xr:uid="{EC33D3EA-E6D2-4E1B-A0A9-9E1772282390}"/>
    <cellStyle name="dp*SheetSubTitle 5" xfId="5909" xr:uid="{752045AC-BB74-48C3-A66C-7E122862FC32}"/>
    <cellStyle name="dp*SheetTitle" xfId="2162" xr:uid="{00000000-0005-0000-0000-00007D0C0000}"/>
    <cellStyle name="dp*SubTitle" xfId="2163" xr:uid="{00000000-0005-0000-0000-00007E0C0000}"/>
    <cellStyle name="dp*SubTitle 2" xfId="5910" xr:uid="{84B146F9-2012-4444-814C-D32A1E640221}"/>
    <cellStyle name="dp*ThickLineAbove" xfId="2164" xr:uid="{00000000-0005-0000-0000-00007F0C0000}"/>
    <cellStyle name="dp*ThickLineBelow" xfId="2165" xr:uid="{00000000-0005-0000-0000-0000800C0000}"/>
    <cellStyle name="dp*ThinLineAbove" xfId="2166" xr:uid="{00000000-0005-0000-0000-0000810C0000}"/>
    <cellStyle name="dp*ThinLineAbove 2" xfId="3639" xr:uid="{00000000-0005-0000-0000-0000820C0000}"/>
    <cellStyle name="dp*ThinLineAbove 2 2" xfId="6100" xr:uid="{49F3B215-85A7-40CE-946C-2CCA1249589F}"/>
    <cellStyle name="dp*ThinLineAbove 3" xfId="3797" xr:uid="{00000000-0005-0000-0000-0000830C0000}"/>
    <cellStyle name="dp*ThinLineAbove 3 2" xfId="3982" xr:uid="{00000000-0005-0000-0000-0000840C0000}"/>
    <cellStyle name="dp*ThinLineAbove 3 2 2" xfId="6242" xr:uid="{69CD977B-7069-4709-9F5B-7C77DE3A861F}"/>
    <cellStyle name="dp*ThinLineAbove 3 3" xfId="6160" xr:uid="{95C52A08-21A1-468C-8056-53D116A600D2}"/>
    <cellStyle name="dp*ThinLineAbove 4" xfId="5911" xr:uid="{9D549CE2-A0CA-4F18-8D65-BF2259EC92A4}"/>
    <cellStyle name="dp*ThinLineBelow" xfId="2167" xr:uid="{00000000-0005-0000-0000-0000850C0000}"/>
    <cellStyle name="dp*ThinLineBelow 2" xfId="5912" xr:uid="{D2FA3ABB-AFB9-425A-A4F3-52C45D706EA8}"/>
    <cellStyle name="dp*XAxisTitle" xfId="2168" xr:uid="{00000000-0005-0000-0000-0000860C0000}"/>
    <cellStyle name="dp*Y2AxisTitle" xfId="2169" xr:uid="{00000000-0005-0000-0000-0000870C0000}"/>
    <cellStyle name="dp*YAxisTitle" xfId="2170" xr:uid="{00000000-0005-0000-0000-0000880C0000}"/>
    <cellStyle name="Driver" xfId="2171" xr:uid="{00000000-0005-0000-0000-0000890C0000}"/>
    <cellStyle name="Driver 2" xfId="5457" xr:uid="{00000000-0005-0000-0000-00008A0C0000}"/>
    <cellStyle name="Driver Lable" xfId="5605" xr:uid="{00000000-0005-0000-0000-00008B0C0000}"/>
    <cellStyle name="Driver_4Q01 Tower Comps (4-3-02)" xfId="5488" xr:uid="{00000000-0005-0000-0000-00008C0C0000}"/>
    <cellStyle name="drop down" xfId="61" xr:uid="{00000000-0005-0000-0000-00008D0C0000}"/>
    <cellStyle name="DSYSPROJ" xfId="2172" xr:uid="{00000000-0005-0000-0000-00008E0C0000}"/>
    <cellStyle name="Dziesietny [0]_Arkusz1" xfId="2173" xr:uid="{00000000-0005-0000-0000-00008F0C0000}"/>
    <cellStyle name="Dziesietny_Arkusz1" xfId="2174" xr:uid="{00000000-0005-0000-0000-0000900C0000}"/>
    <cellStyle name="Encabez1" xfId="5606" xr:uid="{00000000-0005-0000-0000-0000910C0000}"/>
    <cellStyle name="Encabez2" xfId="5608" xr:uid="{00000000-0005-0000-0000-0000920C0000}"/>
    <cellStyle name="Enter Currency (0)" xfId="2175" xr:uid="{00000000-0005-0000-0000-0000930C0000}"/>
    <cellStyle name="Enter Currency (0) 2" xfId="2176" xr:uid="{00000000-0005-0000-0000-0000940C0000}"/>
    <cellStyle name="Enter Currency (2)" xfId="2177" xr:uid="{00000000-0005-0000-0000-0000950C0000}"/>
    <cellStyle name="Enter Currency (2) 2" xfId="2178" xr:uid="{00000000-0005-0000-0000-0000960C0000}"/>
    <cellStyle name="Enter Units (0)" xfId="2179" xr:uid="{00000000-0005-0000-0000-0000970C0000}"/>
    <cellStyle name="Enter Units (0) 2" xfId="2180" xr:uid="{00000000-0005-0000-0000-0000980C0000}"/>
    <cellStyle name="Enter Units (1)" xfId="2181" xr:uid="{00000000-0005-0000-0000-0000990C0000}"/>
    <cellStyle name="Enter Units (1) 2" xfId="2182" xr:uid="{00000000-0005-0000-0000-00009A0C0000}"/>
    <cellStyle name="Enter Units (2)" xfId="2183" xr:uid="{00000000-0005-0000-0000-00009B0C0000}"/>
    <cellStyle name="Enter Units (2) 2" xfId="2184" xr:uid="{00000000-0005-0000-0000-00009C0C0000}"/>
    <cellStyle name="Entered" xfId="2185" xr:uid="{00000000-0005-0000-0000-00009D0C0000}"/>
    <cellStyle name="EQUITY" xfId="2186" xr:uid="{00000000-0005-0000-0000-00009E0C0000}"/>
    <cellStyle name="Euro" xfId="62" xr:uid="{00000000-0005-0000-0000-00009F0C0000}"/>
    <cellStyle name="Euro 2" xfId="130" xr:uid="{00000000-0005-0000-0000-0000A00C0000}"/>
    <cellStyle name="Euro 2 2" xfId="5611" xr:uid="{00000000-0005-0000-0000-0000A10C0000}"/>
    <cellStyle name="Euro 3" xfId="5610" xr:uid="{00000000-0005-0000-0000-0000A20C0000}"/>
    <cellStyle name="EvenBodyShade" xfId="2187" xr:uid="{00000000-0005-0000-0000-0000A30C0000}"/>
    <cellStyle name="EXHIBITION HALL" xfId="2188" xr:uid="{00000000-0005-0000-0000-0000A40C0000}"/>
    <cellStyle name="EXHIBITION HALL 2" xfId="2189" xr:uid="{00000000-0005-0000-0000-0000A50C0000}"/>
    <cellStyle name="existing con in m" xfId="2190" xr:uid="{00000000-0005-0000-0000-0000A60C0000}"/>
    <cellStyle name="EXISTING CONF" xfId="2191" xr:uid="{00000000-0005-0000-0000-0000A70C0000}"/>
    <cellStyle name="Explanatory Text 2" xfId="2193" xr:uid="{00000000-0005-0000-0000-0000A80C0000}"/>
    <cellStyle name="Explanatory Text 3" xfId="2194" xr:uid="{00000000-0005-0000-0000-0000A90C0000}"/>
    <cellStyle name="Explanatory Text 4" xfId="2195" xr:uid="{00000000-0005-0000-0000-0000AA0C0000}"/>
    <cellStyle name="Explanatory Text 5" xfId="2196" xr:uid="{00000000-0005-0000-0000-0000AB0C0000}"/>
    <cellStyle name="Explanatory Text 6" xfId="2192" xr:uid="{00000000-0005-0000-0000-0000AC0C0000}"/>
    <cellStyle name="EY House" xfId="2197" xr:uid="{00000000-0005-0000-0000-0000AD0C0000}"/>
    <cellStyle name="F&amp;B" xfId="2198" xr:uid="{00000000-0005-0000-0000-0000AE0C0000}"/>
    <cellStyle name="F&amp;B 2" xfId="2199" xr:uid="{00000000-0005-0000-0000-0000AF0C0000}"/>
    <cellStyle name="F2" xfId="2200" xr:uid="{00000000-0005-0000-0000-0000B00C0000}"/>
    <cellStyle name="F2 2" xfId="5375" xr:uid="{00000000-0005-0000-0000-0000B10C0000}"/>
    <cellStyle name="F3" xfId="2201" xr:uid="{00000000-0005-0000-0000-0000B20C0000}"/>
    <cellStyle name="F3 2" xfId="5377" xr:uid="{00000000-0005-0000-0000-0000B30C0000}"/>
    <cellStyle name="F4" xfId="2202" xr:uid="{00000000-0005-0000-0000-0000B40C0000}"/>
    <cellStyle name="F4 2" xfId="5599" xr:uid="{00000000-0005-0000-0000-0000B50C0000}"/>
    <cellStyle name="F5" xfId="2203" xr:uid="{00000000-0005-0000-0000-0000B60C0000}"/>
    <cellStyle name="F5 2" xfId="5400" xr:uid="{00000000-0005-0000-0000-0000B70C0000}"/>
    <cellStyle name="F6" xfId="2204" xr:uid="{00000000-0005-0000-0000-0000B80C0000}"/>
    <cellStyle name="F6 2" xfId="5612" xr:uid="{00000000-0005-0000-0000-0000B90C0000}"/>
    <cellStyle name="F7" xfId="2205" xr:uid="{00000000-0005-0000-0000-0000BA0C0000}"/>
    <cellStyle name="F7 2" xfId="5454" xr:uid="{00000000-0005-0000-0000-0000BB0C0000}"/>
    <cellStyle name="F8" xfId="2206" xr:uid="{00000000-0005-0000-0000-0000BC0C0000}"/>
    <cellStyle name="F8 2" xfId="5613" xr:uid="{00000000-0005-0000-0000-0000BD0C0000}"/>
    <cellStyle name="Fijo" xfId="5614" xr:uid="{00000000-0005-0000-0000-0000BE0C0000}"/>
    <cellStyle name="FIN PTR" xfId="2207" xr:uid="{00000000-0005-0000-0000-0000BF0C0000}"/>
    <cellStyle name="Financiero" xfId="5477" xr:uid="{00000000-0005-0000-0000-0000C00C0000}"/>
    <cellStyle name="Fixed" xfId="63" xr:uid="{00000000-0005-0000-0000-0000C10C0000}"/>
    <cellStyle name="Fixed 10" xfId="4426" xr:uid="{00000000-0005-0000-0000-0000C20C0000}"/>
    <cellStyle name="Fixed 11" xfId="5615" xr:uid="{00000000-0005-0000-0000-0000C30C0000}"/>
    <cellStyle name="Fixed 2" xfId="3016" xr:uid="{00000000-0005-0000-0000-0000C40C0000}"/>
    <cellStyle name="Fixed 2 2" xfId="4427" xr:uid="{00000000-0005-0000-0000-0000C50C0000}"/>
    <cellStyle name="Fixed 2 3" xfId="5598" xr:uid="{00000000-0005-0000-0000-0000C60C0000}"/>
    <cellStyle name="Fixed 3" xfId="2208" xr:uid="{00000000-0005-0000-0000-0000C70C0000}"/>
    <cellStyle name="Fixed 3 2" xfId="4428" xr:uid="{00000000-0005-0000-0000-0000C80C0000}"/>
    <cellStyle name="Fixed 4" xfId="4429" xr:uid="{00000000-0005-0000-0000-0000C90C0000}"/>
    <cellStyle name="Fixed 5" xfId="4430" xr:uid="{00000000-0005-0000-0000-0000CA0C0000}"/>
    <cellStyle name="Fixed 6" xfId="4431" xr:uid="{00000000-0005-0000-0000-0000CB0C0000}"/>
    <cellStyle name="Fixed 7" xfId="4432" xr:uid="{00000000-0005-0000-0000-0000CC0C0000}"/>
    <cellStyle name="Fixed 8" xfId="4433" xr:uid="{00000000-0005-0000-0000-0000CD0C0000}"/>
    <cellStyle name="Fixed 9" xfId="4434" xr:uid="{00000000-0005-0000-0000-0000CE0C0000}"/>
    <cellStyle name="Fixed3 - Style3" xfId="5584" xr:uid="{00000000-0005-0000-0000-0000CF0C0000}"/>
    <cellStyle name="Fixed4 - Style4" xfId="2209" xr:uid="{00000000-0005-0000-0000-0000D00C0000}"/>
    <cellStyle name="Footnote" xfId="2210" xr:uid="{00000000-0005-0000-0000-0000D10C0000}"/>
    <cellStyle name="Footnote 2" xfId="5607" xr:uid="{00000000-0005-0000-0000-0000D20C0000}"/>
    <cellStyle name="Footnote 3" xfId="5799" xr:uid="{00000000-0005-0000-0000-0000D30C0000}"/>
    <cellStyle name="Footnote 3 2" xfId="6505" xr:uid="{931AD2AC-1C38-424D-8523-2E22401E5EB6}"/>
    <cellStyle name="FORMULA" xfId="2211" xr:uid="{00000000-0005-0000-0000-0000D40C0000}"/>
    <cellStyle name="FORMULA 2" xfId="5591" xr:uid="{00000000-0005-0000-0000-0000D50C0000}"/>
    <cellStyle name="funky" xfId="64" xr:uid="{00000000-0005-0000-0000-0000D60C0000}"/>
    <cellStyle name="funky 2" xfId="5450" xr:uid="{00000000-0005-0000-0000-0000D70C0000}"/>
    <cellStyle name="General" xfId="5616" xr:uid="{00000000-0005-0000-0000-0000D80C0000}"/>
    <cellStyle name="GerBOM1" xfId="2212" xr:uid="{00000000-0005-0000-0000-0000D90C0000}"/>
    <cellStyle name="Good 2" xfId="2214" xr:uid="{00000000-0005-0000-0000-0000DA0C0000}"/>
    <cellStyle name="Good 3" xfId="2215" xr:uid="{00000000-0005-0000-0000-0000DB0C0000}"/>
    <cellStyle name="Good 4" xfId="2216" xr:uid="{00000000-0005-0000-0000-0000DC0C0000}"/>
    <cellStyle name="Good 5" xfId="2217" xr:uid="{00000000-0005-0000-0000-0000DD0C0000}"/>
    <cellStyle name="Good 6" xfId="2213" xr:uid="{00000000-0005-0000-0000-0000DE0C0000}"/>
    <cellStyle name="GP" xfId="2218" xr:uid="{00000000-0005-0000-0000-0000DF0C0000}"/>
    <cellStyle name="GP 2" xfId="5913" xr:uid="{9BA570A5-F147-45AF-8CE3-FA231C6FC6DF}"/>
    <cellStyle name="Grey" xfId="65" xr:uid="{00000000-0005-0000-0000-0000E00C0000}"/>
    <cellStyle name="Grey 2" xfId="5618" xr:uid="{00000000-0005-0000-0000-0000E10C0000}"/>
    <cellStyle name="Grey 3" xfId="5463" xr:uid="{00000000-0005-0000-0000-0000E20C0000}"/>
    <cellStyle name="GrowthRate" xfId="5491" xr:uid="{00000000-0005-0000-0000-0000E30C0000}"/>
    <cellStyle name="Hard Percent" xfId="2219" xr:uid="{00000000-0005-0000-0000-0000E40C0000}"/>
    <cellStyle name="Head 1" xfId="2220" xr:uid="{00000000-0005-0000-0000-0000E50C0000}"/>
    <cellStyle name="head1" xfId="2221" xr:uid="{00000000-0005-0000-0000-0000E60C0000}"/>
    <cellStyle name="head1 2" xfId="5338" xr:uid="{00000000-0005-0000-0000-0000E70C0000}"/>
    <cellStyle name="head1 2 2" xfId="6440" xr:uid="{85E4D8CB-1C6D-4C59-A82B-96CEBA9202AC}"/>
    <cellStyle name="head2" xfId="2222" xr:uid="{00000000-0005-0000-0000-0000E80C0000}"/>
    <cellStyle name="head2 2" xfId="5619" xr:uid="{00000000-0005-0000-0000-0000E90C0000}"/>
    <cellStyle name="head2 2 2" xfId="6455" xr:uid="{3DC06CEA-1962-4F52-B73C-9E04BFAF3B21}"/>
    <cellStyle name="Header" xfId="66" xr:uid="{00000000-0005-0000-0000-0000EA0C0000}"/>
    <cellStyle name="Header 1" xfId="67" xr:uid="{00000000-0005-0000-0000-0000EB0C0000}"/>
    <cellStyle name="Header 1 2" xfId="3613" xr:uid="{00000000-0005-0000-0000-0000EC0C0000}"/>
    <cellStyle name="Header 1 3" xfId="3109" xr:uid="{00000000-0005-0000-0000-0000ED0C0000}"/>
    <cellStyle name="Header 1 4" xfId="3314" xr:uid="{00000000-0005-0000-0000-0000EE0C0000}"/>
    <cellStyle name="Header 2" xfId="68" xr:uid="{00000000-0005-0000-0000-0000EF0C0000}"/>
    <cellStyle name="Header 3" xfId="3017" xr:uid="{00000000-0005-0000-0000-0000F00C0000}"/>
    <cellStyle name="header 4" xfId="2223" xr:uid="{00000000-0005-0000-0000-0000F10C0000}"/>
    <cellStyle name="header 4 2" xfId="3878" xr:uid="{00000000-0005-0000-0000-0000F20C0000}"/>
    <cellStyle name="header 4 2 2" xfId="6174" xr:uid="{D662384C-4533-4393-8598-7167A48216CA}"/>
    <cellStyle name="header 4 3" xfId="5914" xr:uid="{F6C7D9A9-0726-4DD3-AFBD-4BC8979F9AA1}"/>
    <cellStyle name="HEADER 5" xfId="4435" xr:uid="{00000000-0005-0000-0000-0000F30C0000}"/>
    <cellStyle name="Header Total" xfId="2224" xr:uid="{00000000-0005-0000-0000-0000F40C0000}"/>
    <cellStyle name="header_88 Richardson 80-20 1-31-12 Invest Memo" xfId="2225" xr:uid="{00000000-0005-0000-0000-0000F50C0000}"/>
    <cellStyle name="Header1" xfId="69" xr:uid="{00000000-0005-0000-0000-0000F60C0000}"/>
    <cellStyle name="Header1 2" xfId="3018" xr:uid="{00000000-0005-0000-0000-0000F70C0000}"/>
    <cellStyle name="Header1 2 2" xfId="5622" xr:uid="{00000000-0005-0000-0000-0000F80C0000}"/>
    <cellStyle name="Header1 3" xfId="2226" xr:uid="{00000000-0005-0000-0000-0000F90C0000}"/>
    <cellStyle name="Header1 3 2" xfId="3766" xr:uid="{00000000-0005-0000-0000-0000FA0C0000}"/>
    <cellStyle name="Header1 3 3" xfId="3276" xr:uid="{00000000-0005-0000-0000-0000FB0C0000}"/>
    <cellStyle name="Header1 3 4" xfId="3148" xr:uid="{00000000-0005-0000-0000-0000FC0C0000}"/>
    <cellStyle name="Header1 3 5" xfId="5404" xr:uid="{00000000-0005-0000-0000-0000FD0C0000}"/>
    <cellStyle name="Header1 4" xfId="5621" xr:uid="{00000000-0005-0000-0000-0000FE0C0000}"/>
    <cellStyle name="Header2" xfId="70" xr:uid="{00000000-0005-0000-0000-0000FF0C0000}"/>
    <cellStyle name="Header2 2" xfId="3019" xr:uid="{00000000-0005-0000-0000-0000000D0000}"/>
    <cellStyle name="Header2 2 2" xfId="3722" xr:uid="{00000000-0005-0000-0000-0000010D0000}"/>
    <cellStyle name="Header2 2 2 2" xfId="3970" xr:uid="{00000000-0005-0000-0000-0000020D0000}"/>
    <cellStyle name="Header2 2 2 2 2" xfId="6230" xr:uid="{DFBC0992-179C-4BAF-98BA-F836154DCAD2}"/>
    <cellStyle name="Header2 2 2 3" xfId="6139" xr:uid="{1DE959E4-7C70-42EC-B525-80AC0A7414F9}"/>
    <cellStyle name="Header2 2 3" xfId="5624" xr:uid="{00000000-0005-0000-0000-0000030D0000}"/>
    <cellStyle name="Header2 2 3 2" xfId="6457" xr:uid="{45BCC491-6FC4-4B94-A8FD-0777EF94808D}"/>
    <cellStyle name="Header2 2 4" xfId="5974" xr:uid="{8508D509-2174-4830-B56E-D4D1CA23371E}"/>
    <cellStyle name="Header2 3" xfId="2227" xr:uid="{00000000-0005-0000-0000-0000040D0000}"/>
    <cellStyle name="Header2 3 2" xfId="5625" xr:uid="{00000000-0005-0000-0000-0000050D0000}"/>
    <cellStyle name="Header2 3 2 2" xfId="6458" xr:uid="{FC9A850E-E6B6-4B4B-A35C-F656185846CB}"/>
    <cellStyle name="Header2 4" xfId="3067" xr:uid="{00000000-0005-0000-0000-0000060D0000}"/>
    <cellStyle name="Header2 4 2" xfId="3739" xr:uid="{00000000-0005-0000-0000-0000070D0000}"/>
    <cellStyle name="Header2 4 2 2" xfId="3974" xr:uid="{00000000-0005-0000-0000-0000080D0000}"/>
    <cellStyle name="Header2 4 2 2 2" xfId="6234" xr:uid="{6F5FCCD5-E390-438B-B2EF-CC8E9224516C}"/>
    <cellStyle name="Header2 4 2 3" xfId="6143" xr:uid="{FAB45111-A6D0-49F2-A978-B55FF04B4589}"/>
    <cellStyle name="Header2 4 3" xfId="3328" xr:uid="{00000000-0005-0000-0000-0000090D0000}"/>
    <cellStyle name="Header2 4 3 2" xfId="6063" xr:uid="{F597E059-02B1-4A69-934A-3D62A041E392}"/>
    <cellStyle name="Header2 4 4" xfId="5979" xr:uid="{DD40B862-F89C-49A1-A34F-5993AC614A87}"/>
    <cellStyle name="Header2 5" xfId="3097" xr:uid="{00000000-0005-0000-0000-00000A0D0000}"/>
    <cellStyle name="Header2 5 2" xfId="3756" xr:uid="{00000000-0005-0000-0000-00000B0D0000}"/>
    <cellStyle name="Header2 5 2 2" xfId="3977" xr:uid="{00000000-0005-0000-0000-00000C0D0000}"/>
    <cellStyle name="Header2 5 2 2 2" xfId="6237" xr:uid="{77781576-0A35-4408-B106-846AB671D1A9}"/>
    <cellStyle name="Header2 5 2 3" xfId="6147" xr:uid="{423A1030-FEAD-451D-8E23-05792CA3D51E}"/>
    <cellStyle name="Header2 5 3" xfId="3346" xr:uid="{00000000-0005-0000-0000-00000D0D0000}"/>
    <cellStyle name="Header2 5 3 2" xfId="6068" xr:uid="{B799504C-493A-445A-B6B2-37AAA28567A9}"/>
    <cellStyle name="Header2 5 4" xfId="5985" xr:uid="{F65ED005-43C1-4DE7-9150-F776C2989736}"/>
    <cellStyle name="Header2 6" xfId="3569" xr:uid="{00000000-0005-0000-0000-00000E0D0000}"/>
    <cellStyle name="Header2 6 2" xfId="3930" xr:uid="{00000000-0005-0000-0000-00000F0D0000}"/>
    <cellStyle name="Header2 6 2 2" xfId="6190" xr:uid="{300DDE6D-FE1D-448E-9D30-8F2FFDF041FC}"/>
    <cellStyle name="Header2 6 3" xfId="6081" xr:uid="{CFAE2219-4F69-4700-B7DE-5BCC3C4571F3}"/>
    <cellStyle name="Header2 7" xfId="216" xr:uid="{00000000-0005-0000-0000-0000100D0000}"/>
    <cellStyle name="Header2 7 2" xfId="5857" xr:uid="{C26E5344-87C2-4287-9A24-9E6FC1FFE614}"/>
    <cellStyle name="Header2 8" xfId="5623" xr:uid="{00000000-0005-0000-0000-0000110D0000}"/>
    <cellStyle name="Header2 8 2" xfId="6456" xr:uid="{A784929A-6C01-4DB9-B8EA-0EE6E1E7E972}"/>
    <cellStyle name="Header2 9" xfId="5852" xr:uid="{17E7662F-3A88-45A4-8F9C-ED735C18064C}"/>
    <cellStyle name="Header3" xfId="2228" xr:uid="{00000000-0005-0000-0000-0000120D0000}"/>
    <cellStyle name="Header3 2" xfId="3767" xr:uid="{00000000-0005-0000-0000-0000130D0000}"/>
    <cellStyle name="Header3 3" xfId="3277" xr:uid="{00000000-0005-0000-0000-0000140D0000}"/>
    <cellStyle name="Header3 4" xfId="3147" xr:uid="{00000000-0005-0000-0000-0000150D0000}"/>
    <cellStyle name="Header4" xfId="2229" xr:uid="{00000000-0005-0000-0000-0000160D0000}"/>
    <cellStyle name="Heading" xfId="2230" xr:uid="{00000000-0005-0000-0000-0000170D0000}"/>
    <cellStyle name="Heading 1 2" xfId="2232" xr:uid="{00000000-0005-0000-0000-0000180D0000}"/>
    <cellStyle name="Heading 1 2 2" xfId="3427" xr:uid="{00000000-0005-0000-0000-0000190D0000}"/>
    <cellStyle name="Heading 1 2 3" xfId="3640" xr:uid="{00000000-0005-0000-0000-00001A0D0000}"/>
    <cellStyle name="Heading 1 2 4" xfId="3426" xr:uid="{00000000-0005-0000-0000-00001B0D0000}"/>
    <cellStyle name="Heading 1 3" xfId="2233" xr:uid="{00000000-0005-0000-0000-00001C0D0000}"/>
    <cellStyle name="Heading 1 3 2" xfId="5032" xr:uid="{00000000-0005-0000-0000-00001D0D0000}"/>
    <cellStyle name="Heading 1 4" xfId="2234" xr:uid="{00000000-0005-0000-0000-00001E0D0000}"/>
    <cellStyle name="Heading 1 5" xfId="2235" xr:uid="{00000000-0005-0000-0000-00001F0D0000}"/>
    <cellStyle name="Heading 1 6" xfId="2231" xr:uid="{00000000-0005-0000-0000-0000200D0000}"/>
    <cellStyle name="Heading 2 2" xfId="2237" xr:uid="{00000000-0005-0000-0000-0000210D0000}"/>
    <cellStyle name="Heading 2 2 2" xfId="3429" xr:uid="{00000000-0005-0000-0000-0000220D0000}"/>
    <cellStyle name="Heading 2 2 3" xfId="3641" xr:uid="{00000000-0005-0000-0000-0000230D0000}"/>
    <cellStyle name="Heading 2 2 4" xfId="3428" xr:uid="{00000000-0005-0000-0000-0000240D0000}"/>
    <cellStyle name="Heading 2 3" xfId="2238" xr:uid="{00000000-0005-0000-0000-0000250D0000}"/>
    <cellStyle name="Heading 2 3 2" xfId="5033" xr:uid="{00000000-0005-0000-0000-0000260D0000}"/>
    <cellStyle name="Heading 2 4" xfId="2239" xr:uid="{00000000-0005-0000-0000-0000270D0000}"/>
    <cellStyle name="Heading 2 5" xfId="2240" xr:uid="{00000000-0005-0000-0000-0000280D0000}"/>
    <cellStyle name="Heading 2 6" xfId="2236" xr:uid="{00000000-0005-0000-0000-0000290D0000}"/>
    <cellStyle name="Heading 3 2" xfId="2242" xr:uid="{00000000-0005-0000-0000-00002A0D0000}"/>
    <cellStyle name="Heading 3 2 2" xfId="3431" xr:uid="{00000000-0005-0000-0000-00002B0D0000}"/>
    <cellStyle name="Heading 3 2 2 2" xfId="3925" xr:uid="{00000000-0005-0000-0000-00002C0D0000}"/>
    <cellStyle name="Heading 3 2 3" xfId="3430" xr:uid="{00000000-0005-0000-0000-00002D0D0000}"/>
    <cellStyle name="Heading 3 2 3 2" xfId="3924" xr:uid="{00000000-0005-0000-0000-00002E0D0000}"/>
    <cellStyle name="Heading 3 2 4" xfId="3279" xr:uid="{00000000-0005-0000-0000-00002F0D0000}"/>
    <cellStyle name="Heading 3 3" xfId="2243" xr:uid="{00000000-0005-0000-0000-0000300D0000}"/>
    <cellStyle name="Heading 3 3 2" xfId="3280" xr:uid="{00000000-0005-0000-0000-0000310D0000}"/>
    <cellStyle name="Heading 3 4" xfId="2244" xr:uid="{00000000-0005-0000-0000-0000320D0000}"/>
    <cellStyle name="Heading 3 4 2" xfId="3281" xr:uid="{00000000-0005-0000-0000-0000330D0000}"/>
    <cellStyle name="Heading 3 5" xfId="2245" xr:uid="{00000000-0005-0000-0000-0000340D0000}"/>
    <cellStyle name="Heading 3 5 2" xfId="3282" xr:uid="{00000000-0005-0000-0000-0000350D0000}"/>
    <cellStyle name="Heading 3 6" xfId="2241" xr:uid="{00000000-0005-0000-0000-0000360D0000}"/>
    <cellStyle name="Heading 3 6 2" xfId="3278" xr:uid="{00000000-0005-0000-0000-0000370D0000}"/>
    <cellStyle name="Heading 4 2" xfId="2247" xr:uid="{00000000-0005-0000-0000-0000380D0000}"/>
    <cellStyle name="Heading 4 2 2" xfId="3433" xr:uid="{00000000-0005-0000-0000-0000390D0000}"/>
    <cellStyle name="Heading 4 2 3" xfId="3432" xr:uid="{00000000-0005-0000-0000-00003A0D0000}"/>
    <cellStyle name="Heading 4 3" xfId="2248" xr:uid="{00000000-0005-0000-0000-00003B0D0000}"/>
    <cellStyle name="Heading 4 4" xfId="2249" xr:uid="{00000000-0005-0000-0000-00003C0D0000}"/>
    <cellStyle name="Heading 4 5" xfId="2250" xr:uid="{00000000-0005-0000-0000-00003D0D0000}"/>
    <cellStyle name="Heading 4 6" xfId="2246" xr:uid="{00000000-0005-0000-0000-00003E0D0000}"/>
    <cellStyle name="Heading 5" xfId="5324" xr:uid="{00000000-0005-0000-0000-00003F0D0000}"/>
    <cellStyle name="Heading Left" xfId="2251" xr:uid="{00000000-0005-0000-0000-0000400D0000}"/>
    <cellStyle name="Heading Right" xfId="2252" xr:uid="{00000000-0005-0000-0000-0000410D0000}"/>
    <cellStyle name="Heading1" xfId="71" xr:uid="{00000000-0005-0000-0000-0000420D0000}"/>
    <cellStyle name="Heading1 2" xfId="3612" xr:uid="{00000000-0005-0000-0000-0000430D0000}"/>
    <cellStyle name="Heading1 3" xfId="3570" xr:uid="{00000000-0005-0000-0000-0000440D0000}"/>
    <cellStyle name="Heading1 4" xfId="3110" xr:uid="{00000000-0005-0000-0000-0000450D0000}"/>
    <cellStyle name="Heading1 5" xfId="4436" xr:uid="{00000000-0005-0000-0000-0000460D0000}"/>
    <cellStyle name="Heading2" xfId="72" xr:uid="{00000000-0005-0000-0000-0000470D0000}"/>
    <cellStyle name="Heading2 2" xfId="4437" xr:uid="{00000000-0005-0000-0000-0000480D0000}"/>
    <cellStyle name="Heading3" xfId="73" xr:uid="{00000000-0005-0000-0000-0000490D0000}"/>
    <cellStyle name="HeadingBorderBot" xfId="5464" xr:uid="{00000000-0005-0000-0000-00004A0D0000}"/>
    <cellStyle name="HeadingBorderBot 2" xfId="5533" xr:uid="{00000000-0005-0000-0000-00004B0D0000}"/>
    <cellStyle name="HeadingBorderTop" xfId="5626" xr:uid="{00000000-0005-0000-0000-00004C0D0000}"/>
    <cellStyle name="HeadingS" xfId="2253" xr:uid="{00000000-0005-0000-0000-00004D0D0000}"/>
    <cellStyle name="HEADINGSTOP" xfId="2254" xr:uid="{00000000-0005-0000-0000-00004E0D0000}"/>
    <cellStyle name="Headline" xfId="2255" xr:uid="{00000000-0005-0000-0000-00004F0D0000}"/>
    <cellStyle name="Headline 2" xfId="2256" xr:uid="{00000000-0005-0000-0000-0000500D0000}"/>
    <cellStyle name="Headline 2 2" xfId="2257" xr:uid="{00000000-0005-0000-0000-0000510D0000}"/>
    <cellStyle name="Headline 2 2 2" xfId="3644" xr:uid="{00000000-0005-0000-0000-0000520D0000}"/>
    <cellStyle name="Headline 2 2 2 2" xfId="3943" xr:uid="{00000000-0005-0000-0000-0000530D0000}"/>
    <cellStyle name="Headline 2 2 2 2 2" xfId="6203" xr:uid="{8F2AE394-C287-416C-B11A-927681A62F37}"/>
    <cellStyle name="Headline 2 2 2 3" xfId="6103" xr:uid="{D4A23D33-931A-47CE-B975-14FB0A53DA56}"/>
    <cellStyle name="Headline 2 2 3" xfId="5917" xr:uid="{3AD8C9DF-D4A3-444C-B2D9-517E1596F0F4}"/>
    <cellStyle name="Headline 2 3" xfId="3643" xr:uid="{00000000-0005-0000-0000-0000540D0000}"/>
    <cellStyle name="Headline 2 3 2" xfId="3942" xr:uid="{00000000-0005-0000-0000-0000550D0000}"/>
    <cellStyle name="Headline 2 3 2 2" xfId="6202" xr:uid="{9DCC3872-226A-49B7-8F25-A58F3EEAC676}"/>
    <cellStyle name="Headline 2 3 3" xfId="6102" xr:uid="{BA5C34E4-BF8B-40EB-851B-BD3290B3BBE4}"/>
    <cellStyle name="Headline 2 4" xfId="5916" xr:uid="{DCC401CE-6014-4CEC-AADF-5A9B45B1185E}"/>
    <cellStyle name="Headline 3" xfId="2258" xr:uid="{00000000-0005-0000-0000-0000560D0000}"/>
    <cellStyle name="Headline 3 2" xfId="2259" xr:uid="{00000000-0005-0000-0000-0000570D0000}"/>
    <cellStyle name="Headline 3 2 2" xfId="3646" xr:uid="{00000000-0005-0000-0000-0000580D0000}"/>
    <cellStyle name="Headline 3 2 2 2" xfId="3945" xr:uid="{00000000-0005-0000-0000-0000590D0000}"/>
    <cellStyle name="Headline 3 2 2 2 2" xfId="6205" xr:uid="{60BEEFEC-100A-413D-8B9B-AAA2656A6667}"/>
    <cellStyle name="Headline 3 2 2 3" xfId="6105" xr:uid="{F79065C6-A769-4668-81CD-7AA1351A235E}"/>
    <cellStyle name="Headline 3 2 3" xfId="5919" xr:uid="{375EF674-4091-493F-B741-CF291E949308}"/>
    <cellStyle name="Headline 3 3" xfId="3645" xr:uid="{00000000-0005-0000-0000-00005A0D0000}"/>
    <cellStyle name="Headline 3 3 2" xfId="3944" xr:uid="{00000000-0005-0000-0000-00005B0D0000}"/>
    <cellStyle name="Headline 3 3 2 2" xfId="6204" xr:uid="{7D42ED36-4EF9-4CE2-8B2E-049D2A188961}"/>
    <cellStyle name="Headline 3 3 3" xfId="6104" xr:uid="{6F2445A1-5D5B-49E9-9E1C-42DD6A15A1D0}"/>
    <cellStyle name="Headline 3 4" xfId="5918" xr:uid="{4D7AB9E1-AED0-4090-A67F-DFD8DA9FCB6E}"/>
    <cellStyle name="Headline 4" xfId="3642" xr:uid="{00000000-0005-0000-0000-00005C0D0000}"/>
    <cellStyle name="Headline 4 2" xfId="3941" xr:uid="{00000000-0005-0000-0000-00005D0D0000}"/>
    <cellStyle name="Headline 4 2 2" xfId="6201" xr:uid="{08CD3C81-353D-4302-A410-DCE25DD7A20D}"/>
    <cellStyle name="Headline 4 3" xfId="6101" xr:uid="{C68EDA88-055D-457C-A205-BBD671B0419B}"/>
    <cellStyle name="Headline 5" xfId="5915" xr:uid="{A9C99F0B-7D39-415D-8B73-DB519562C274}"/>
    <cellStyle name="HeadShade" xfId="2260" xr:uid="{00000000-0005-0000-0000-00005E0D0000}"/>
    <cellStyle name="helv narrow 8" xfId="2261" xr:uid="{00000000-0005-0000-0000-00005F0D0000}"/>
    <cellStyle name="HIDE" xfId="2262" xr:uid="{00000000-0005-0000-0000-0000600D0000}"/>
    <cellStyle name="HIDE 2" xfId="5627" xr:uid="{00000000-0005-0000-0000-0000610D0000}"/>
    <cellStyle name="HIGHLIGHT" xfId="4438" xr:uid="{00000000-0005-0000-0000-0000620D0000}"/>
    <cellStyle name="HUD" xfId="4439" xr:uid="{00000000-0005-0000-0000-0000630D0000}"/>
    <cellStyle name="HUD 2" xfId="4440" xr:uid="{00000000-0005-0000-0000-0000640D0000}"/>
    <cellStyle name="HUD 2 2" xfId="6254" xr:uid="{CAFC1B81-812E-44A0-B2BB-ACE42B797EF2}"/>
    <cellStyle name="HUD 3" xfId="6253" xr:uid="{DE548429-D4F4-44C2-9426-4B0BB69FC9FA}"/>
    <cellStyle name="HUD Forms" xfId="4441" xr:uid="{00000000-0005-0000-0000-0000650D0000}"/>
    <cellStyle name="Hyperlink 2" xfId="100" xr:uid="{00000000-0005-0000-0000-0000660D0000}"/>
    <cellStyle name="Hyperlink 2 2" xfId="2264" xr:uid="{00000000-0005-0000-0000-0000670D0000}"/>
    <cellStyle name="Hyperlink 2 2 2" xfId="4442" xr:uid="{00000000-0005-0000-0000-0000680D0000}"/>
    <cellStyle name="Hyperlink 2 3" xfId="3032" xr:uid="{00000000-0005-0000-0000-0000690D0000}"/>
    <cellStyle name="Hyperlink 2 4" xfId="2263" xr:uid="{00000000-0005-0000-0000-00006A0D0000}"/>
    <cellStyle name="Hyperlink 3" xfId="4443" xr:uid="{00000000-0005-0000-0000-00006B0D0000}"/>
    <cellStyle name="in2" xfId="4444" xr:uid="{00000000-0005-0000-0000-00006C0D0000}"/>
    <cellStyle name="in2 10" xfId="4445" xr:uid="{00000000-0005-0000-0000-00006D0D0000}"/>
    <cellStyle name="in2 10 2" xfId="6256" xr:uid="{1B55B423-86DA-4F1D-AA2E-080CD345C57E}"/>
    <cellStyle name="in2 11" xfId="4446" xr:uid="{00000000-0005-0000-0000-00006E0D0000}"/>
    <cellStyle name="in2 11 2" xfId="6257" xr:uid="{AAD8972E-06FA-46F5-A930-D8AEAB7E3FFF}"/>
    <cellStyle name="in2 12" xfId="4447" xr:uid="{00000000-0005-0000-0000-00006F0D0000}"/>
    <cellStyle name="in2 12 2" xfId="6258" xr:uid="{3669667F-2961-4854-B3DA-8204D269C945}"/>
    <cellStyle name="in2 13" xfId="4448" xr:uid="{00000000-0005-0000-0000-0000700D0000}"/>
    <cellStyle name="in2 13 2" xfId="6259" xr:uid="{CEDC2F7B-5597-44AD-95E4-8081A5F7E772}"/>
    <cellStyle name="in2 14" xfId="4449" xr:uid="{00000000-0005-0000-0000-0000710D0000}"/>
    <cellStyle name="in2 14 2" xfId="6260" xr:uid="{4AA33431-D918-445F-B5D1-497A09B23A51}"/>
    <cellStyle name="in2 15" xfId="4450" xr:uid="{00000000-0005-0000-0000-0000720D0000}"/>
    <cellStyle name="in2 15 2" xfId="6261" xr:uid="{D024A1D0-F034-44CC-927C-485283BC8A17}"/>
    <cellStyle name="in2 16" xfId="4451" xr:uid="{00000000-0005-0000-0000-0000730D0000}"/>
    <cellStyle name="in2 16 2" xfId="6262" xr:uid="{86974228-7238-477D-A85F-E1021079E7DF}"/>
    <cellStyle name="in2 17" xfId="4452" xr:uid="{00000000-0005-0000-0000-0000740D0000}"/>
    <cellStyle name="in2 17 2" xfId="6263" xr:uid="{6ACF531E-6362-46E1-B18F-8D1084C6EE77}"/>
    <cellStyle name="in2 18" xfId="4453" xr:uid="{00000000-0005-0000-0000-0000750D0000}"/>
    <cellStyle name="in2 18 2" xfId="6264" xr:uid="{4B755237-DD8E-49ED-A36F-ADE1B53D4F17}"/>
    <cellStyle name="in2 19" xfId="4454" xr:uid="{00000000-0005-0000-0000-0000760D0000}"/>
    <cellStyle name="in2 19 2" xfId="6265" xr:uid="{83629B5F-C526-4E10-9D01-1B76A257C0DE}"/>
    <cellStyle name="in2 2" xfId="4455" xr:uid="{00000000-0005-0000-0000-0000770D0000}"/>
    <cellStyle name="in2 2 2" xfId="4456" xr:uid="{00000000-0005-0000-0000-0000780D0000}"/>
    <cellStyle name="in2 2 2 2" xfId="6267" xr:uid="{4273A289-1B1E-4898-95A6-43BC5D8AE496}"/>
    <cellStyle name="in2 2 3" xfId="6266" xr:uid="{A8BB5AB9-C1E7-4B78-8712-3223E44E38AD}"/>
    <cellStyle name="in2 20" xfId="4457" xr:uid="{00000000-0005-0000-0000-0000790D0000}"/>
    <cellStyle name="in2 20 2" xfId="6268" xr:uid="{1CE6C683-1A31-41EA-BE38-6085C1E57B2B}"/>
    <cellStyle name="in2 21" xfId="4458" xr:uid="{00000000-0005-0000-0000-00007A0D0000}"/>
    <cellStyle name="in2 21 2" xfId="6269" xr:uid="{23145C39-F692-4ADE-B258-B9B9BF5B9802}"/>
    <cellStyle name="in2 22" xfId="4459" xr:uid="{00000000-0005-0000-0000-00007B0D0000}"/>
    <cellStyle name="in2 22 2" xfId="6270" xr:uid="{A70B146A-5EDD-4FC3-8ED2-F3A3EBAE8C57}"/>
    <cellStyle name="in2 23" xfId="4460" xr:uid="{00000000-0005-0000-0000-00007C0D0000}"/>
    <cellStyle name="in2 23 2" xfId="6271" xr:uid="{DFA74441-A99A-473E-967D-47E728AD709C}"/>
    <cellStyle name="in2 24" xfId="4461" xr:uid="{00000000-0005-0000-0000-00007D0D0000}"/>
    <cellStyle name="in2 24 2" xfId="6272" xr:uid="{268DA837-D6F8-4120-81EB-648592B85661}"/>
    <cellStyle name="in2 25" xfId="4462" xr:uid="{00000000-0005-0000-0000-00007E0D0000}"/>
    <cellStyle name="in2 25 2" xfId="6273" xr:uid="{5CE79818-ECEB-414A-B612-D605B82F963E}"/>
    <cellStyle name="in2 26" xfId="4463" xr:uid="{00000000-0005-0000-0000-00007F0D0000}"/>
    <cellStyle name="in2 26 2" xfId="6274" xr:uid="{F44BB08A-9E0D-4258-92C4-1BBEBE38C315}"/>
    <cellStyle name="in2 27" xfId="4464" xr:uid="{00000000-0005-0000-0000-0000800D0000}"/>
    <cellStyle name="in2 27 2" xfId="6275" xr:uid="{F4ED1A33-3CDC-46CF-BA04-F4C7D77E1CE3}"/>
    <cellStyle name="in2 28" xfId="4465" xr:uid="{00000000-0005-0000-0000-0000810D0000}"/>
    <cellStyle name="in2 28 2" xfId="6276" xr:uid="{7DA86EBA-85BA-4CB7-9BA9-B4663EDBD298}"/>
    <cellStyle name="in2 29" xfId="4466" xr:uid="{00000000-0005-0000-0000-0000820D0000}"/>
    <cellStyle name="in2 29 2" xfId="6277" xr:uid="{EA620763-2D20-4047-8710-D831D8F858E7}"/>
    <cellStyle name="in2 3" xfId="4467" xr:uid="{00000000-0005-0000-0000-0000830D0000}"/>
    <cellStyle name="in2 3 2" xfId="6278" xr:uid="{C02A2F5B-32B2-4466-9B99-BCAEB27B90E5}"/>
    <cellStyle name="in2 30" xfId="6255" xr:uid="{29E8E5A6-57DF-4289-9348-EDD9B1422DF6}"/>
    <cellStyle name="in2 4" xfId="4468" xr:uid="{00000000-0005-0000-0000-0000840D0000}"/>
    <cellStyle name="in2 4 2" xfId="6279" xr:uid="{0856430F-2825-4397-835E-C4B43CC5FD24}"/>
    <cellStyle name="in2 5" xfId="4469" xr:uid="{00000000-0005-0000-0000-0000850D0000}"/>
    <cellStyle name="in2 5 2" xfId="6280" xr:uid="{A7A6D4E7-0092-4DE0-BDA4-3802AD16FFDC}"/>
    <cellStyle name="in2 6" xfId="4470" xr:uid="{00000000-0005-0000-0000-0000860D0000}"/>
    <cellStyle name="in2 6 2" xfId="6281" xr:uid="{8E7AF8BE-9F30-4DF8-B745-14063D0E1215}"/>
    <cellStyle name="in2 7" xfId="4471" xr:uid="{00000000-0005-0000-0000-0000870D0000}"/>
    <cellStyle name="in2 7 2" xfId="6282" xr:uid="{C61E5551-84F7-4243-8A8F-42D689972FCE}"/>
    <cellStyle name="in2 8" xfId="4472" xr:uid="{00000000-0005-0000-0000-0000880D0000}"/>
    <cellStyle name="in2 8 2" xfId="6283" xr:uid="{1B46C6F0-2130-453E-9186-57A5543A38D0}"/>
    <cellStyle name="in2 9" xfId="4473" xr:uid="{00000000-0005-0000-0000-0000890D0000}"/>
    <cellStyle name="in2 9 2" xfId="6284" xr:uid="{8B06D8B3-0CA3-44C0-858B-43B182B78ECE}"/>
    <cellStyle name="in2_NOI" xfId="5849" xr:uid="{00000000-0005-0000-0000-00008A0D0000}"/>
    <cellStyle name="IncomeStatement" xfId="5325" xr:uid="{00000000-0005-0000-0000-00008B0D0000}"/>
    <cellStyle name="Input [yellow]" xfId="2266" xr:uid="{00000000-0005-0000-0000-00008C0D0000}"/>
    <cellStyle name="Input [yellow] 2" xfId="3283" xr:uid="{00000000-0005-0000-0000-00008D0D0000}"/>
    <cellStyle name="Input [yellow] 2 2" xfId="5580" xr:uid="{00000000-0005-0000-0000-00008E0D0000}"/>
    <cellStyle name="Input [yellow] 2 2 2" xfId="6453" xr:uid="{D75B0A46-57EB-49CC-B566-94FA68BA8E45}"/>
    <cellStyle name="Input [yellow] 2 3" xfId="5796" xr:uid="{00000000-0005-0000-0000-00008F0D0000}"/>
    <cellStyle name="Input [yellow] 2 3 2" xfId="6503" xr:uid="{2E263ADA-4AF3-44AB-A66B-AAB1E0E92E1D}"/>
    <cellStyle name="Input [yellow] 2 4" xfId="6033" xr:uid="{D67EC469-6A95-4691-A6CC-765666E8127B}"/>
    <cellStyle name="Input [yellow] 3" xfId="3146" xr:uid="{00000000-0005-0000-0000-0000900D0000}"/>
    <cellStyle name="Input [yellow] 3 2" xfId="5586" xr:uid="{00000000-0005-0000-0000-0000910D0000}"/>
    <cellStyle name="Input [yellow] 3 2 2" xfId="6454" xr:uid="{24D9BC59-07F9-4D4B-AFCC-FE8C9D85CA1A}"/>
    <cellStyle name="Input [yellow] 3 3" xfId="5797" xr:uid="{00000000-0005-0000-0000-0000920D0000}"/>
    <cellStyle name="Input [yellow] 3 3 2" xfId="6504" xr:uid="{DA18AB75-5D46-4738-9D21-7663C1C843BF}"/>
    <cellStyle name="Input [yellow] 3 4" xfId="6010" xr:uid="{6802C9AC-CEF5-4880-8FBC-9067FCA603C0}"/>
    <cellStyle name="Input [yellow] 4" xfId="5425" xr:uid="{00000000-0005-0000-0000-0000930D0000}"/>
    <cellStyle name="Input [yellow] 4 2" xfId="6444" xr:uid="{A9C3CC86-0945-4383-8A4E-F4AD984ACABD}"/>
    <cellStyle name="Input [yellow] 5" xfId="5493" xr:uid="{00000000-0005-0000-0000-0000940D0000}"/>
    <cellStyle name="Input [yellow] 5 2" xfId="6450" xr:uid="{C8A606C3-5351-49E4-ADD4-9D8C486C5E77}"/>
    <cellStyle name="Input 10" xfId="2960" xr:uid="{00000000-0005-0000-0000-0000950D0000}"/>
    <cellStyle name="Input 10 2" xfId="3712" xr:uid="{00000000-0005-0000-0000-0000960D0000}"/>
    <cellStyle name="Input 10 2 2" xfId="3966" xr:uid="{00000000-0005-0000-0000-0000970D0000}"/>
    <cellStyle name="Input 10 2 2 2" xfId="6226" xr:uid="{A3F90CCD-99D1-4ABB-8536-235E29D4E3DF}"/>
    <cellStyle name="Input 10 2 3" xfId="6135" xr:uid="{8A109848-0927-45D5-8A3A-6C9A32223012}"/>
    <cellStyle name="Input 10 3" xfId="4474" xr:uid="{00000000-0005-0000-0000-0000980D0000}"/>
    <cellStyle name="Input 10 4" xfId="5968" xr:uid="{FB3F41CC-2A0B-44C0-BE83-0FFC836BDF4C}"/>
    <cellStyle name="Input 11" xfId="3365" xr:uid="{00000000-0005-0000-0000-0000990D0000}"/>
    <cellStyle name="Input 11 2" xfId="3921" xr:uid="{00000000-0005-0000-0000-00009A0D0000}"/>
    <cellStyle name="Input 11 2 2" xfId="6183" xr:uid="{6F346065-D873-44F2-B266-E72BA55D692A}"/>
    <cellStyle name="Input 11 3" xfId="4475" xr:uid="{00000000-0005-0000-0000-00009B0D0000}"/>
    <cellStyle name="Input 11 4" xfId="6070" xr:uid="{81F4382A-AAA1-4D69-A03D-25EA12DA594B}"/>
    <cellStyle name="Input 12" xfId="3707" xr:uid="{00000000-0005-0000-0000-00009C0D0000}"/>
    <cellStyle name="Input 12 2" xfId="4476" xr:uid="{00000000-0005-0000-0000-00009D0D0000}"/>
    <cellStyle name="Input 12 3" xfId="6134" xr:uid="{2A405D39-F9B7-407B-BAE9-789CDC6021A1}"/>
    <cellStyle name="Input 13" xfId="3773" xr:uid="{00000000-0005-0000-0000-00009E0D0000}"/>
    <cellStyle name="Input 13 2" xfId="4477" xr:uid="{00000000-0005-0000-0000-00009F0D0000}"/>
    <cellStyle name="Input 13 3" xfId="6149" xr:uid="{F571A8B5-3C4E-444D-985E-F894F0A0AC84}"/>
    <cellStyle name="Input 14" xfId="3654" xr:uid="{00000000-0005-0000-0000-0000A00D0000}"/>
    <cellStyle name="Input 14 2" xfId="4478" xr:uid="{00000000-0005-0000-0000-0000A10D0000}"/>
    <cellStyle name="Input 14 3" xfId="6112" xr:uid="{28E95B03-415D-4014-A91B-0834DDA325EF}"/>
    <cellStyle name="Input 15" xfId="3832" xr:uid="{00000000-0005-0000-0000-0000A20D0000}"/>
    <cellStyle name="Input 15 2" xfId="3988" xr:uid="{00000000-0005-0000-0000-0000A30D0000}"/>
    <cellStyle name="Input 15 2 2" xfId="6248" xr:uid="{F2D3E5FC-B414-462C-9802-B5AF1D8417D5}"/>
    <cellStyle name="Input 15 3" xfId="4479" xr:uid="{00000000-0005-0000-0000-0000A40D0000}"/>
    <cellStyle name="Input 15 4" xfId="6170" xr:uid="{45A62A28-559D-4C1A-AE06-FC44768D212C}"/>
    <cellStyle name="Input 16" xfId="3885" xr:uid="{00000000-0005-0000-0000-0000A50D0000}"/>
    <cellStyle name="Input 16 2" xfId="3990" xr:uid="{00000000-0005-0000-0000-0000A60D0000}"/>
    <cellStyle name="Input 16 2 2" xfId="6250" xr:uid="{22512F81-CCF6-4DFD-929A-8C5F617683BF}"/>
    <cellStyle name="Input 16 3" xfId="4480" xr:uid="{00000000-0005-0000-0000-0000A70D0000}"/>
    <cellStyle name="Input 16 4" xfId="6176" xr:uid="{29A59CA7-C651-4C1A-BABC-6A291090092C}"/>
    <cellStyle name="Input 17" xfId="3874" xr:uid="{00000000-0005-0000-0000-0000A80D0000}"/>
    <cellStyle name="Input 17 2" xfId="3989" xr:uid="{00000000-0005-0000-0000-0000A90D0000}"/>
    <cellStyle name="Input 17 2 2" xfId="6249" xr:uid="{0F3FBAF5-1BED-4EB3-9FF1-1BAD94882409}"/>
    <cellStyle name="Input 17 3" xfId="4481" xr:uid="{00000000-0005-0000-0000-0000AA0D0000}"/>
    <cellStyle name="Input 17 4" xfId="6171" xr:uid="{F0D37836-EADF-44B3-B8CB-3C94FE73A58E}"/>
    <cellStyle name="Input 18" xfId="4482" xr:uid="{00000000-0005-0000-0000-0000AB0D0000}"/>
    <cellStyle name="Input 2" xfId="2267" xr:uid="{00000000-0005-0000-0000-0000AC0D0000}"/>
    <cellStyle name="Input 2 2" xfId="3434" xr:uid="{00000000-0005-0000-0000-0000AD0D0000}"/>
    <cellStyle name="Input 2 2 2" xfId="3926" xr:uid="{00000000-0005-0000-0000-0000AE0D0000}"/>
    <cellStyle name="Input 2 2 2 2" xfId="5119" xr:uid="{00000000-0005-0000-0000-0000AF0D0000}"/>
    <cellStyle name="Input 2 2 2 2 2" xfId="6338" xr:uid="{462E4DE0-E366-4310-8CA5-E5DA2D9E7027}"/>
    <cellStyle name="Input 2 2 2 3" xfId="5203" xr:uid="{00000000-0005-0000-0000-0000B00D0000}"/>
    <cellStyle name="Input 2 2 2 3 2" xfId="6412" xr:uid="{1696A894-7C9F-46EE-95AA-65704D6CCF27}"/>
    <cellStyle name="Input 2 2 2 4" xfId="6186" xr:uid="{8B301ED7-6E9D-4544-A43F-ABDCFBD5057E}"/>
    <cellStyle name="Input 2 2 3" xfId="5160" xr:uid="{00000000-0005-0000-0000-0000B10D0000}"/>
    <cellStyle name="Input 2 2 3 2" xfId="6371" xr:uid="{E25E26A7-A605-41F5-B980-8449F7B55BE8}"/>
    <cellStyle name="Input 2 2 4" xfId="6074" xr:uid="{28CDCF50-0E56-4981-9981-1613B8EBCDCF}"/>
    <cellStyle name="Input 2 3" xfId="4483" xr:uid="{00000000-0005-0000-0000-0000B20D0000}"/>
    <cellStyle name="Input 2 3 2" xfId="5120" xr:uid="{00000000-0005-0000-0000-0000B30D0000}"/>
    <cellStyle name="Input 2 3 2 2" xfId="5204" xr:uid="{00000000-0005-0000-0000-0000B40D0000}"/>
    <cellStyle name="Input 2 3 2 2 2" xfId="6413" xr:uid="{AE3A76BA-5408-42F6-BAA3-585BDF953B6D}"/>
    <cellStyle name="Input 2 3 2 3" xfId="6339" xr:uid="{B3D9B099-B900-4BC6-BA22-4772AE66DD30}"/>
    <cellStyle name="Input 2 3 3" xfId="5063" xr:uid="{00000000-0005-0000-0000-0000B50D0000}"/>
    <cellStyle name="Input 2 3 3 2" xfId="6308" xr:uid="{0C0B7515-F8C7-4028-9169-0805E3C7E2B8}"/>
    <cellStyle name="Input 2 3 4" xfId="5161" xr:uid="{00000000-0005-0000-0000-0000B60D0000}"/>
    <cellStyle name="Input 2 3 4 2" xfId="6372" xr:uid="{7AB08C4C-A8A8-42EA-9F85-74C7FC13C111}"/>
    <cellStyle name="Input 2 4" xfId="5111" xr:uid="{00000000-0005-0000-0000-0000B70D0000}"/>
    <cellStyle name="Input 2 4 2" xfId="5195" xr:uid="{00000000-0005-0000-0000-0000B80D0000}"/>
    <cellStyle name="Input 2 4 2 2" xfId="6404" xr:uid="{D553CF63-1C62-4586-877A-8D7795ADD6EA}"/>
    <cellStyle name="Input 2 4 3" xfId="6330" xr:uid="{70C65B83-50DD-4ABB-857B-926F735BBAEF}"/>
    <cellStyle name="Input 2 5" xfId="5024" xr:uid="{00000000-0005-0000-0000-0000B90D0000}"/>
    <cellStyle name="Input 2 5 2" xfId="6294" xr:uid="{A7BC7647-140A-4008-97ED-D271DFC3CC27}"/>
    <cellStyle name="Input 2 6" xfId="5330" xr:uid="{00000000-0005-0000-0000-0000BA0D0000}"/>
    <cellStyle name="Input 2 7" xfId="5921" xr:uid="{A1A2E3B5-865A-402F-9839-A22044B5715A}"/>
    <cellStyle name="Input 3" xfId="2268" xr:uid="{00000000-0005-0000-0000-0000BB0D0000}"/>
    <cellStyle name="Input 3 2" xfId="3648" xr:uid="{00000000-0005-0000-0000-0000BC0D0000}"/>
    <cellStyle name="Input 3 2 2" xfId="3947" xr:uid="{00000000-0005-0000-0000-0000BD0D0000}"/>
    <cellStyle name="Input 3 2 2 2" xfId="6207" xr:uid="{275DB7FD-9C8B-4CA9-9E42-7294EE133EA0}"/>
    <cellStyle name="Input 3 2 3" xfId="5134" xr:uid="{00000000-0005-0000-0000-0000BE0D0000}"/>
    <cellStyle name="Input 3 2 3 2" xfId="6353" xr:uid="{7E2A5D54-C025-42C9-99C5-0BEAFA10A3C0}"/>
    <cellStyle name="Input 3 2 4" xfId="5218" xr:uid="{00000000-0005-0000-0000-0000BF0D0000}"/>
    <cellStyle name="Input 3 2 4 2" xfId="6427" xr:uid="{8CE206BB-0388-415A-8159-8235949CABBC}"/>
    <cellStyle name="Input 3 2 5" xfId="6107" xr:uid="{A26FDFF6-1F36-44A5-B81D-28BFFA68AD8F}"/>
    <cellStyle name="Input 3 3" xfId="4484" xr:uid="{00000000-0005-0000-0000-0000C00D0000}"/>
    <cellStyle name="Input 3 4" xfId="5175" xr:uid="{00000000-0005-0000-0000-0000C10D0000}"/>
    <cellStyle name="Input 3 4 2" xfId="6386" xr:uid="{20F28887-12AF-4CD5-A117-EB76B509022C}"/>
    <cellStyle name="Input 3 5" xfId="5372" xr:uid="{00000000-0005-0000-0000-0000C20D0000}"/>
    <cellStyle name="Input 3 6" xfId="5922" xr:uid="{EC2F4EFD-D411-4EB5-A7B1-D65AC64198EA}"/>
    <cellStyle name="Input 4" xfId="2269" xr:uid="{00000000-0005-0000-0000-0000C30D0000}"/>
    <cellStyle name="Input 4 2" xfId="3649" xr:uid="{00000000-0005-0000-0000-0000C40D0000}"/>
    <cellStyle name="Input 4 2 2" xfId="3948" xr:uid="{00000000-0005-0000-0000-0000C50D0000}"/>
    <cellStyle name="Input 4 2 2 2" xfId="6208" xr:uid="{8A8FF0BB-B685-4488-AEDB-EEC8B5842657}"/>
    <cellStyle name="Input 4 2 3" xfId="5136" xr:uid="{00000000-0005-0000-0000-0000C60D0000}"/>
    <cellStyle name="Input 4 2 3 2" xfId="6355" xr:uid="{A95ABF4C-4904-49B7-AE63-680B29A0F1EA}"/>
    <cellStyle name="Input 4 2 4" xfId="5220" xr:uid="{00000000-0005-0000-0000-0000C70D0000}"/>
    <cellStyle name="Input 4 2 4 2" xfId="6429" xr:uid="{DD11EC6C-C836-4635-9757-1C3313718F45}"/>
    <cellStyle name="Input 4 2 5" xfId="6108" xr:uid="{DF2EE12A-A3CB-4938-BDFE-F2BC0383EE8C}"/>
    <cellStyle name="Input 4 3" xfId="4485" xr:uid="{00000000-0005-0000-0000-0000C80D0000}"/>
    <cellStyle name="Input 4 4" xfId="5084" xr:uid="{00000000-0005-0000-0000-0000C90D0000}"/>
    <cellStyle name="Input 4 4 2" xfId="6316" xr:uid="{ED7E41B0-19A8-4064-9E4D-DE73A8E7B167}"/>
    <cellStyle name="Input 4 5" xfId="5177" xr:uid="{00000000-0005-0000-0000-0000CA0D0000}"/>
    <cellStyle name="Input 4 5 2" xfId="6388" xr:uid="{67187F53-EB53-4D87-9227-22921C3F73AF}"/>
    <cellStyle name="Input 4 6" xfId="5923" xr:uid="{816B580D-B8F5-4319-A963-1C6AC55212E9}"/>
    <cellStyle name="Input 5" xfId="2270" xr:uid="{00000000-0005-0000-0000-0000CB0D0000}"/>
    <cellStyle name="Input 5 2" xfId="3650" xr:uid="{00000000-0005-0000-0000-0000CC0D0000}"/>
    <cellStyle name="Input 5 2 2" xfId="3949" xr:uid="{00000000-0005-0000-0000-0000CD0D0000}"/>
    <cellStyle name="Input 5 2 2 2" xfId="6209" xr:uid="{257EC7F3-21DC-4F0D-94BA-B47480641CCD}"/>
    <cellStyle name="Input 5 2 3" xfId="5105" xr:uid="{00000000-0005-0000-0000-0000CE0D0000}"/>
    <cellStyle name="Input 5 2 3 2" xfId="6324" xr:uid="{E50B0FF0-800B-4B6F-8C1D-4BBD74938848}"/>
    <cellStyle name="Input 5 2 4" xfId="5189" xr:uid="{00000000-0005-0000-0000-0000CF0D0000}"/>
    <cellStyle name="Input 5 2 4 2" xfId="6398" xr:uid="{82A37B94-6452-4DEE-95CF-16AF6F515835}"/>
    <cellStyle name="Input 5 2 5" xfId="6109" xr:uid="{8114BD7A-229F-441C-A17B-40702F565ABB}"/>
    <cellStyle name="Input 5 3" xfId="4486" xr:uid="{00000000-0005-0000-0000-0000D00D0000}"/>
    <cellStyle name="Input 5 4" xfId="5034" xr:uid="{00000000-0005-0000-0000-0000D10D0000}"/>
    <cellStyle name="Input 5 4 2" xfId="6297" xr:uid="{1E40D704-B863-4776-B1AE-0AAB665FCEE4}"/>
    <cellStyle name="Input 5 5" xfId="5048" xr:uid="{00000000-0005-0000-0000-0000D20D0000}"/>
    <cellStyle name="Input 5 5 2" xfId="6304" xr:uid="{986D2E33-1224-43F7-B689-55F519C8B76E}"/>
    <cellStyle name="Input 5 6" xfId="5924" xr:uid="{8924DB7A-B0B3-4E2F-BD42-5DA698873910}"/>
    <cellStyle name="Input 6" xfId="2265" xr:uid="{00000000-0005-0000-0000-0000D30D0000}"/>
    <cellStyle name="Input 6 2" xfId="3647" xr:uid="{00000000-0005-0000-0000-0000D40D0000}"/>
    <cellStyle name="Input 6 2 2" xfId="3946" xr:uid="{00000000-0005-0000-0000-0000D50D0000}"/>
    <cellStyle name="Input 6 2 2 2" xfId="6206" xr:uid="{EB176A2B-2EB1-4CB6-8A1A-DF8AB6A213AA}"/>
    <cellStyle name="Input 6 2 3" xfId="6106" xr:uid="{4E698856-14D7-4D5D-9637-1F5AB1F9BF82}"/>
    <cellStyle name="Input 6 3" xfId="4487" xr:uid="{00000000-0005-0000-0000-0000D60D0000}"/>
    <cellStyle name="Input 6 4" xfId="5920" xr:uid="{2260FF8B-6014-4AF0-9E27-AAC009925B04}"/>
    <cellStyle name="Input 7" xfId="2971" xr:uid="{00000000-0005-0000-0000-0000D70D0000}"/>
    <cellStyle name="Input 7 2" xfId="3715" xr:uid="{00000000-0005-0000-0000-0000D80D0000}"/>
    <cellStyle name="Input 7 2 2" xfId="3969" xr:uid="{00000000-0005-0000-0000-0000D90D0000}"/>
    <cellStyle name="Input 7 2 2 2" xfId="6229" xr:uid="{465C8886-B210-44AA-B76F-BC522E35CFD8}"/>
    <cellStyle name="Input 7 2 3" xfId="6138" xr:uid="{F780D199-2B34-4669-82AA-5023BF0EEC92}"/>
    <cellStyle name="Input 7 3" xfId="4488" xr:uid="{00000000-0005-0000-0000-0000DA0D0000}"/>
    <cellStyle name="Input 7 4" xfId="5971" xr:uid="{7FD0A3A9-6CF3-4F42-A1D5-E2ECB2F4E4E2}"/>
    <cellStyle name="Input 8" xfId="2961" xr:uid="{00000000-0005-0000-0000-0000DB0D0000}"/>
    <cellStyle name="Input 8 2" xfId="3713" xr:uid="{00000000-0005-0000-0000-0000DC0D0000}"/>
    <cellStyle name="Input 8 2 2" xfId="3967" xr:uid="{00000000-0005-0000-0000-0000DD0D0000}"/>
    <cellStyle name="Input 8 2 2 2" xfId="6227" xr:uid="{17B69925-AB06-4225-9623-E59BA7F277CB}"/>
    <cellStyle name="Input 8 2 3" xfId="6136" xr:uid="{728854B4-1B56-443D-ACF4-C58D974B3448}"/>
    <cellStyle name="Input 8 3" xfId="4489" xr:uid="{00000000-0005-0000-0000-0000DE0D0000}"/>
    <cellStyle name="Input 8 4" xfId="5969" xr:uid="{82B37E90-A809-419E-92C1-6F19855723BD}"/>
    <cellStyle name="Input 9" xfId="2970" xr:uid="{00000000-0005-0000-0000-0000DF0D0000}"/>
    <cellStyle name="Input 9 2" xfId="3714" xr:uid="{00000000-0005-0000-0000-0000E00D0000}"/>
    <cellStyle name="Input 9 2 2" xfId="3968" xr:uid="{00000000-0005-0000-0000-0000E10D0000}"/>
    <cellStyle name="Input 9 2 2 2" xfId="6228" xr:uid="{602E3C13-30D4-4152-8C47-15C273526C32}"/>
    <cellStyle name="Input 9 2 3" xfId="6137" xr:uid="{7FD58C89-23A5-4D57-B193-0266032DEA87}"/>
    <cellStyle name="Input 9 3" xfId="4490" xr:uid="{00000000-0005-0000-0000-0000E20D0000}"/>
    <cellStyle name="Input 9 4" xfId="5970" xr:uid="{11DDF35D-A5E5-4C4E-8A8C-EEB0DAEDD07B}"/>
    <cellStyle name="Input Cells" xfId="74" xr:uid="{00000000-0005-0000-0000-0000E30D0000}"/>
    <cellStyle name="input cells 10" xfId="5028" xr:uid="{00000000-0005-0000-0000-0000E40D0000}"/>
    <cellStyle name="Input Cells 11" xfId="5555" xr:uid="{00000000-0005-0000-0000-0000E50D0000}"/>
    <cellStyle name="Input Cells 11 2" xfId="6451" xr:uid="{82B97903-2A98-414F-A591-EAF2AD4AB5B0}"/>
    <cellStyle name="Input Cells 12" xfId="5794" xr:uid="{00000000-0005-0000-0000-0000E60D0000}"/>
    <cellStyle name="Input Cells 12 2" xfId="6501" xr:uid="{1EA87245-E92A-4575-A055-020966E57892}"/>
    <cellStyle name="Input Cells 13" xfId="5853" xr:uid="{7FC6F007-3691-47C2-AB94-DEF1F2F4C1FF}"/>
    <cellStyle name="Input Cells 2" xfId="2271" xr:uid="{00000000-0005-0000-0000-0000E70D0000}"/>
    <cellStyle name="Input Cells 2 2" xfId="3651" xr:uid="{00000000-0005-0000-0000-0000E80D0000}"/>
    <cellStyle name="Input Cells 2 2 2" xfId="3950" xr:uid="{00000000-0005-0000-0000-0000E90D0000}"/>
    <cellStyle name="Input Cells 2 2 2 2" xfId="6210" xr:uid="{4A9C281A-04EA-403D-8EB5-8461D88BCE05}"/>
    <cellStyle name="Input Cells 2 2 3" xfId="6110" xr:uid="{03B9B5D1-BFD6-476D-A135-C0226841B669}"/>
    <cellStyle name="Input Cells 2 3" xfId="5925" xr:uid="{44F41193-8967-418C-AFAE-B35CC8499D89}"/>
    <cellStyle name="Input Cells 3" xfId="3065" xr:uid="{00000000-0005-0000-0000-0000EA0D0000}"/>
    <cellStyle name="Input Cells 3 2" xfId="3738" xr:uid="{00000000-0005-0000-0000-0000EB0D0000}"/>
    <cellStyle name="Input Cells 3 2 2" xfId="3973" xr:uid="{00000000-0005-0000-0000-0000EC0D0000}"/>
    <cellStyle name="Input Cells 3 2 2 2" xfId="6233" xr:uid="{777603A6-9BFF-47C3-AB8D-3C20152050AD}"/>
    <cellStyle name="Input Cells 3 2 3" xfId="6142" xr:uid="{E372F651-ABA3-432A-8048-C86F66D21A20}"/>
    <cellStyle name="Input Cells 3 3" xfId="3809" xr:uid="{00000000-0005-0000-0000-0000ED0D0000}"/>
    <cellStyle name="Input Cells 3 3 2" xfId="3984" xr:uid="{00000000-0005-0000-0000-0000EE0D0000}"/>
    <cellStyle name="Input Cells 3 3 2 2" xfId="6244" xr:uid="{2CE61496-3A26-4B4F-8FA8-AEBB4FD77217}"/>
    <cellStyle name="Input Cells 3 3 3" xfId="6166" xr:uid="{9C964BF0-D0DF-414F-8196-6E368D66C640}"/>
    <cellStyle name="Input Cells 3 4" xfId="3326" xr:uid="{00000000-0005-0000-0000-0000EF0D0000}"/>
    <cellStyle name="Input Cells 3 4 2" xfId="6061" xr:uid="{4DCF4AFD-B3ED-4AE7-B40E-E1D7CF605578}"/>
    <cellStyle name="Input Cells 3 5" xfId="5977" xr:uid="{47668361-615C-41A3-A60C-6CED5E2C8611}"/>
    <cellStyle name="Input Cells 4" xfId="3096" xr:uid="{00000000-0005-0000-0000-0000F00D0000}"/>
    <cellStyle name="Input Cells 4 2" xfId="3755" xr:uid="{00000000-0005-0000-0000-0000F10D0000}"/>
    <cellStyle name="Input Cells 4 2 2" xfId="3976" xr:uid="{00000000-0005-0000-0000-0000F20D0000}"/>
    <cellStyle name="Input Cells 4 2 2 2" xfId="6236" xr:uid="{423F4A12-3D47-4A68-A1B2-7649818D7875}"/>
    <cellStyle name="Input Cells 4 2 3" xfId="6146" xr:uid="{C1A6AF08-CA15-4821-BF20-58746BF61861}"/>
    <cellStyle name="Input Cells 4 3" xfId="3825" xr:uid="{00000000-0005-0000-0000-0000F30D0000}"/>
    <cellStyle name="Input Cells 4 3 2" xfId="3987" xr:uid="{00000000-0005-0000-0000-0000F40D0000}"/>
    <cellStyle name="Input Cells 4 3 2 2" xfId="6247" xr:uid="{C0C3242B-8C3C-47CC-8F8C-6D944E5DA415}"/>
    <cellStyle name="Input Cells 4 3 3" xfId="6169" xr:uid="{20E33173-32C3-4942-845B-4DEF257C0A02}"/>
    <cellStyle name="Input Cells 4 4" xfId="3345" xr:uid="{00000000-0005-0000-0000-0000F50D0000}"/>
    <cellStyle name="Input Cells 4 4 2" xfId="6067" xr:uid="{0F27F51E-586A-4C60-BB32-3EE226E0D419}"/>
    <cellStyle name="Input Cells 4 5" xfId="5984" xr:uid="{2ADA1438-79FE-4778-A398-73230A42BC94}"/>
    <cellStyle name="Input Cells 5" xfId="3571" xr:uid="{00000000-0005-0000-0000-0000F60D0000}"/>
    <cellStyle name="Input Cells 5 2" xfId="3931" xr:uid="{00000000-0005-0000-0000-0000F70D0000}"/>
    <cellStyle name="Input Cells 5 2 2" xfId="6191" xr:uid="{C05A13EB-E30D-4D36-94D4-A6AF11BBD37B}"/>
    <cellStyle name="Input Cells 5 3" xfId="6082" xr:uid="{2239FB9C-6AFF-45EF-8489-D2210AA86359}"/>
    <cellStyle name="Input Cells 6" xfId="217" xr:uid="{00000000-0005-0000-0000-0000F80D0000}"/>
    <cellStyle name="Input Cells 6 2" xfId="5858" xr:uid="{BE8943A1-1F70-43BF-8413-05771684C7C2}"/>
    <cellStyle name="input cells 7" xfId="4879" xr:uid="{00000000-0005-0000-0000-0000F90D0000}"/>
    <cellStyle name="input cells 8" xfId="4885" xr:uid="{00000000-0005-0000-0000-0000FA0D0000}"/>
    <cellStyle name="input cells 9" xfId="5148" xr:uid="{00000000-0005-0000-0000-0000FB0D0000}"/>
    <cellStyle name="InputBlueFont" xfId="2272" xr:uid="{00000000-0005-0000-0000-0000FC0D0000}"/>
    <cellStyle name="Inputs" xfId="2273" xr:uid="{00000000-0005-0000-0000-0000FD0D0000}"/>
    <cellStyle name="Inputs 2" xfId="5628" xr:uid="{00000000-0005-0000-0000-0000FE0D0000}"/>
    <cellStyle name="Inputted from Other Sheets" xfId="2274" xr:uid="{00000000-0005-0000-0000-0000FF0D0000}"/>
    <cellStyle name="INTEREST" xfId="2275" xr:uid="{00000000-0005-0000-0000-0000000E0000}"/>
    <cellStyle name="Italics" xfId="2276" xr:uid="{00000000-0005-0000-0000-0000010E0000}"/>
    <cellStyle name="Items" xfId="5629" xr:uid="{00000000-0005-0000-0000-0000020E0000}"/>
    <cellStyle name="Jack Number Format" xfId="131" xr:uid="{00000000-0005-0000-0000-0000030E0000}"/>
    <cellStyle name="Jason" xfId="2277" xr:uid="{00000000-0005-0000-0000-0000040E0000}"/>
    <cellStyle name="Jason 2" xfId="2278" xr:uid="{00000000-0005-0000-0000-0000050E0000}"/>
    <cellStyle name="Jason 2 2" xfId="2279" xr:uid="{00000000-0005-0000-0000-0000060E0000}"/>
    <cellStyle name="Jason 2 2 2" xfId="2280" xr:uid="{00000000-0005-0000-0000-0000070E0000}"/>
    <cellStyle name="Jason 2 3" xfId="2281" xr:uid="{00000000-0005-0000-0000-0000080E0000}"/>
    <cellStyle name="Jason 3" xfId="2282" xr:uid="{00000000-0005-0000-0000-0000090E0000}"/>
    <cellStyle name="Komma [0]_BINV" xfId="2283" xr:uid="{00000000-0005-0000-0000-00000A0E0000}"/>
    <cellStyle name="Komma_BINV" xfId="2284" xr:uid="{00000000-0005-0000-0000-00000B0E0000}"/>
    <cellStyle name="KP_Normal" xfId="5848" xr:uid="{00000000-0005-0000-0000-00000C0E0000}"/>
    <cellStyle name="Lable8Left" xfId="2285" xr:uid="{00000000-0005-0000-0000-00000D0E0000}"/>
    <cellStyle name="LAND VIEW OFFICE - 1ST FL" xfId="2286" xr:uid="{00000000-0005-0000-0000-00000E0E0000}"/>
    <cellStyle name="LAND VIEW OFFICE - 1ST FL 2" xfId="2287" xr:uid="{00000000-0005-0000-0000-00000F0E0000}"/>
    <cellStyle name="LD VIEW OFFICE - UPPER FL" xfId="2288" xr:uid="{00000000-0005-0000-0000-0000100E0000}"/>
    <cellStyle name="LD VIEW OFFICE - UPPER FL 2" xfId="2289" xr:uid="{00000000-0005-0000-0000-0000110E0000}"/>
    <cellStyle name="LD VIEW OFFICE 4" xfId="2290" xr:uid="{00000000-0005-0000-0000-0000120E0000}"/>
    <cellStyle name="LD VIEW OFFICE 4 2" xfId="2291" xr:uid="{00000000-0005-0000-0000-0000130E0000}"/>
    <cellStyle name="left" xfId="2292" xr:uid="{00000000-0005-0000-0000-0000140E0000}"/>
    <cellStyle name="left 2" xfId="5926" xr:uid="{CC38F56D-EA2D-44C1-9515-597BA182FF03}"/>
    <cellStyle name="Lines" xfId="2293" xr:uid="{00000000-0005-0000-0000-0000150E0000}"/>
    <cellStyle name="LINK" xfId="2294" xr:uid="{00000000-0005-0000-0000-0000160E0000}"/>
    <cellStyle name="Link Currency (0)" xfId="2295" xr:uid="{00000000-0005-0000-0000-0000170E0000}"/>
    <cellStyle name="Link Currency (0) 2" xfId="2296" xr:uid="{00000000-0005-0000-0000-0000180E0000}"/>
    <cellStyle name="Link Currency (2)" xfId="2297" xr:uid="{00000000-0005-0000-0000-0000190E0000}"/>
    <cellStyle name="Link Currency (2) 2" xfId="2298" xr:uid="{00000000-0005-0000-0000-00001A0E0000}"/>
    <cellStyle name="Link Units (0)" xfId="2299" xr:uid="{00000000-0005-0000-0000-00001B0E0000}"/>
    <cellStyle name="Link Units (0) 2" xfId="2300" xr:uid="{00000000-0005-0000-0000-00001C0E0000}"/>
    <cellStyle name="Link Units (1)" xfId="2301" xr:uid="{00000000-0005-0000-0000-00001D0E0000}"/>
    <cellStyle name="Link Units (1) 2" xfId="2302" xr:uid="{00000000-0005-0000-0000-00001E0E0000}"/>
    <cellStyle name="Link Units (2)" xfId="2303" xr:uid="{00000000-0005-0000-0000-00001F0E0000}"/>
    <cellStyle name="Link Units (2) 2" xfId="2304" xr:uid="{00000000-0005-0000-0000-0000200E0000}"/>
    <cellStyle name="LINK_88 Richardson 80-20 1-31-12 Invest Memo" xfId="2305" xr:uid="{00000000-0005-0000-0000-0000210E0000}"/>
    <cellStyle name="Linked" xfId="2306" xr:uid="{00000000-0005-0000-0000-0000220E0000}"/>
    <cellStyle name="Linked Cell 2" xfId="2308" xr:uid="{00000000-0005-0000-0000-0000230E0000}"/>
    <cellStyle name="Linked Cell 3" xfId="2309" xr:uid="{00000000-0005-0000-0000-0000240E0000}"/>
    <cellStyle name="Linked Cell 4" xfId="2310" xr:uid="{00000000-0005-0000-0000-0000250E0000}"/>
    <cellStyle name="Linked Cell 5" xfId="2311" xr:uid="{00000000-0005-0000-0000-0000260E0000}"/>
    <cellStyle name="Linked Cell 6" xfId="2307" xr:uid="{00000000-0005-0000-0000-0000270E0000}"/>
    <cellStyle name="MainData" xfId="2312" xr:uid="{00000000-0005-0000-0000-0000280E0000}"/>
    <cellStyle name="MajorTotal" xfId="2313" xr:uid="{00000000-0005-0000-0000-0000290E0000}"/>
    <cellStyle name="MajorTotal 2" xfId="3652" xr:uid="{00000000-0005-0000-0000-00002A0E0000}"/>
    <cellStyle name="MajorTotal 2 2" xfId="6111" xr:uid="{0E1830A2-6E72-4943-82D8-2816194EE871}"/>
    <cellStyle name="MajorTotal 3" xfId="3798" xr:uid="{00000000-0005-0000-0000-00002B0E0000}"/>
    <cellStyle name="MajorTotal 3 2" xfId="6161" xr:uid="{53F10187-032B-4436-B10F-E7ACE9B78BA5}"/>
    <cellStyle name="MajorTotal 4" xfId="3284" xr:uid="{00000000-0005-0000-0000-00002C0E0000}"/>
    <cellStyle name="MajorTotal 4 2" xfId="6034" xr:uid="{4A49EC77-C710-4486-A1D8-00847247FC61}"/>
    <cellStyle name="MajorTotal 5" xfId="5927" xr:uid="{42AAFC5D-9D49-4439-AB63-EF16BBF3970E}"/>
    <cellStyle name="MAND_x000a_CHECK.COMMAND_x000e_RENAME.COMMAND_x0008_SHOW.BAR_x000b_DELETE.MENU_x000e_DELETE.COMMAND_x000e_GET.CHA" xfId="2314" xr:uid="{00000000-0005-0000-0000-00002D0E0000}"/>
    <cellStyle name="MAND_x000d_CHECK.COMMAND_x000e_RENAME.COMMAND_x0008_SHOW.BAR_x000b_DELETE.MENU_x000e_DELETE.COMMAND_x000e_GET.CHA" xfId="2315" xr:uid="{00000000-0005-0000-0000-00002E0E0000}"/>
    <cellStyle name="Margins" xfId="5574" xr:uid="{00000000-0005-0000-0000-00002F0E0000}"/>
    <cellStyle name="Memo" xfId="4491" xr:uid="{00000000-0005-0000-0000-0000300E0000}"/>
    <cellStyle name="Migliaia (0)_Foglio1 (2)" xfId="2316" xr:uid="{00000000-0005-0000-0000-0000310E0000}"/>
    <cellStyle name="Migliaia_Foglio1 (2)" xfId="2317" xr:uid="{00000000-0005-0000-0000-0000320E0000}"/>
    <cellStyle name="Millares [0]_10 AVERIAS MASIVAS + ANT" xfId="5503" xr:uid="{00000000-0005-0000-0000-0000330E0000}"/>
    <cellStyle name="Millares_10 AVERIAS MASIVAS + ANT" xfId="5631" xr:uid="{00000000-0005-0000-0000-0000340E0000}"/>
    <cellStyle name="Milliers [0]_!!!GO" xfId="2318" xr:uid="{00000000-0005-0000-0000-0000350E0000}"/>
    <cellStyle name="Milliers_!!!GO" xfId="2319" xr:uid="{00000000-0005-0000-0000-0000360E0000}"/>
    <cellStyle name="ModifiedCell" xfId="2320" xr:uid="{00000000-0005-0000-0000-0000370E0000}"/>
    <cellStyle name="MODULE" xfId="2321" xr:uid="{00000000-0005-0000-0000-0000380E0000}"/>
    <cellStyle name="MODULE 2" xfId="2322" xr:uid="{00000000-0005-0000-0000-0000390E0000}"/>
    <cellStyle name="Moeda [0]_Alfa Laval Base Case 19 mm site" xfId="2323" xr:uid="{00000000-0005-0000-0000-00003A0E0000}"/>
    <cellStyle name="Moeda_Alfa Laval Base Case 19 mm site" xfId="2324" xr:uid="{00000000-0005-0000-0000-00003B0E0000}"/>
    <cellStyle name="Moneda [0]_10 AVERIAS MASIVAS + ANT" xfId="5347" xr:uid="{00000000-0005-0000-0000-00003C0E0000}"/>
    <cellStyle name="Moneda_10 AVERIAS MASIVAS + ANT" xfId="5632" xr:uid="{00000000-0005-0000-0000-00003D0E0000}"/>
    <cellStyle name="Monétaire [0]_!!!GO" xfId="2325" xr:uid="{00000000-0005-0000-0000-00003E0E0000}"/>
    <cellStyle name="Monétaire_!!!GO" xfId="2326" xr:uid="{00000000-0005-0000-0000-00003F0E0000}"/>
    <cellStyle name="Monetario" xfId="5390" xr:uid="{00000000-0005-0000-0000-0000400E0000}"/>
    <cellStyle name="Money" xfId="5334" xr:uid="{00000000-0005-0000-0000-0000410E0000}"/>
    <cellStyle name="Money2" xfId="5379" xr:uid="{00000000-0005-0000-0000-0000420E0000}"/>
    <cellStyle name="MONTH" xfId="2327" xr:uid="{00000000-0005-0000-0000-0000430E0000}"/>
    <cellStyle name="Months" xfId="2328" xr:uid="{00000000-0005-0000-0000-0000440E0000}"/>
    <cellStyle name="Months 2" xfId="3879" xr:uid="{00000000-0005-0000-0000-0000450E0000}"/>
    <cellStyle name="MSectionHeadings" xfId="2329" xr:uid="{00000000-0005-0000-0000-0000460E0000}"/>
    <cellStyle name="multiple" xfId="2330" xr:uid="{00000000-0005-0000-0000-0000470E0000}"/>
    <cellStyle name="Multiple (no x)" xfId="2331" xr:uid="{00000000-0005-0000-0000-0000480E0000}"/>
    <cellStyle name="Multiple (with x)" xfId="2332" xr:uid="{00000000-0005-0000-0000-0000490E0000}"/>
    <cellStyle name="Multiple 2" xfId="5549" xr:uid="{00000000-0005-0000-0000-00004A0E0000}"/>
    <cellStyle name="Multiple 3" xfId="5793" xr:uid="{00000000-0005-0000-0000-00004B0E0000}"/>
    <cellStyle name="Multiple_111_Washington_9-14-10_loan_size_base_on_$55_rents_$40MMland_-_new_model_10am - changes v1" xfId="2333" xr:uid="{00000000-0005-0000-0000-00004C0E0000}"/>
    <cellStyle name="NACC" xfId="2334" xr:uid="{00000000-0005-0000-0000-00004D0E0000}"/>
    <cellStyle name="Needs Input" xfId="2335" xr:uid="{00000000-0005-0000-0000-00004E0E0000}"/>
    <cellStyle name="Neutral 2" xfId="2337" xr:uid="{00000000-0005-0000-0000-00004F0E0000}"/>
    <cellStyle name="Neutral 3" xfId="2338" xr:uid="{00000000-0005-0000-0000-0000500E0000}"/>
    <cellStyle name="Neutral 4" xfId="2339" xr:uid="{00000000-0005-0000-0000-0000510E0000}"/>
    <cellStyle name="Neutral 5" xfId="2340" xr:uid="{00000000-0005-0000-0000-0000520E0000}"/>
    <cellStyle name="Neutral 6" xfId="2336" xr:uid="{00000000-0005-0000-0000-0000530E0000}"/>
    <cellStyle name="NEW T M OFFICE" xfId="2341" xr:uid="{00000000-0005-0000-0000-0000540E0000}"/>
    <cellStyle name="NEW TM OFF PER" xfId="2342" xr:uid="{00000000-0005-0000-0000-0000550E0000}"/>
    <cellStyle name="no $, aligned  T10" xfId="2343" xr:uid="{00000000-0005-0000-0000-0000560E0000}"/>
    <cellStyle name="no $, aligned  T10 2" xfId="2344" xr:uid="{00000000-0005-0000-0000-0000570E0000}"/>
    <cellStyle name="no $, aligned  T10 2 2" xfId="2345" xr:uid="{00000000-0005-0000-0000-0000580E0000}"/>
    <cellStyle name="no $, aligned  T10 3" xfId="2346" xr:uid="{00000000-0005-0000-0000-0000590E0000}"/>
    <cellStyle name="no $, aligned  T10 3 2" xfId="2347" xr:uid="{00000000-0005-0000-0000-00005A0E0000}"/>
    <cellStyle name="no $, aligned T12" xfId="2348" xr:uid="{00000000-0005-0000-0000-00005B0E0000}"/>
    <cellStyle name="no $, aligned T12 2" xfId="2349" xr:uid="{00000000-0005-0000-0000-00005C0E0000}"/>
    <cellStyle name="no $, aligned T12 2 2" xfId="2350" xr:uid="{00000000-0005-0000-0000-00005D0E0000}"/>
    <cellStyle name="no $, aligned T12 3" xfId="2351" xr:uid="{00000000-0005-0000-0000-00005E0E0000}"/>
    <cellStyle name="no $, aligned T12 3 2" xfId="2352" xr:uid="{00000000-0005-0000-0000-00005F0E0000}"/>
    <cellStyle name="no dec" xfId="2353" xr:uid="{00000000-0005-0000-0000-0000600E0000}"/>
    <cellStyle name="no dec 2" xfId="5553" xr:uid="{00000000-0005-0000-0000-0000610E0000}"/>
    <cellStyle name="nodle1" xfId="2354" xr:uid="{00000000-0005-0000-0000-0000620E0000}"/>
    <cellStyle name="nodle1 2" xfId="3285" xr:uid="{00000000-0005-0000-0000-0000630E0000}"/>
    <cellStyle name="nodle1 2 2" xfId="6035" xr:uid="{90CB6836-3017-42C2-9B7C-D7AB2DDBCCE7}"/>
    <cellStyle name="nodle1 3" xfId="3145" xr:uid="{00000000-0005-0000-0000-0000640E0000}"/>
    <cellStyle name="nodle1 3 2" xfId="6009" xr:uid="{4C9D1825-B991-4770-B755-2CCB431C597E}"/>
    <cellStyle name="nodle1 4" xfId="5928" xr:uid="{946108C9-A20F-4B1A-ABA6-EA1A3109C725}"/>
    <cellStyle name="NonPrint_Heading" xfId="2355" xr:uid="{00000000-0005-0000-0000-0000650E0000}"/>
    <cellStyle name="Nor@„l_IRRSENS" xfId="2356" xr:uid="{00000000-0005-0000-0000-0000660E0000}"/>
    <cellStyle name="Normal" xfId="0" builtinId="0"/>
    <cellStyle name="Normal - Style1" xfId="75" xr:uid="{00000000-0005-0000-0000-0000680E0000}"/>
    <cellStyle name="Normal - Style1 2" xfId="132" xr:uid="{00000000-0005-0000-0000-0000690E0000}"/>
    <cellStyle name="Normal - Style1 3" xfId="3020" xr:uid="{00000000-0005-0000-0000-00006A0E0000}"/>
    <cellStyle name="Normal - Style1 4" xfId="2357" xr:uid="{00000000-0005-0000-0000-00006B0E0000}"/>
    <cellStyle name="Normal - Style1 5" xfId="5633" xr:uid="{00000000-0005-0000-0000-00006C0E0000}"/>
    <cellStyle name="Normal 0.0" xfId="2358" xr:uid="{00000000-0005-0000-0000-00006D0E0000}"/>
    <cellStyle name="Normal 0.0 2" xfId="3880" xr:uid="{00000000-0005-0000-0000-00006E0E0000}"/>
    <cellStyle name="Normal 10" xfId="111" xr:uid="{00000000-0005-0000-0000-00006F0E0000}"/>
    <cellStyle name="Normal 10 10" xfId="2359" xr:uid="{00000000-0005-0000-0000-0000700E0000}"/>
    <cellStyle name="Normal 10 11" xfId="5634" xr:uid="{00000000-0005-0000-0000-0000710E0000}"/>
    <cellStyle name="Normal 10 2" xfId="2360" xr:uid="{00000000-0005-0000-0000-0000720E0000}"/>
    <cellStyle name="Normal 10 2 2" xfId="2361" xr:uid="{00000000-0005-0000-0000-0000730E0000}"/>
    <cellStyle name="Normal 10 2 2 2" xfId="4492" xr:uid="{00000000-0005-0000-0000-0000740E0000}"/>
    <cellStyle name="Normal 10 2 2 3" xfId="5636" xr:uid="{00000000-0005-0000-0000-0000750E0000}"/>
    <cellStyle name="Normal 10 2 3" xfId="5637" xr:uid="{00000000-0005-0000-0000-0000760E0000}"/>
    <cellStyle name="Normal 10 2 4" xfId="5635" xr:uid="{00000000-0005-0000-0000-0000770E0000}"/>
    <cellStyle name="Normal 10 3" xfId="2362" xr:uid="{00000000-0005-0000-0000-0000780E0000}"/>
    <cellStyle name="Normal 10 3 2" xfId="2363" xr:uid="{00000000-0005-0000-0000-0000790E0000}"/>
    <cellStyle name="Normal 10 3 3" xfId="4493" xr:uid="{00000000-0005-0000-0000-00007A0E0000}"/>
    <cellStyle name="Normal 10 3 4" xfId="5484" xr:uid="{00000000-0005-0000-0000-00007B0E0000}"/>
    <cellStyle name="Normal 10 4" xfId="2364" xr:uid="{00000000-0005-0000-0000-00007C0E0000}"/>
    <cellStyle name="Normal 10 4 2" xfId="2365" xr:uid="{00000000-0005-0000-0000-00007D0E0000}"/>
    <cellStyle name="Normal 10 5" xfId="2366" xr:uid="{00000000-0005-0000-0000-00007E0E0000}"/>
    <cellStyle name="Normal 10 5 2" xfId="2367" xr:uid="{00000000-0005-0000-0000-00007F0E0000}"/>
    <cellStyle name="Normal 10 6" xfId="2368" xr:uid="{00000000-0005-0000-0000-0000800E0000}"/>
    <cellStyle name="Normal 10 6 2" xfId="2369" xr:uid="{00000000-0005-0000-0000-0000810E0000}"/>
    <cellStyle name="Normal 10 7" xfId="2370" xr:uid="{00000000-0005-0000-0000-0000820E0000}"/>
    <cellStyle name="Normal 10 7 2" xfId="2371" xr:uid="{00000000-0005-0000-0000-0000830E0000}"/>
    <cellStyle name="Normal 10 8" xfId="2372" xr:uid="{00000000-0005-0000-0000-0000840E0000}"/>
    <cellStyle name="Normal 10 8 2" xfId="2373" xr:uid="{00000000-0005-0000-0000-0000850E0000}"/>
    <cellStyle name="Normal 10 9" xfId="3035" xr:uid="{00000000-0005-0000-0000-0000860E0000}"/>
    <cellStyle name="Normal 10_Harlem 116th-117th 11 22 11" xfId="2374" xr:uid="{00000000-0005-0000-0000-0000870E0000}"/>
    <cellStyle name="Normal 100" xfId="3829" xr:uid="{00000000-0005-0000-0000-0000880E0000}"/>
    <cellStyle name="Normal 101" xfId="3834" xr:uid="{00000000-0005-0000-0000-0000890E0000}"/>
    <cellStyle name="Normal 102" xfId="3871" xr:uid="{00000000-0005-0000-0000-00008A0E0000}"/>
    <cellStyle name="Normal 103" xfId="3103" xr:uid="{00000000-0005-0000-0000-00008B0E0000}"/>
    <cellStyle name="Normal 104" xfId="3318" xr:uid="{00000000-0005-0000-0000-00008C0E0000}"/>
    <cellStyle name="Normal 105" xfId="3919" xr:uid="{00000000-0005-0000-0000-00008D0E0000}"/>
    <cellStyle name="Normal 106" xfId="233" xr:uid="{00000000-0005-0000-0000-00008E0E0000}"/>
    <cellStyle name="Normal 107" xfId="4872" xr:uid="{00000000-0005-0000-0000-00008F0E0000}"/>
    <cellStyle name="Normal 108" xfId="4881" xr:uid="{00000000-0005-0000-0000-0000900E0000}"/>
    <cellStyle name="Normal 109" xfId="4886" xr:uid="{00000000-0005-0000-0000-0000910E0000}"/>
    <cellStyle name="Normal 11" xfId="113" xr:uid="{00000000-0005-0000-0000-0000920E0000}"/>
    <cellStyle name="Normal 11 10" xfId="2375" xr:uid="{00000000-0005-0000-0000-0000930E0000}"/>
    <cellStyle name="Normal 11 11" xfId="3587" xr:uid="{00000000-0005-0000-0000-0000940E0000}"/>
    <cellStyle name="Normal 11 12" xfId="5638" xr:uid="{00000000-0005-0000-0000-0000950E0000}"/>
    <cellStyle name="Normal 11 2" xfId="2376" xr:uid="{00000000-0005-0000-0000-0000960E0000}"/>
    <cellStyle name="Normal 11 2 2" xfId="2377" xr:uid="{00000000-0005-0000-0000-0000970E0000}"/>
    <cellStyle name="Normal 11 2 2 2" xfId="5441" xr:uid="{00000000-0005-0000-0000-0000980E0000}"/>
    <cellStyle name="Normal 11 2 3" xfId="5095" xr:uid="{00000000-0005-0000-0000-0000990E0000}"/>
    <cellStyle name="Normal 11 2 4" xfId="5639" xr:uid="{00000000-0005-0000-0000-00009A0E0000}"/>
    <cellStyle name="Normal 11 3" xfId="2378" xr:uid="{00000000-0005-0000-0000-00009B0E0000}"/>
    <cellStyle name="Normal 11 3 2" xfId="2379" xr:uid="{00000000-0005-0000-0000-00009C0E0000}"/>
    <cellStyle name="Normal 11 3 3" xfId="5630" xr:uid="{00000000-0005-0000-0000-00009D0E0000}"/>
    <cellStyle name="Normal 11 4" xfId="2380" xr:uid="{00000000-0005-0000-0000-00009E0E0000}"/>
    <cellStyle name="Normal 11 4 2" xfId="2381" xr:uid="{00000000-0005-0000-0000-00009F0E0000}"/>
    <cellStyle name="Normal 11 5" xfId="2382" xr:uid="{00000000-0005-0000-0000-0000A00E0000}"/>
    <cellStyle name="Normal 11 5 2" xfId="2383" xr:uid="{00000000-0005-0000-0000-0000A10E0000}"/>
    <cellStyle name="Normal 11 6" xfId="2384" xr:uid="{00000000-0005-0000-0000-0000A20E0000}"/>
    <cellStyle name="Normal 11 6 2" xfId="2385" xr:uid="{00000000-0005-0000-0000-0000A30E0000}"/>
    <cellStyle name="Normal 11 7" xfId="2386" xr:uid="{00000000-0005-0000-0000-0000A40E0000}"/>
    <cellStyle name="Normal 11 7 2" xfId="2387" xr:uid="{00000000-0005-0000-0000-0000A50E0000}"/>
    <cellStyle name="Normal 11 8" xfId="2388" xr:uid="{00000000-0005-0000-0000-0000A60E0000}"/>
    <cellStyle name="Normal 11 8 2" xfId="2389" xr:uid="{00000000-0005-0000-0000-0000A70E0000}"/>
    <cellStyle name="Normal 11 9" xfId="3037" xr:uid="{00000000-0005-0000-0000-0000A80E0000}"/>
    <cellStyle name="Normal 11_Harlem 116th-117th 11 22 11" xfId="2390" xr:uid="{00000000-0005-0000-0000-0000A90E0000}"/>
    <cellStyle name="Normal 110" xfId="4963" xr:uid="{00000000-0005-0000-0000-0000AA0E0000}"/>
    <cellStyle name="Normal 111" xfId="4964" xr:uid="{00000000-0005-0000-0000-0000AB0E0000}"/>
    <cellStyle name="Normal 112" xfId="4987" xr:uid="{00000000-0005-0000-0000-0000AC0E0000}"/>
    <cellStyle name="Normal 113" xfId="4993" xr:uid="{00000000-0005-0000-0000-0000AD0E0000}"/>
    <cellStyle name="Normal 114" xfId="4995" xr:uid="{00000000-0005-0000-0000-0000AE0E0000}"/>
    <cellStyle name="Normal 115" xfId="5021" xr:uid="{00000000-0005-0000-0000-0000AF0E0000}"/>
    <cellStyle name="Normal 116" xfId="5057" xr:uid="{00000000-0005-0000-0000-0000B00E0000}"/>
    <cellStyle name="Normal 117" xfId="5152" xr:uid="{00000000-0005-0000-0000-0000B10E0000}"/>
    <cellStyle name="Normal 118" xfId="5027" xr:uid="{00000000-0005-0000-0000-0000B20E0000}"/>
    <cellStyle name="Normal 119" xfId="5229" xr:uid="{00000000-0005-0000-0000-0000B30E0000}"/>
    <cellStyle name="Normal 12" xfId="118" xr:uid="{00000000-0005-0000-0000-0000B40E0000}"/>
    <cellStyle name="Normal 12 2" xfId="136" xr:uid="{00000000-0005-0000-0000-0000B50E0000}"/>
    <cellStyle name="Normal 12 2 2" xfId="2393" xr:uid="{00000000-0005-0000-0000-0000B60E0000}"/>
    <cellStyle name="Normal 12 2 3" xfId="3050" xr:uid="{00000000-0005-0000-0000-0000B70E0000}"/>
    <cellStyle name="Normal 12 2 4" xfId="2392" xr:uid="{00000000-0005-0000-0000-0000B80E0000}"/>
    <cellStyle name="Normal 12 3" xfId="2394" xr:uid="{00000000-0005-0000-0000-0000B90E0000}"/>
    <cellStyle name="Normal 12 3 10" xfId="5307" xr:uid="{00000000-0005-0000-0000-0000BA0E0000}"/>
    <cellStyle name="Normal 12 3 2" xfId="4494" xr:uid="{00000000-0005-0000-0000-0000BB0E0000}"/>
    <cellStyle name="Normal 12 3 3" xfId="222" xr:uid="{00000000-0005-0000-0000-0000BC0E0000}"/>
    <cellStyle name="Normal 12 3 4" xfId="4907" xr:uid="{00000000-0005-0000-0000-0000BD0E0000}"/>
    <cellStyle name="Normal 12 3 5" xfId="4931" xr:uid="{00000000-0005-0000-0000-0000BE0E0000}"/>
    <cellStyle name="Normal 12 3 6" xfId="4985" xr:uid="{00000000-0005-0000-0000-0000BF0E0000}"/>
    <cellStyle name="Normal 12 3 7" xfId="5019" xr:uid="{00000000-0005-0000-0000-0000C00E0000}"/>
    <cellStyle name="Normal 12 3 8" xfId="5251" xr:uid="{00000000-0005-0000-0000-0000C10E0000}"/>
    <cellStyle name="Normal 12 3 9" xfId="5279" xr:uid="{00000000-0005-0000-0000-0000C20E0000}"/>
    <cellStyle name="Normal 12 4" xfId="3038" xr:uid="{00000000-0005-0000-0000-0000C30E0000}"/>
    <cellStyle name="Normal 12 4 2" xfId="4495" xr:uid="{00000000-0005-0000-0000-0000C40E0000}"/>
    <cellStyle name="Normal 12 5" xfId="2391" xr:uid="{00000000-0005-0000-0000-0000C50E0000}"/>
    <cellStyle name="Normal 12 5 2" xfId="4496" xr:uid="{00000000-0005-0000-0000-0000C60E0000}"/>
    <cellStyle name="Normal 12 6" xfId="3589" xr:uid="{00000000-0005-0000-0000-0000C70E0000}"/>
    <cellStyle name="Normal 12 6 2" xfId="4497" xr:uid="{00000000-0005-0000-0000-0000C80E0000}"/>
    <cellStyle name="Normal 12 7" xfId="3435" xr:uid="{00000000-0005-0000-0000-0000C90E0000}"/>
    <cellStyle name="Normal 12 8" xfId="5419" xr:uid="{00000000-0005-0000-0000-0000CA0E0000}"/>
    <cellStyle name="Normal 12_120403-Utica-3rd Flr Gym" xfId="2395" xr:uid="{00000000-0005-0000-0000-0000CB0E0000}"/>
    <cellStyle name="Normal 120" xfId="5257" xr:uid="{00000000-0005-0000-0000-0000CC0E0000}"/>
    <cellStyle name="Normal 121" xfId="5284" xr:uid="{00000000-0005-0000-0000-0000CD0E0000}"/>
    <cellStyle name="Normal 122" xfId="5309" xr:uid="{00000000-0005-0000-0000-0000CE0E0000}"/>
    <cellStyle name="Normal 123" xfId="12" xr:uid="{00000000-0005-0000-0000-0000CF0E0000}"/>
    <cellStyle name="Normal 124" xfId="5314" xr:uid="{00000000-0005-0000-0000-0000D00E0000}"/>
    <cellStyle name="Normal 125" xfId="5318" xr:uid="{00000000-0005-0000-0000-0000D10E0000}"/>
    <cellStyle name="Normal 126" xfId="5323" xr:uid="{00000000-0005-0000-0000-0000D20E0000}"/>
    <cellStyle name="Normal 126 2" xfId="6438" xr:uid="{C9E7F3B0-724D-4EC6-A383-095B7DED3C48}"/>
    <cellStyle name="Normal 127" xfId="5787" xr:uid="{00000000-0005-0000-0000-0000D30E0000}"/>
    <cellStyle name="Normal 128" xfId="5841" xr:uid="{00000000-0005-0000-0000-0000D40E0000}"/>
    <cellStyle name="Normal 129" xfId="5842" xr:uid="{00000000-0005-0000-0000-0000D50E0000}"/>
    <cellStyle name="Normal 13" xfId="143" xr:uid="{00000000-0005-0000-0000-0000D60E0000}"/>
    <cellStyle name="Normal 13 2" xfId="3054" xr:uid="{00000000-0005-0000-0000-0000D70E0000}"/>
    <cellStyle name="Normal 13 2 2" xfId="5641" xr:uid="{00000000-0005-0000-0000-0000D80E0000}"/>
    <cellStyle name="Normal 13 2 3" xfId="5451" xr:uid="{00000000-0005-0000-0000-0000D90E0000}"/>
    <cellStyle name="Normal 13 3" xfId="2396" xr:uid="{00000000-0005-0000-0000-0000DA0E0000}"/>
    <cellStyle name="Normal 13 3 2" xfId="5642" xr:uid="{00000000-0005-0000-0000-0000DB0E0000}"/>
    <cellStyle name="Normal 13 4" xfId="213" xr:uid="{00000000-0005-0000-0000-0000DC0E0000}"/>
    <cellStyle name="Normal 13 5" xfId="5617" xr:uid="{00000000-0005-0000-0000-0000DD0E0000}"/>
    <cellStyle name="Normal 14" xfId="145" xr:uid="{00000000-0005-0000-0000-0000DE0E0000}"/>
    <cellStyle name="Normal 14 10" xfId="238" xr:uid="{00000000-0005-0000-0000-0000DF0E0000}"/>
    <cellStyle name="Normal 14 11" xfId="214" xr:uid="{00000000-0005-0000-0000-0000E00E0000}"/>
    <cellStyle name="Normal 14 2" xfId="2398" xr:uid="{00000000-0005-0000-0000-0000E10E0000}"/>
    <cellStyle name="Normal 14 2 2" xfId="5327" xr:uid="{00000000-0005-0000-0000-0000E20E0000}"/>
    <cellStyle name="Normal 14 3" xfId="3056" xr:uid="{00000000-0005-0000-0000-0000E30E0000}"/>
    <cellStyle name="Normal 14 3 2" xfId="3735" xr:uid="{00000000-0005-0000-0000-0000E40E0000}"/>
    <cellStyle name="Normal 14 3 3" xfId="3808" xr:uid="{00000000-0005-0000-0000-0000E50E0000}"/>
    <cellStyle name="Normal 14 3 4" xfId="3894" xr:uid="{00000000-0005-0000-0000-0000E60E0000}"/>
    <cellStyle name="Normal 14 3 5" xfId="3324" xr:uid="{00000000-0005-0000-0000-0000E70E0000}"/>
    <cellStyle name="Normal 14 4" xfId="2397" xr:uid="{00000000-0005-0000-0000-0000E80E0000}"/>
    <cellStyle name="Normal 14 5" xfId="3082" xr:uid="{00000000-0005-0000-0000-0000E90E0000}"/>
    <cellStyle name="Normal 14 5 2" xfId="3746" xr:uid="{00000000-0005-0000-0000-0000EA0E0000}"/>
    <cellStyle name="Normal 14 5 3" xfId="3816" xr:uid="{00000000-0005-0000-0000-0000EB0E0000}"/>
    <cellStyle name="Normal 14 5 4" xfId="3903" xr:uid="{00000000-0005-0000-0000-0000EC0E0000}"/>
    <cellStyle name="Normal 14 5 5" xfId="3336" xr:uid="{00000000-0005-0000-0000-0000ED0E0000}"/>
    <cellStyle name="Normal 14 6" xfId="3605" xr:uid="{00000000-0005-0000-0000-0000EE0E0000}"/>
    <cellStyle name="Normal 14 6 2" xfId="3868" xr:uid="{00000000-0005-0000-0000-0000EF0E0000}"/>
    <cellStyle name="Normal 14 7" xfId="3436" xr:uid="{00000000-0005-0000-0000-0000F00E0000}"/>
    <cellStyle name="Normal 14 8" xfId="3787" xr:uid="{00000000-0005-0000-0000-0000F10E0000}"/>
    <cellStyle name="Normal 14 9" xfId="3120" xr:uid="{00000000-0005-0000-0000-0000F20E0000}"/>
    <cellStyle name="Normal 145" xfId="3376" xr:uid="{00000000-0005-0000-0000-0000F30E0000}"/>
    <cellStyle name="Normal 15" xfId="150" xr:uid="{00000000-0005-0000-0000-0000F40E0000}"/>
    <cellStyle name="Normal 15 2" xfId="2400" xr:uid="{00000000-0005-0000-0000-0000F50E0000}"/>
    <cellStyle name="Normal 15 3" xfId="3085" xr:uid="{00000000-0005-0000-0000-0000F60E0000}"/>
    <cellStyle name="Normal 15 4" xfId="3656" xr:uid="{00000000-0005-0000-0000-0000F70E0000}"/>
    <cellStyle name="Normal 15 5" xfId="3437" xr:uid="{00000000-0005-0000-0000-0000F80E0000}"/>
    <cellStyle name="Normal 15 6" xfId="2399" xr:uid="{00000000-0005-0000-0000-0000F90E0000}"/>
    <cellStyle name="Normal 16" xfId="151" xr:uid="{00000000-0005-0000-0000-0000FA0E0000}"/>
    <cellStyle name="Normal 16 2" xfId="2402" xr:uid="{00000000-0005-0000-0000-0000FB0E0000}"/>
    <cellStyle name="Normal 16 2 2" xfId="4499" xr:uid="{00000000-0005-0000-0000-0000FC0E0000}"/>
    <cellStyle name="Normal 16 2 3" xfId="4498" xr:uid="{00000000-0005-0000-0000-0000FD0E0000}"/>
    <cellStyle name="Normal 16 3" xfId="3086" xr:uid="{00000000-0005-0000-0000-0000FE0E0000}"/>
    <cellStyle name="Normal 16 3 2" xfId="4500" xr:uid="{00000000-0005-0000-0000-0000FF0E0000}"/>
    <cellStyle name="Normal 16 4" xfId="3657" xr:uid="{00000000-0005-0000-0000-0000000F0000}"/>
    <cellStyle name="Normal 16 4 2" xfId="4501" xr:uid="{00000000-0005-0000-0000-0000010F0000}"/>
    <cellStyle name="Normal 16 5" xfId="3438" xr:uid="{00000000-0005-0000-0000-0000020F0000}"/>
    <cellStyle name="Normal 16 5 2" xfId="4502" xr:uid="{00000000-0005-0000-0000-0000030F0000}"/>
    <cellStyle name="Normal 16 6" xfId="2401" xr:uid="{00000000-0005-0000-0000-0000040F0000}"/>
    <cellStyle name="Normal 16 6 2" xfId="4503" xr:uid="{00000000-0005-0000-0000-0000050F0000}"/>
    <cellStyle name="Normal 17" xfId="152" xr:uid="{00000000-0005-0000-0000-0000060F0000}"/>
    <cellStyle name="Normal 17 2" xfId="2404" xr:uid="{00000000-0005-0000-0000-0000070F0000}"/>
    <cellStyle name="Normal 17 2 2" xfId="4504" xr:uid="{00000000-0005-0000-0000-0000080F0000}"/>
    <cellStyle name="Normal 17 2 3" xfId="4505" xr:uid="{00000000-0005-0000-0000-0000090F0000}"/>
    <cellStyle name="Normal 17 2 4" xfId="4506" xr:uid="{00000000-0005-0000-0000-00000A0F0000}"/>
    <cellStyle name="Normal 17 3" xfId="3087" xr:uid="{00000000-0005-0000-0000-00000B0F0000}"/>
    <cellStyle name="Normal 17 3 2" xfId="4507" xr:uid="{00000000-0005-0000-0000-00000C0F0000}"/>
    <cellStyle name="Normal 17 4" xfId="3658" xr:uid="{00000000-0005-0000-0000-00000D0F0000}"/>
    <cellStyle name="Normal 17 4 2" xfId="4508" xr:uid="{00000000-0005-0000-0000-00000E0F0000}"/>
    <cellStyle name="Normal 17 5" xfId="3439" xr:uid="{00000000-0005-0000-0000-00000F0F0000}"/>
    <cellStyle name="Normal 17 5 2" xfId="4509" xr:uid="{00000000-0005-0000-0000-0000100F0000}"/>
    <cellStyle name="Normal 17 6" xfId="2403" xr:uid="{00000000-0005-0000-0000-0000110F0000}"/>
    <cellStyle name="Normal 17 6 2" xfId="4510" xr:uid="{00000000-0005-0000-0000-0000120F0000}"/>
    <cellStyle name="Normal 17_130205- 280 Franklin" xfId="2405" xr:uid="{00000000-0005-0000-0000-0000130F0000}"/>
    <cellStyle name="Normal 18" xfId="153" xr:uid="{00000000-0005-0000-0000-0000140F0000}"/>
    <cellStyle name="Normal 18 2" xfId="2407" xr:uid="{00000000-0005-0000-0000-0000150F0000}"/>
    <cellStyle name="Normal 18 2 2" xfId="4512" xr:uid="{00000000-0005-0000-0000-0000160F0000}"/>
    <cellStyle name="Normal 18 2 3" xfId="4511" xr:uid="{00000000-0005-0000-0000-0000170F0000}"/>
    <cellStyle name="Normal 18 3" xfId="3088" xr:uid="{00000000-0005-0000-0000-0000180F0000}"/>
    <cellStyle name="Normal 18 3 2" xfId="3747" xr:uid="{00000000-0005-0000-0000-0000190F0000}"/>
    <cellStyle name="Normal 18 3 3" xfId="3817" xr:uid="{00000000-0005-0000-0000-00001A0F0000}"/>
    <cellStyle name="Normal 18 3 4" xfId="3904" xr:uid="{00000000-0005-0000-0000-00001B0F0000}"/>
    <cellStyle name="Normal 18 3 5" xfId="3337" xr:uid="{00000000-0005-0000-0000-00001C0F0000}"/>
    <cellStyle name="Normal 18 4" xfId="3659" xr:uid="{00000000-0005-0000-0000-00001D0F0000}"/>
    <cellStyle name="Normal 18 4 2" xfId="4513" xr:uid="{00000000-0005-0000-0000-00001E0F0000}"/>
    <cellStyle name="Normal 18 5" xfId="3440" xr:uid="{00000000-0005-0000-0000-00001F0F0000}"/>
    <cellStyle name="Normal 18 5 2" xfId="4514" xr:uid="{00000000-0005-0000-0000-0000200F0000}"/>
    <cellStyle name="Normal 18 6" xfId="2406" xr:uid="{00000000-0005-0000-0000-0000210F0000}"/>
    <cellStyle name="Normal 18 6 2" xfId="4515" xr:uid="{00000000-0005-0000-0000-0000220F0000}"/>
    <cellStyle name="Normal 19" xfId="156" xr:uid="{00000000-0005-0000-0000-0000230F0000}"/>
    <cellStyle name="Normal 19 2" xfId="2409" xr:uid="{00000000-0005-0000-0000-0000240F0000}"/>
    <cellStyle name="Normal 19 2 2" xfId="4518" xr:uid="{00000000-0005-0000-0000-0000250F0000}"/>
    <cellStyle name="Normal 19 2 3" xfId="4517" xr:uid="{00000000-0005-0000-0000-0000260F0000}"/>
    <cellStyle name="Normal 19 2 4" xfId="5346" xr:uid="{00000000-0005-0000-0000-0000270F0000}"/>
    <cellStyle name="Normal 19 3" xfId="3091" xr:uid="{00000000-0005-0000-0000-0000280F0000}"/>
    <cellStyle name="Normal 19 3 2" xfId="3750" xr:uid="{00000000-0005-0000-0000-0000290F0000}"/>
    <cellStyle name="Normal 19 3 3" xfId="3820" xr:uid="{00000000-0005-0000-0000-00002A0F0000}"/>
    <cellStyle name="Normal 19 3 4" xfId="3907" xr:uid="{00000000-0005-0000-0000-00002B0F0000}"/>
    <cellStyle name="Normal 19 3 5" xfId="3340" xr:uid="{00000000-0005-0000-0000-00002C0F0000}"/>
    <cellStyle name="Normal 19 4" xfId="2408" xr:uid="{00000000-0005-0000-0000-00002D0F0000}"/>
    <cellStyle name="Normal 19 4 2" xfId="4519" xr:uid="{00000000-0005-0000-0000-00002E0F0000}"/>
    <cellStyle name="Normal 19 5" xfId="4520" xr:uid="{00000000-0005-0000-0000-00002F0F0000}"/>
    <cellStyle name="Normal 19 6" xfId="4521" xr:uid="{00000000-0005-0000-0000-0000300F0000}"/>
    <cellStyle name="Normal 19 7" xfId="4516" xr:uid="{00000000-0005-0000-0000-0000310F0000}"/>
    <cellStyle name="Normal 2" xfId="4" xr:uid="{00000000-0005-0000-0000-0000320F0000}"/>
    <cellStyle name="Normal 2 10" xfId="2411" xr:uid="{00000000-0005-0000-0000-0000330F0000}"/>
    <cellStyle name="Normal 2 10 2" xfId="4522" xr:uid="{00000000-0005-0000-0000-0000340F0000}"/>
    <cellStyle name="Normal 2 10 3" xfId="5643" xr:uid="{00000000-0005-0000-0000-0000350F0000}"/>
    <cellStyle name="Normal 2 11" xfId="2412" xr:uid="{00000000-0005-0000-0000-0000360F0000}"/>
    <cellStyle name="Normal 2 11 2" xfId="4845" xr:uid="{00000000-0005-0000-0000-0000370F0000}"/>
    <cellStyle name="Normal 2 11 3" xfId="5644" xr:uid="{00000000-0005-0000-0000-0000380F0000}"/>
    <cellStyle name="Normal 2 12" xfId="2413" xr:uid="{00000000-0005-0000-0000-0000390F0000}"/>
    <cellStyle name="Normal 2 12 2" xfId="5393" xr:uid="{00000000-0005-0000-0000-00003A0F0000}"/>
    <cellStyle name="Normal 2 13" xfId="2414" xr:uid="{00000000-0005-0000-0000-00003B0F0000}"/>
    <cellStyle name="Normal 2 13 2" xfId="5646" xr:uid="{00000000-0005-0000-0000-00003C0F0000}"/>
    <cellStyle name="Normal 2 14" xfId="2415" xr:uid="{00000000-0005-0000-0000-00003D0F0000}"/>
    <cellStyle name="Normal 2 14 2" xfId="5349" xr:uid="{00000000-0005-0000-0000-00003E0F0000}"/>
    <cellStyle name="Normal 2 15" xfId="2416" xr:uid="{00000000-0005-0000-0000-00003F0F0000}"/>
    <cellStyle name="Normal 2 15 2" xfId="5648" xr:uid="{00000000-0005-0000-0000-0000400F0000}"/>
    <cellStyle name="Normal 2 16" xfId="2417" xr:uid="{00000000-0005-0000-0000-0000410F0000}"/>
    <cellStyle name="Normal 2 16 2" xfId="5649" xr:uid="{00000000-0005-0000-0000-0000420F0000}"/>
    <cellStyle name="Normal 2 17" xfId="2418" xr:uid="{00000000-0005-0000-0000-0000430F0000}"/>
    <cellStyle name="Normal 2 17 2" xfId="5650" xr:uid="{00000000-0005-0000-0000-0000440F0000}"/>
    <cellStyle name="Normal 2 18" xfId="2419" xr:uid="{00000000-0005-0000-0000-0000450F0000}"/>
    <cellStyle name="Normal 2 19" xfId="2420" xr:uid="{00000000-0005-0000-0000-0000460F0000}"/>
    <cellStyle name="Normal 2 2" xfId="15" xr:uid="{00000000-0005-0000-0000-0000470F0000}"/>
    <cellStyle name="Normal 2 2 2" xfId="27" xr:uid="{00000000-0005-0000-0000-0000480F0000}"/>
    <cellStyle name="Normal 2 2 2 2" xfId="125" xr:uid="{00000000-0005-0000-0000-0000490F0000}"/>
    <cellStyle name="Normal 2 2 2 2 2" xfId="2422" xr:uid="{00000000-0005-0000-0000-00004A0F0000}"/>
    <cellStyle name="Normal 2 2 2 2 3" xfId="3593" xr:uid="{00000000-0005-0000-0000-00004B0F0000}"/>
    <cellStyle name="Normal 2 2 2 2 4" xfId="5653" xr:uid="{00000000-0005-0000-0000-00004C0F0000}"/>
    <cellStyle name="Normal 2 2 2 3" xfId="3044" xr:uid="{00000000-0005-0000-0000-00004D0F0000}"/>
    <cellStyle name="Normal 2 2 2 4" xfId="3441" xr:uid="{00000000-0005-0000-0000-00004E0F0000}"/>
    <cellStyle name="Normal 2 2 2 5" xfId="5651" xr:uid="{00000000-0005-0000-0000-00004F0F0000}"/>
    <cellStyle name="Normal 2 2 3" xfId="22" xr:uid="{00000000-0005-0000-0000-0000500F0000}"/>
    <cellStyle name="Normal 2 2 3 2" xfId="2423" xr:uid="{00000000-0005-0000-0000-0000510F0000}"/>
    <cellStyle name="Normal 2 2 3 3" xfId="5521" xr:uid="{00000000-0005-0000-0000-0000520F0000}"/>
    <cellStyle name="Normal 2 2 4" xfId="159" xr:uid="{00000000-0005-0000-0000-0000530F0000}"/>
    <cellStyle name="Normal 2 2 4 2" xfId="2425" xr:uid="{00000000-0005-0000-0000-0000540F0000}"/>
    <cellStyle name="Normal 2 2 4 3" xfId="3094" xr:uid="{00000000-0005-0000-0000-0000550F0000}"/>
    <cellStyle name="Normal 2 2 4 3 2" xfId="3753" xr:uid="{00000000-0005-0000-0000-0000560F0000}"/>
    <cellStyle name="Normal 2 2 4 3 3" xfId="3823" xr:uid="{00000000-0005-0000-0000-0000570F0000}"/>
    <cellStyle name="Normal 2 2 4 3 4" xfId="3910" xr:uid="{00000000-0005-0000-0000-0000580F0000}"/>
    <cellStyle name="Normal 2 2 4 3 5" xfId="3343" xr:uid="{00000000-0005-0000-0000-0000590F0000}"/>
    <cellStyle name="Normal 2 2 4 4" xfId="2424" xr:uid="{00000000-0005-0000-0000-00005A0F0000}"/>
    <cellStyle name="Normal 2 2 4 5" xfId="5096" xr:uid="{00000000-0005-0000-0000-00005B0F0000}"/>
    <cellStyle name="Normal 2 2 5" xfId="2426" xr:uid="{00000000-0005-0000-0000-00005C0F0000}"/>
    <cellStyle name="Normal 2 2 5 2" xfId="2427" xr:uid="{00000000-0005-0000-0000-00005D0F0000}"/>
    <cellStyle name="Normal 2 2 6" xfId="2428" xr:uid="{00000000-0005-0000-0000-00005E0F0000}"/>
    <cellStyle name="Normal 2 2 6 2" xfId="2429" xr:uid="{00000000-0005-0000-0000-00005F0F0000}"/>
    <cellStyle name="Normal 2 2 7" xfId="2430" xr:uid="{00000000-0005-0000-0000-0000600F0000}"/>
    <cellStyle name="Normal 2 2 7 2" xfId="2431" xr:uid="{00000000-0005-0000-0000-0000610F0000}"/>
    <cellStyle name="Normal 2 2 7 3" xfId="4846" xr:uid="{00000000-0005-0000-0000-0000620F0000}"/>
    <cellStyle name="Normal 2 2 8" xfId="2432" xr:uid="{00000000-0005-0000-0000-0000630F0000}"/>
    <cellStyle name="Normal 2 2 8 2" xfId="2433" xr:uid="{00000000-0005-0000-0000-0000640F0000}"/>
    <cellStyle name="Normal 2 2 9" xfId="2421" xr:uid="{00000000-0005-0000-0000-0000650F0000}"/>
    <cellStyle name="Normal 2 2_88 Richardson 80-20 1-31-12 Invest Memo" xfId="2434" xr:uid="{00000000-0005-0000-0000-0000660F0000}"/>
    <cellStyle name="Normal 2 20" xfId="2435" xr:uid="{00000000-0005-0000-0000-0000670F0000}"/>
    <cellStyle name="Normal 2 21" xfId="2436" xr:uid="{00000000-0005-0000-0000-0000680F0000}"/>
    <cellStyle name="Normal 2 22" xfId="2437" xr:uid="{00000000-0005-0000-0000-0000690F0000}"/>
    <cellStyle name="Normal 2 23" xfId="2438" xr:uid="{00000000-0005-0000-0000-00006A0F0000}"/>
    <cellStyle name="Normal 2 24" xfId="2439" xr:uid="{00000000-0005-0000-0000-00006B0F0000}"/>
    <cellStyle name="Normal 2 25" xfId="2440" xr:uid="{00000000-0005-0000-0000-00006C0F0000}"/>
    <cellStyle name="Normal 2 26" xfId="2441" xr:uid="{00000000-0005-0000-0000-00006D0F0000}"/>
    <cellStyle name="Normal 2 27" xfId="2442" xr:uid="{00000000-0005-0000-0000-00006E0F0000}"/>
    <cellStyle name="Normal 2 28" xfId="2443" xr:uid="{00000000-0005-0000-0000-00006F0F0000}"/>
    <cellStyle name="Normal 2 29" xfId="2444" xr:uid="{00000000-0005-0000-0000-0000700F0000}"/>
    <cellStyle name="Normal 2 3" xfId="16" xr:uid="{00000000-0005-0000-0000-0000710F0000}"/>
    <cellStyle name="Normal 2 3 2" xfId="28" xr:uid="{00000000-0005-0000-0000-0000720F0000}"/>
    <cellStyle name="Normal 2 3 2 2" xfId="5640" xr:uid="{00000000-0005-0000-0000-0000730F0000}"/>
    <cellStyle name="Normal 2 3 3" xfId="23" xr:uid="{00000000-0005-0000-0000-0000740F0000}"/>
    <cellStyle name="Normal 2 3 3 2" xfId="2445" xr:uid="{00000000-0005-0000-0000-0000750F0000}"/>
    <cellStyle name="Normal 2 3 4" xfId="120" xr:uid="{00000000-0005-0000-0000-0000760F0000}"/>
    <cellStyle name="Normal 2 3 5" xfId="3442" xr:uid="{00000000-0005-0000-0000-0000770F0000}"/>
    <cellStyle name="Normal 2 30" xfId="2446" xr:uid="{00000000-0005-0000-0000-0000780F0000}"/>
    <cellStyle name="Normal 2 31" xfId="2447" xr:uid="{00000000-0005-0000-0000-0000790F0000}"/>
    <cellStyle name="Normal 2 31 2" xfId="2448" xr:uid="{00000000-0005-0000-0000-00007A0F0000}"/>
    <cellStyle name="Normal 2 32" xfId="2449" xr:uid="{00000000-0005-0000-0000-00007B0F0000}"/>
    <cellStyle name="Normal 2 32 2" xfId="2450" xr:uid="{00000000-0005-0000-0000-00007C0F0000}"/>
    <cellStyle name="Normal 2 33" xfId="2451" xr:uid="{00000000-0005-0000-0000-00007D0F0000}"/>
    <cellStyle name="Normal 2 33 2" xfId="2452" xr:uid="{00000000-0005-0000-0000-00007E0F0000}"/>
    <cellStyle name="Normal 2 34" xfId="2453" xr:uid="{00000000-0005-0000-0000-00007F0F0000}"/>
    <cellStyle name="Normal 2 34 2" xfId="2454" xr:uid="{00000000-0005-0000-0000-0000800F0000}"/>
    <cellStyle name="Normal 2 35" xfId="2455" xr:uid="{00000000-0005-0000-0000-0000810F0000}"/>
    <cellStyle name="Normal 2 35 2" xfId="2456" xr:uid="{00000000-0005-0000-0000-0000820F0000}"/>
    <cellStyle name="Normal 2 36" xfId="2457" xr:uid="{00000000-0005-0000-0000-0000830F0000}"/>
    <cellStyle name="Normal 2 36 2" xfId="2458" xr:uid="{00000000-0005-0000-0000-0000840F0000}"/>
    <cellStyle name="Normal 2 37" xfId="2459" xr:uid="{00000000-0005-0000-0000-0000850F0000}"/>
    <cellStyle name="Normal 2 37 2" xfId="2460" xr:uid="{00000000-0005-0000-0000-0000860F0000}"/>
    <cellStyle name="Normal 2 38" xfId="2410" xr:uid="{00000000-0005-0000-0000-0000870F0000}"/>
    <cellStyle name="Normal 2 39" xfId="2992" xr:uid="{00000000-0005-0000-0000-0000880F0000}"/>
    <cellStyle name="Normal 2 4" xfId="30" xr:uid="{00000000-0005-0000-0000-0000890F0000}"/>
    <cellStyle name="Normal 2 4 2" xfId="33" xr:uid="{00000000-0005-0000-0000-00008A0F0000}"/>
    <cellStyle name="Normal 2 4 2 2" xfId="4523" xr:uid="{00000000-0005-0000-0000-00008B0F0000}"/>
    <cellStyle name="Normal 2 4 2 2 2" xfId="5655" xr:uid="{00000000-0005-0000-0000-00008C0F0000}"/>
    <cellStyle name="Normal 2 4 2 3" xfId="5369" xr:uid="{00000000-0005-0000-0000-00008D0F0000}"/>
    <cellStyle name="Normal 2 4 3" xfId="135" xr:uid="{00000000-0005-0000-0000-00008E0F0000}"/>
    <cellStyle name="Normal 2 4 3 2" xfId="2461" xr:uid="{00000000-0005-0000-0000-00008F0F0000}"/>
    <cellStyle name="Normal 2 4 3 3" xfId="4524" xr:uid="{00000000-0005-0000-0000-0000900F0000}"/>
    <cellStyle name="Normal 2 4 3 4" xfId="5359" xr:uid="{00000000-0005-0000-0000-0000910F0000}"/>
    <cellStyle name="Normal 2 4 4" xfId="189" xr:uid="{00000000-0005-0000-0000-0000920F0000}"/>
    <cellStyle name="Normal 2 4 4 2" xfId="3049" xr:uid="{00000000-0005-0000-0000-0000930F0000}"/>
    <cellStyle name="Normal 2 4 5" xfId="5654" xr:uid="{00000000-0005-0000-0000-0000940F0000}"/>
    <cellStyle name="Normal 2 40" xfId="4942" xr:uid="{00000000-0005-0000-0000-0000950F0000}"/>
    <cellStyle name="Normal 2 41" xfId="4950" xr:uid="{00000000-0005-0000-0000-0000960F0000}"/>
    <cellStyle name="Normal 2 42" xfId="4937" xr:uid="{00000000-0005-0000-0000-0000970F0000}"/>
    <cellStyle name="Normal 2 43" xfId="5322" xr:uid="{00000000-0005-0000-0000-0000980F0000}"/>
    <cellStyle name="Normal 2 5" xfId="32" xr:uid="{00000000-0005-0000-0000-0000990F0000}"/>
    <cellStyle name="Normal 2 5 2" xfId="2462" xr:uid="{00000000-0005-0000-0000-00009A0F0000}"/>
    <cellStyle name="Normal 2 5 2 2" xfId="5656" xr:uid="{00000000-0005-0000-0000-00009B0F0000}"/>
    <cellStyle name="Normal 2 5 3" xfId="5363" xr:uid="{00000000-0005-0000-0000-00009C0F0000}"/>
    <cellStyle name="Normal 2 6" xfId="157" xr:uid="{00000000-0005-0000-0000-00009D0F0000}"/>
    <cellStyle name="Normal 2 6 2" xfId="3092" xr:uid="{00000000-0005-0000-0000-00009E0F0000}"/>
    <cellStyle name="Normal 2 6 2 2" xfId="3751" xr:uid="{00000000-0005-0000-0000-00009F0F0000}"/>
    <cellStyle name="Normal 2 6 2 3" xfId="3821" xr:uid="{00000000-0005-0000-0000-0000A00F0000}"/>
    <cellStyle name="Normal 2 6 2 4" xfId="3908" xr:uid="{00000000-0005-0000-0000-0000A10F0000}"/>
    <cellStyle name="Normal 2 6 2 5" xfId="3341" xr:uid="{00000000-0005-0000-0000-0000A20F0000}"/>
    <cellStyle name="Normal 2 6 3" xfId="2463" xr:uid="{00000000-0005-0000-0000-0000A30F0000}"/>
    <cellStyle name="Normal 2 6 4" xfId="4525" xr:uid="{00000000-0005-0000-0000-0000A40F0000}"/>
    <cellStyle name="Normal 2 7" xfId="2464" xr:uid="{00000000-0005-0000-0000-0000A50F0000}"/>
    <cellStyle name="Normal 2 7 2" xfId="4526" xr:uid="{00000000-0005-0000-0000-0000A60F0000}"/>
    <cellStyle name="Normal 2 7 3" xfId="5331" xr:uid="{00000000-0005-0000-0000-0000A70F0000}"/>
    <cellStyle name="Normal 2 8" xfId="2465" xr:uid="{00000000-0005-0000-0000-0000A80F0000}"/>
    <cellStyle name="Normal 2 8 2" xfId="4527" xr:uid="{00000000-0005-0000-0000-0000A90F0000}"/>
    <cellStyle name="Normal 2 8 3" xfId="5511" xr:uid="{00000000-0005-0000-0000-0000AA0F0000}"/>
    <cellStyle name="Normal 2 9" xfId="2466" xr:uid="{00000000-0005-0000-0000-0000AB0F0000}"/>
    <cellStyle name="Normal 2 9 2" xfId="4528" xr:uid="{00000000-0005-0000-0000-0000AC0F0000}"/>
    <cellStyle name="Normal 2 9 3" xfId="5532" xr:uid="{00000000-0005-0000-0000-0000AD0F0000}"/>
    <cellStyle name="Normal 2_111_Washington_9-14-10_loan_size_base_on_$55_rents_$40MMland_-_new_model_10am - changes v1" xfId="2467" xr:uid="{00000000-0005-0000-0000-0000AE0F0000}"/>
    <cellStyle name="Normal 20" xfId="161" xr:uid="{00000000-0005-0000-0000-0000AF0F0000}"/>
    <cellStyle name="Normal 20 2" xfId="2469" xr:uid="{00000000-0005-0000-0000-0000B00F0000}"/>
    <cellStyle name="Normal 20 2 2" xfId="4530" xr:uid="{00000000-0005-0000-0000-0000B10F0000}"/>
    <cellStyle name="Normal 20 2 3" xfId="4529" xr:uid="{00000000-0005-0000-0000-0000B20F0000}"/>
    <cellStyle name="Normal 20 3" xfId="3660" xr:uid="{00000000-0005-0000-0000-0000B30F0000}"/>
    <cellStyle name="Normal 20 3 2" xfId="4531" xr:uid="{00000000-0005-0000-0000-0000B40F0000}"/>
    <cellStyle name="Normal 20 4" xfId="3443" xr:uid="{00000000-0005-0000-0000-0000B50F0000}"/>
    <cellStyle name="Normal 20 4 2" xfId="4532" xr:uid="{00000000-0005-0000-0000-0000B60F0000}"/>
    <cellStyle name="Normal 20 5" xfId="2468" xr:uid="{00000000-0005-0000-0000-0000B70F0000}"/>
    <cellStyle name="Normal 20 6" xfId="4533" xr:uid="{00000000-0005-0000-0000-0000B80F0000}"/>
    <cellStyle name="Normal 20 7" xfId="4908" xr:uid="{00000000-0005-0000-0000-0000B90F0000}"/>
    <cellStyle name="Normal 21" xfId="2470" xr:uid="{00000000-0005-0000-0000-0000BA0F0000}"/>
    <cellStyle name="Normal 21 2" xfId="3661" xr:uid="{00000000-0005-0000-0000-0000BB0F0000}"/>
    <cellStyle name="Normal 21 2 2" xfId="4535" xr:uid="{00000000-0005-0000-0000-0000BC0F0000}"/>
    <cellStyle name="Normal 21 2 3" xfId="4534" xr:uid="{00000000-0005-0000-0000-0000BD0F0000}"/>
    <cellStyle name="Normal 21 3" xfId="3444" xr:uid="{00000000-0005-0000-0000-0000BE0F0000}"/>
    <cellStyle name="Normal 21 3 2" xfId="4536" xr:uid="{00000000-0005-0000-0000-0000BF0F0000}"/>
    <cellStyle name="Normal 21 4" xfId="4537" xr:uid="{00000000-0005-0000-0000-0000C00F0000}"/>
    <cellStyle name="Normal 21 5" xfId="4538" xr:uid="{00000000-0005-0000-0000-0000C10F0000}"/>
    <cellStyle name="Normal 21 6" xfId="4539" xr:uid="{00000000-0005-0000-0000-0000C20F0000}"/>
    <cellStyle name="Normal 22" xfId="2471" xr:uid="{00000000-0005-0000-0000-0000C30F0000}"/>
    <cellStyle name="Normal 22 2" xfId="2472" xr:uid="{00000000-0005-0000-0000-0000C40F0000}"/>
    <cellStyle name="Normal 22 2 2" xfId="4541" xr:uid="{00000000-0005-0000-0000-0000C50F0000}"/>
    <cellStyle name="Normal 22 2 3" xfId="4540" xr:uid="{00000000-0005-0000-0000-0000C60F0000}"/>
    <cellStyle name="Normal 22 3" xfId="3662" xr:uid="{00000000-0005-0000-0000-0000C70F0000}"/>
    <cellStyle name="Normal 22 3 2" xfId="4542" xr:uid="{00000000-0005-0000-0000-0000C80F0000}"/>
    <cellStyle name="Normal 22 4" xfId="3445" xr:uid="{00000000-0005-0000-0000-0000C90F0000}"/>
    <cellStyle name="Normal 22 4 2" xfId="4543" xr:uid="{00000000-0005-0000-0000-0000CA0F0000}"/>
    <cellStyle name="Normal 22 5" xfId="4544" xr:uid="{00000000-0005-0000-0000-0000CB0F0000}"/>
    <cellStyle name="Normal 22 6" xfId="4545" xr:uid="{00000000-0005-0000-0000-0000CC0F0000}"/>
    <cellStyle name="Normal 23" xfId="2473" xr:uid="{00000000-0005-0000-0000-0000CD0F0000}"/>
    <cellStyle name="Normal 23 2" xfId="3663" xr:uid="{00000000-0005-0000-0000-0000CE0F0000}"/>
    <cellStyle name="Normal 23 2 2" xfId="4547" xr:uid="{00000000-0005-0000-0000-0000CF0F0000}"/>
    <cellStyle name="Normal 23 2 3" xfId="4546" xr:uid="{00000000-0005-0000-0000-0000D00F0000}"/>
    <cellStyle name="Normal 23 3" xfId="3446" xr:uid="{00000000-0005-0000-0000-0000D10F0000}"/>
    <cellStyle name="Normal 23 3 2" xfId="4548" xr:uid="{00000000-0005-0000-0000-0000D20F0000}"/>
    <cellStyle name="Normal 23 4" xfId="4549" xr:uid="{00000000-0005-0000-0000-0000D30F0000}"/>
    <cellStyle name="Normal 23 5" xfId="4550" xr:uid="{00000000-0005-0000-0000-0000D40F0000}"/>
    <cellStyle name="Normal 23 6" xfId="4551" xr:uid="{00000000-0005-0000-0000-0000D50F0000}"/>
    <cellStyle name="Normal 24" xfId="2474" xr:uid="{00000000-0005-0000-0000-0000D60F0000}"/>
    <cellStyle name="Normal 24 2" xfId="3664" xr:uid="{00000000-0005-0000-0000-0000D70F0000}"/>
    <cellStyle name="Normal 24 2 2" xfId="4552" xr:uid="{00000000-0005-0000-0000-0000D80F0000}"/>
    <cellStyle name="Normal 24 3" xfId="3447" xr:uid="{00000000-0005-0000-0000-0000D90F0000}"/>
    <cellStyle name="Normal 24 3 2" xfId="4553" xr:uid="{00000000-0005-0000-0000-0000DA0F0000}"/>
    <cellStyle name="Normal 24 4" xfId="4554" xr:uid="{00000000-0005-0000-0000-0000DB0F0000}"/>
    <cellStyle name="Normal 25" xfId="2475" xr:uid="{00000000-0005-0000-0000-0000DC0F0000}"/>
    <cellStyle name="Normal 25 2" xfId="3665" xr:uid="{00000000-0005-0000-0000-0000DD0F0000}"/>
    <cellStyle name="Normal 25 3" xfId="3448" xr:uid="{00000000-0005-0000-0000-0000DE0F0000}"/>
    <cellStyle name="Normal 25 3 2" xfId="4555" xr:uid="{00000000-0005-0000-0000-0000DF0F0000}"/>
    <cellStyle name="Normal 26" xfId="2476" xr:uid="{00000000-0005-0000-0000-0000E00F0000}"/>
    <cellStyle name="Normal 26 2" xfId="3666" xr:uid="{00000000-0005-0000-0000-0000E10F0000}"/>
    <cellStyle name="Normal 26 2 2" xfId="5657" xr:uid="{00000000-0005-0000-0000-0000E20F0000}"/>
    <cellStyle name="Normal 26 3" xfId="3449" xr:uid="{00000000-0005-0000-0000-0000E30F0000}"/>
    <cellStyle name="Normal 26 4" xfId="4556" xr:uid="{00000000-0005-0000-0000-0000E40F0000}"/>
    <cellStyle name="Normal 27" xfId="2477" xr:uid="{00000000-0005-0000-0000-0000E50F0000}"/>
    <cellStyle name="Normal 27 2" xfId="3667" xr:uid="{00000000-0005-0000-0000-0000E60F0000}"/>
    <cellStyle name="Normal 27 2 2" xfId="5480" xr:uid="{00000000-0005-0000-0000-0000E70F0000}"/>
    <cellStyle name="Normal 27 3" xfId="3450" xr:uid="{00000000-0005-0000-0000-0000E80F0000}"/>
    <cellStyle name="Normal 27 4" xfId="4557" xr:uid="{00000000-0005-0000-0000-0000E90F0000}"/>
    <cellStyle name="Normal 28" xfId="2478" xr:uid="{00000000-0005-0000-0000-0000EA0F0000}"/>
    <cellStyle name="Normal 28 2" xfId="3668" xr:uid="{00000000-0005-0000-0000-0000EB0F0000}"/>
    <cellStyle name="Normal 28 2 2" xfId="5647" xr:uid="{00000000-0005-0000-0000-0000EC0F0000}"/>
    <cellStyle name="Normal 28 3" xfId="3451" xr:uid="{00000000-0005-0000-0000-0000ED0F0000}"/>
    <cellStyle name="Normal 28 4" xfId="4558" xr:uid="{00000000-0005-0000-0000-0000EE0F0000}"/>
    <cellStyle name="Normal 28 5" xfId="5506" xr:uid="{00000000-0005-0000-0000-0000EF0F0000}"/>
    <cellStyle name="Normal 29" xfId="257" xr:uid="{00000000-0005-0000-0000-0000F00F0000}"/>
    <cellStyle name="Normal 29 2" xfId="3609" xr:uid="{00000000-0005-0000-0000-0000F10F0000}"/>
    <cellStyle name="Normal 29 2 2" xfId="5380" xr:uid="{00000000-0005-0000-0000-0000F20F0000}"/>
    <cellStyle name="Normal 29 2 3" xfId="5507" xr:uid="{00000000-0005-0000-0000-0000F30F0000}"/>
    <cellStyle name="Normal 29 3" xfId="3452" xr:uid="{00000000-0005-0000-0000-0000F40F0000}"/>
    <cellStyle name="Normal 29 3 2" xfId="5559" xr:uid="{00000000-0005-0000-0000-0000F50F0000}"/>
    <cellStyle name="Normal 29 3 3" xfId="5422" xr:uid="{00000000-0005-0000-0000-0000F60F0000}"/>
    <cellStyle name="Normal 3" xfId="10" xr:uid="{00000000-0005-0000-0000-0000F70F0000}"/>
    <cellStyle name="Normal 3 10" xfId="2479" xr:uid="{00000000-0005-0000-0000-0000F80F0000}"/>
    <cellStyle name="Normal 3 10 2" xfId="4560" xr:uid="{00000000-0005-0000-0000-0000F90F0000}"/>
    <cellStyle name="Normal 3 11" xfId="3021" xr:uid="{00000000-0005-0000-0000-0000FA0F0000}"/>
    <cellStyle name="Normal 3 11 2" xfId="4561" xr:uid="{00000000-0005-0000-0000-0000FB0F0000}"/>
    <cellStyle name="Normal 3 12" xfId="4562" xr:uid="{00000000-0005-0000-0000-0000FC0F0000}"/>
    <cellStyle name="Normal 3 13" xfId="4563" xr:uid="{00000000-0005-0000-0000-0000FD0F0000}"/>
    <cellStyle name="Normal 3 14" xfId="4847" xr:uid="{00000000-0005-0000-0000-0000FE0F0000}"/>
    <cellStyle name="Normal 3 15" xfId="4559" xr:uid="{00000000-0005-0000-0000-0000FF0F0000}"/>
    <cellStyle name="Normal 3 16" xfId="5025" xr:uid="{00000000-0005-0000-0000-000000100000}"/>
    <cellStyle name="Normal 3 17" xfId="17" xr:uid="{00000000-0005-0000-0000-000001100000}"/>
    <cellStyle name="Normal 3 2" xfId="141" xr:uid="{00000000-0005-0000-0000-000002100000}"/>
    <cellStyle name="Normal 3 2 2" xfId="3053" xr:uid="{00000000-0005-0000-0000-000003100000}"/>
    <cellStyle name="Normal 3 2 2 2" xfId="4566" xr:uid="{00000000-0005-0000-0000-000004100000}"/>
    <cellStyle name="Normal 3 2 2 2 2" xfId="4567" xr:uid="{00000000-0005-0000-0000-000005100000}"/>
    <cellStyle name="Normal 3 2 2 3" xfId="4568" xr:uid="{00000000-0005-0000-0000-000006100000}"/>
    <cellStyle name="Normal 3 2 2 3 2" xfId="4569" xr:uid="{00000000-0005-0000-0000-000007100000}"/>
    <cellStyle name="Normal 3 2 2 4" xfId="4570" xr:uid="{00000000-0005-0000-0000-000008100000}"/>
    <cellStyle name="Normal 3 2 2 4 2" xfId="4571" xr:uid="{00000000-0005-0000-0000-000009100000}"/>
    <cellStyle name="Normal 3 2 2 5" xfId="4572" xr:uid="{00000000-0005-0000-0000-00000A100000}"/>
    <cellStyle name="Normal 3 2 2 6" xfId="4565" xr:uid="{00000000-0005-0000-0000-00000B100000}"/>
    <cellStyle name="Normal 3 2 2 7" xfId="5097" xr:uid="{00000000-0005-0000-0000-00000C100000}"/>
    <cellStyle name="Normal 3 2 3" xfId="2480" xr:uid="{00000000-0005-0000-0000-00000D100000}"/>
    <cellStyle name="Normal 3 2 3 2" xfId="4574" xr:uid="{00000000-0005-0000-0000-00000E100000}"/>
    <cellStyle name="Normal 3 2 3 2 2" xfId="5446" xr:uid="{00000000-0005-0000-0000-00000F100000}"/>
    <cellStyle name="Normal 3 2 3 3" xfId="4573" xr:uid="{00000000-0005-0000-0000-000010100000}"/>
    <cellStyle name="Normal 3 2 3 4" xfId="5371" xr:uid="{00000000-0005-0000-0000-000011100000}"/>
    <cellStyle name="Normal 3 2 4" xfId="3603" xr:uid="{00000000-0005-0000-0000-000012100000}"/>
    <cellStyle name="Normal 3 2 4 2" xfId="4575" xr:uid="{00000000-0005-0000-0000-000013100000}"/>
    <cellStyle name="Normal 3 2 4 3" xfId="5358" xr:uid="{00000000-0005-0000-0000-000014100000}"/>
    <cellStyle name="Normal 3 2 5" xfId="3453" xr:uid="{00000000-0005-0000-0000-000015100000}"/>
    <cellStyle name="Normal 3 2 6" xfId="4564" xr:uid="{00000000-0005-0000-0000-000016100000}"/>
    <cellStyle name="Normal 3 2 7" xfId="4943" xr:uid="{00000000-0005-0000-0000-000017100000}"/>
    <cellStyle name="Normal 3 3" xfId="144" xr:uid="{00000000-0005-0000-0000-000018100000}"/>
    <cellStyle name="Normal 3 3 2" xfId="3055" xr:uid="{00000000-0005-0000-0000-000019100000}"/>
    <cellStyle name="Normal 3 3 2 2" xfId="4577" xr:uid="{00000000-0005-0000-0000-00001A100000}"/>
    <cellStyle name="Normal 3 3 3" xfId="2481" xr:uid="{00000000-0005-0000-0000-00001B100000}"/>
    <cellStyle name="Normal 3 3 3 2" xfId="5472" xr:uid="{00000000-0005-0000-0000-00001C100000}"/>
    <cellStyle name="Normal 3 3 4" xfId="4576" xr:uid="{00000000-0005-0000-0000-00001D100000}"/>
    <cellStyle name="Normal 3 4" xfId="76" xr:uid="{00000000-0005-0000-0000-00001E100000}"/>
    <cellStyle name="Normal 3 4 2" xfId="2482" xr:uid="{00000000-0005-0000-0000-00001F100000}"/>
    <cellStyle name="Normal 3 4 2 2" xfId="5659" xr:uid="{00000000-0005-0000-0000-000020100000}"/>
    <cellStyle name="Normal 3 4 3" xfId="5658" xr:uid="{00000000-0005-0000-0000-000021100000}"/>
    <cellStyle name="Normal 3 5" xfId="2483" xr:uid="{00000000-0005-0000-0000-000022100000}"/>
    <cellStyle name="Normal 3 5 2" xfId="4578" xr:uid="{00000000-0005-0000-0000-000023100000}"/>
    <cellStyle name="Normal 3 5 3" xfId="5660" xr:uid="{00000000-0005-0000-0000-000024100000}"/>
    <cellStyle name="Normal 3 6" xfId="2484" xr:uid="{00000000-0005-0000-0000-000025100000}"/>
    <cellStyle name="Normal 3 6 2" xfId="4579" xr:uid="{00000000-0005-0000-0000-000026100000}"/>
    <cellStyle name="Normal 3 7" xfId="2485" xr:uid="{00000000-0005-0000-0000-000027100000}"/>
    <cellStyle name="Normal 3 7 2" xfId="4580" xr:uid="{00000000-0005-0000-0000-000028100000}"/>
    <cellStyle name="Normal 3 8" xfId="2486" xr:uid="{00000000-0005-0000-0000-000029100000}"/>
    <cellStyle name="Normal 3 8 2" xfId="4581" xr:uid="{00000000-0005-0000-0000-00002A100000}"/>
    <cellStyle name="Normal 3 9" xfId="2487" xr:uid="{00000000-0005-0000-0000-00002B100000}"/>
    <cellStyle name="Normal 3 9 2" xfId="4583" xr:uid="{00000000-0005-0000-0000-00002C100000}"/>
    <cellStyle name="Normal 3 9 2 2" xfId="4584" xr:uid="{00000000-0005-0000-0000-00002D100000}"/>
    <cellStyle name="Normal 3 9 3" xfId="4585" xr:uid="{00000000-0005-0000-0000-00002E100000}"/>
    <cellStyle name="Normal 3 9 4" xfId="4586" xr:uid="{00000000-0005-0000-0000-00002F100000}"/>
    <cellStyle name="Normal 3 9 5" xfId="4582" xr:uid="{00000000-0005-0000-0000-000030100000}"/>
    <cellStyle name="Normal 3_120403-Utica-3rd Flr Gym" xfId="2488" xr:uid="{00000000-0005-0000-0000-000031100000}"/>
    <cellStyle name="Normal 30" xfId="2955" xr:uid="{00000000-0005-0000-0000-000032100000}"/>
    <cellStyle name="Normal 30 2" xfId="3711" xr:uid="{00000000-0005-0000-0000-000033100000}"/>
    <cellStyle name="Normal 30 2 2" xfId="4587" xr:uid="{00000000-0005-0000-0000-000034100000}"/>
    <cellStyle name="Normal 30 3" xfId="3454" xr:uid="{00000000-0005-0000-0000-000035100000}"/>
    <cellStyle name="Normal 31" xfId="2976" xr:uid="{00000000-0005-0000-0000-000036100000}"/>
    <cellStyle name="Normal 31 2" xfId="3716" xr:uid="{00000000-0005-0000-0000-000037100000}"/>
    <cellStyle name="Normal 31 2 2" xfId="4588" xr:uid="{00000000-0005-0000-0000-000038100000}"/>
    <cellStyle name="Normal 31 3" xfId="3455" xr:uid="{00000000-0005-0000-0000-000039100000}"/>
    <cellStyle name="Normal 32" xfId="2977" xr:uid="{00000000-0005-0000-0000-00003A100000}"/>
    <cellStyle name="Normal 32 2" xfId="3717" xr:uid="{00000000-0005-0000-0000-00003B100000}"/>
    <cellStyle name="Normal 32 3" xfId="3456" xr:uid="{00000000-0005-0000-0000-00003C100000}"/>
    <cellStyle name="Normal 33" xfId="2978" xr:uid="{00000000-0005-0000-0000-00003D100000}"/>
    <cellStyle name="Normal 33 2" xfId="3718" xr:uid="{00000000-0005-0000-0000-00003E100000}"/>
    <cellStyle name="Normal 33 3" xfId="3457" xr:uid="{00000000-0005-0000-0000-00003F100000}"/>
    <cellStyle name="Normal 34" xfId="255" xr:uid="{00000000-0005-0000-0000-000040100000}"/>
    <cellStyle name="Normal 34 2" xfId="3608" xr:uid="{00000000-0005-0000-0000-000041100000}"/>
    <cellStyle name="Normal 34 2 2" xfId="3869" xr:uid="{00000000-0005-0000-0000-000042100000}"/>
    <cellStyle name="Normal 34 2 3" xfId="5508" xr:uid="{00000000-0005-0000-0000-000043100000}"/>
    <cellStyle name="Normal 34 3" xfId="3458" xr:uid="{00000000-0005-0000-0000-000044100000}"/>
    <cellStyle name="Normal 34 4" xfId="3788" xr:uid="{00000000-0005-0000-0000-000045100000}"/>
    <cellStyle name="Normal 34 5" xfId="3129" xr:uid="{00000000-0005-0000-0000-000046100000}"/>
    <cellStyle name="Normal 34 6" xfId="4589" xr:uid="{00000000-0005-0000-0000-000047100000}"/>
    <cellStyle name="Normal 35" xfId="2979" xr:uid="{00000000-0005-0000-0000-000048100000}"/>
    <cellStyle name="Normal 35 2" xfId="4590" xr:uid="{00000000-0005-0000-0000-000049100000}"/>
    <cellStyle name="Normal 36" xfId="2984" xr:uid="{00000000-0005-0000-0000-00004A100000}"/>
    <cellStyle name="Normal 36 2" xfId="4591" xr:uid="{00000000-0005-0000-0000-00004B100000}"/>
    <cellStyle name="Normal 37" xfId="2988" xr:uid="{00000000-0005-0000-0000-00004C100000}"/>
    <cellStyle name="Normal 37 2" xfId="4592" xr:uid="{00000000-0005-0000-0000-00004D100000}"/>
    <cellStyle name="Normal 37 2 2" xfId="5443" xr:uid="{00000000-0005-0000-0000-00004E100000}"/>
    <cellStyle name="Normal 37 2 3" xfId="5661" xr:uid="{00000000-0005-0000-0000-00004F100000}"/>
    <cellStyle name="Normal 37 3" xfId="5387" xr:uid="{00000000-0005-0000-0000-000050100000}"/>
    <cellStyle name="Normal 37 4" xfId="5516" xr:uid="{00000000-0005-0000-0000-000051100000}"/>
    <cellStyle name="Normal 38" xfId="2991" xr:uid="{00000000-0005-0000-0000-000052100000}"/>
    <cellStyle name="Normal 38 2" xfId="3719" xr:uid="{00000000-0005-0000-0000-000053100000}"/>
    <cellStyle name="Normal 38 2 2" xfId="3889" xr:uid="{00000000-0005-0000-0000-000054100000}"/>
    <cellStyle name="Normal 38 3" xfId="3459" xr:uid="{00000000-0005-0000-0000-000055100000}"/>
    <cellStyle name="Normal 38 4" xfId="3803" xr:uid="{00000000-0005-0000-0000-000056100000}"/>
    <cellStyle name="Normal 38 5" xfId="3319" xr:uid="{00000000-0005-0000-0000-000057100000}"/>
    <cellStyle name="Normal 38 6" xfId="4593" xr:uid="{00000000-0005-0000-0000-000058100000}"/>
    <cellStyle name="Normal 39" xfId="2993" xr:uid="{00000000-0005-0000-0000-000059100000}"/>
    <cellStyle name="Normal 39 2" xfId="4594" xr:uid="{00000000-0005-0000-0000-00005A100000}"/>
    <cellStyle name="Normal 39 2 2" xfId="5662" xr:uid="{00000000-0005-0000-0000-00005B100000}"/>
    <cellStyle name="Normal 39 3" xfId="5620" xr:uid="{00000000-0005-0000-0000-00005C100000}"/>
    <cellStyle name="Normal 4" xfId="7" xr:uid="{00000000-0005-0000-0000-00005D100000}"/>
    <cellStyle name="Normal 4 10" xfId="2490" xr:uid="{00000000-0005-0000-0000-00005E100000}"/>
    <cellStyle name="Normal 4 10 2" xfId="237" xr:uid="{00000000-0005-0000-0000-00005F100000}"/>
    <cellStyle name="Normal 4 10 3" xfId="4595" xr:uid="{00000000-0005-0000-0000-000060100000}"/>
    <cellStyle name="Normal 4 11" xfId="2491" xr:uid="{00000000-0005-0000-0000-000061100000}"/>
    <cellStyle name="Normal 4 11 2" xfId="4597" xr:uid="{00000000-0005-0000-0000-000062100000}"/>
    <cellStyle name="Normal 4 11 3" xfId="4596" xr:uid="{00000000-0005-0000-0000-000063100000}"/>
    <cellStyle name="Normal 4 12" xfId="2492" xr:uid="{00000000-0005-0000-0000-000064100000}"/>
    <cellStyle name="Normal 4 12 2" xfId="4598" xr:uid="{00000000-0005-0000-0000-000065100000}"/>
    <cellStyle name="Normal 4 13" xfId="2493" xr:uid="{00000000-0005-0000-0000-000066100000}"/>
    <cellStyle name="Normal 4 13 2" xfId="4599" xr:uid="{00000000-0005-0000-0000-000067100000}"/>
    <cellStyle name="Normal 4 14" xfId="2489" xr:uid="{00000000-0005-0000-0000-000068100000}"/>
    <cellStyle name="Normal 4 14 2" xfId="4600" xr:uid="{00000000-0005-0000-0000-000069100000}"/>
    <cellStyle name="Normal 4 15" xfId="4601" xr:uid="{00000000-0005-0000-0000-00006A100000}"/>
    <cellStyle name="Normal 4 16" xfId="4602" xr:uid="{00000000-0005-0000-0000-00006B100000}"/>
    <cellStyle name="Normal 4 17" xfId="4848" xr:uid="{00000000-0005-0000-0000-00006C100000}"/>
    <cellStyle name="Normal 4 18" xfId="4890" xr:uid="{00000000-0005-0000-0000-00006D100000}"/>
    <cellStyle name="Normal 4 19" xfId="4914" xr:uid="{00000000-0005-0000-0000-00006E100000}"/>
    <cellStyle name="Normal 4 2" xfId="11" xr:uid="{00000000-0005-0000-0000-00006F100000}"/>
    <cellStyle name="Normal 4 2 10" xfId="2494" xr:uid="{00000000-0005-0000-0000-000070100000}"/>
    <cellStyle name="Normal 4 2 11" xfId="3573" xr:uid="{00000000-0005-0000-0000-000071100000}"/>
    <cellStyle name="Normal 4 2 12" xfId="3366" xr:uid="{00000000-0005-0000-0000-000072100000}"/>
    <cellStyle name="Normal 4 2 13" xfId="4891" xr:uid="{00000000-0005-0000-0000-000073100000}"/>
    <cellStyle name="Normal 4 2 14" xfId="4915" xr:uid="{00000000-0005-0000-0000-000074100000}"/>
    <cellStyle name="Normal 4 2 15" xfId="4969" xr:uid="{00000000-0005-0000-0000-000075100000}"/>
    <cellStyle name="Normal 4 2 16" xfId="5003" xr:uid="{00000000-0005-0000-0000-000076100000}"/>
    <cellStyle name="Normal 4 2 17" xfId="5235" xr:uid="{00000000-0005-0000-0000-000077100000}"/>
    <cellStyle name="Normal 4 2 18" xfId="5263" xr:uid="{00000000-0005-0000-0000-000078100000}"/>
    <cellStyle name="Normal 4 2 19" xfId="5290" xr:uid="{00000000-0005-0000-0000-000079100000}"/>
    <cellStyle name="Normal 4 2 2" xfId="172" xr:uid="{00000000-0005-0000-0000-00007A100000}"/>
    <cellStyle name="Normal 4 2 2 10" xfId="5239" xr:uid="{00000000-0005-0000-0000-00007B100000}"/>
    <cellStyle name="Normal 4 2 2 11" xfId="5267" xr:uid="{00000000-0005-0000-0000-00007C100000}"/>
    <cellStyle name="Normal 4 2 2 12" xfId="5294" xr:uid="{00000000-0005-0000-0000-00007D100000}"/>
    <cellStyle name="Normal 4 2 2 2" xfId="180" xr:uid="{00000000-0005-0000-0000-00007E100000}"/>
    <cellStyle name="Normal 4 2 2 2 2" xfId="2496" xr:uid="{00000000-0005-0000-0000-00007F100000}"/>
    <cellStyle name="Normal 4 2 2 2 3" xfId="4903" xr:uid="{00000000-0005-0000-0000-000080100000}"/>
    <cellStyle name="Normal 4 2 2 2 4" xfId="4927" xr:uid="{00000000-0005-0000-0000-000081100000}"/>
    <cellStyle name="Normal 4 2 2 2 5" xfId="4981" xr:uid="{00000000-0005-0000-0000-000082100000}"/>
    <cellStyle name="Normal 4 2 2 2 6" xfId="5015" xr:uid="{00000000-0005-0000-0000-000083100000}"/>
    <cellStyle name="Normal 4 2 2 2 7" xfId="5247" xr:uid="{00000000-0005-0000-0000-000084100000}"/>
    <cellStyle name="Normal 4 2 2 2 8" xfId="5275" xr:uid="{00000000-0005-0000-0000-000085100000}"/>
    <cellStyle name="Normal 4 2 2 2 9" xfId="5302" xr:uid="{00000000-0005-0000-0000-000086100000}"/>
    <cellStyle name="Normal 4 2 2 3" xfId="3669" xr:uid="{00000000-0005-0000-0000-000087100000}"/>
    <cellStyle name="Normal 4 2 2 4" xfId="3543" xr:uid="{00000000-0005-0000-0000-000088100000}"/>
    <cellStyle name="Normal 4 2 2 5" xfId="2495" xr:uid="{00000000-0005-0000-0000-000089100000}"/>
    <cellStyle name="Normal 4 2 2 6" xfId="4895" xr:uid="{00000000-0005-0000-0000-00008A100000}"/>
    <cellStyle name="Normal 4 2 2 7" xfId="4919" xr:uid="{00000000-0005-0000-0000-00008B100000}"/>
    <cellStyle name="Normal 4 2 2 8" xfId="4973" xr:uid="{00000000-0005-0000-0000-00008C100000}"/>
    <cellStyle name="Normal 4 2 2 9" xfId="5007" xr:uid="{00000000-0005-0000-0000-00008D100000}"/>
    <cellStyle name="Normal 4 2 20" xfId="78" xr:uid="{00000000-0005-0000-0000-00008E100000}"/>
    <cellStyle name="Normal 4 2 3" xfId="176" xr:uid="{00000000-0005-0000-0000-00008F100000}"/>
    <cellStyle name="Normal 4 2 3 10" xfId="5298" xr:uid="{00000000-0005-0000-0000-000090100000}"/>
    <cellStyle name="Normal 4 2 3 2" xfId="2498" xr:uid="{00000000-0005-0000-0000-000091100000}"/>
    <cellStyle name="Normal 4 2 3 3" xfId="2497" xr:uid="{00000000-0005-0000-0000-000092100000}"/>
    <cellStyle name="Normal 4 2 3 4" xfId="4899" xr:uid="{00000000-0005-0000-0000-000093100000}"/>
    <cellStyle name="Normal 4 2 3 5" xfId="4923" xr:uid="{00000000-0005-0000-0000-000094100000}"/>
    <cellStyle name="Normal 4 2 3 6" xfId="4977" xr:uid="{00000000-0005-0000-0000-000095100000}"/>
    <cellStyle name="Normal 4 2 3 7" xfId="5011" xr:uid="{00000000-0005-0000-0000-000096100000}"/>
    <cellStyle name="Normal 4 2 3 8" xfId="5243" xr:uid="{00000000-0005-0000-0000-000097100000}"/>
    <cellStyle name="Normal 4 2 3 9" xfId="5271" xr:uid="{00000000-0005-0000-0000-000098100000}"/>
    <cellStyle name="Normal 4 2 4" xfId="167" xr:uid="{00000000-0005-0000-0000-000099100000}"/>
    <cellStyle name="Normal 4 2 4 2" xfId="2500" xr:uid="{00000000-0005-0000-0000-00009A100000}"/>
    <cellStyle name="Normal 4 2 4 3" xfId="2499" xr:uid="{00000000-0005-0000-0000-00009B100000}"/>
    <cellStyle name="Normal 4 2 5" xfId="2501" xr:uid="{00000000-0005-0000-0000-00009C100000}"/>
    <cellStyle name="Normal 4 2 5 2" xfId="2502" xr:uid="{00000000-0005-0000-0000-00009D100000}"/>
    <cellStyle name="Normal 4 2 6" xfId="2503" xr:uid="{00000000-0005-0000-0000-00009E100000}"/>
    <cellStyle name="Normal 4 2 6 2" xfId="2504" xr:uid="{00000000-0005-0000-0000-00009F100000}"/>
    <cellStyle name="Normal 4 2 7" xfId="2505" xr:uid="{00000000-0005-0000-0000-0000A0100000}"/>
    <cellStyle name="Normal 4 2 7 2" xfId="2506" xr:uid="{00000000-0005-0000-0000-0000A1100000}"/>
    <cellStyle name="Normal 4 2 8" xfId="2507" xr:uid="{00000000-0005-0000-0000-0000A2100000}"/>
    <cellStyle name="Normal 4 2 8 2" xfId="2508" xr:uid="{00000000-0005-0000-0000-0000A3100000}"/>
    <cellStyle name="Normal 4 2 9" xfId="3022" xr:uid="{00000000-0005-0000-0000-0000A4100000}"/>
    <cellStyle name="Normal 4 2_Harlem 116th-117th 11 22 11" xfId="2509" xr:uid="{00000000-0005-0000-0000-0000A5100000}"/>
    <cellStyle name="Normal 4 20" xfId="4944" xr:uid="{00000000-0005-0000-0000-0000A6100000}"/>
    <cellStyle name="Normal 4 21" xfId="4946" xr:uid="{00000000-0005-0000-0000-0000A7100000}"/>
    <cellStyle name="Normal 4 22" xfId="4933" xr:uid="{00000000-0005-0000-0000-0000A8100000}"/>
    <cellStyle name="Normal 4 23" xfId="4945" xr:uid="{00000000-0005-0000-0000-0000A9100000}"/>
    <cellStyle name="Normal 4 24" xfId="4968" xr:uid="{00000000-0005-0000-0000-0000AA100000}"/>
    <cellStyle name="Normal 4 25" xfId="5002" xr:uid="{00000000-0005-0000-0000-0000AB100000}"/>
    <cellStyle name="Normal 4 26" xfId="5234" xr:uid="{00000000-0005-0000-0000-0000AC100000}"/>
    <cellStyle name="Normal 4 27" xfId="5262" xr:uid="{00000000-0005-0000-0000-0000AD100000}"/>
    <cellStyle name="Normal 4 28" xfId="5289" xr:uid="{00000000-0005-0000-0000-0000AE100000}"/>
    <cellStyle name="Normal 4 29" xfId="18" xr:uid="{00000000-0005-0000-0000-0000AF100000}"/>
    <cellStyle name="Normal 4 3" xfId="121" xr:uid="{00000000-0005-0000-0000-0000B0100000}"/>
    <cellStyle name="Normal 4 3 10" xfId="3116" xr:uid="{00000000-0005-0000-0000-0000B1100000}"/>
    <cellStyle name="Normal 4 3 11" xfId="227" xr:uid="{00000000-0005-0000-0000-0000B2100000}"/>
    <cellStyle name="Normal 4 3 12" xfId="4894" xr:uid="{00000000-0005-0000-0000-0000B3100000}"/>
    <cellStyle name="Normal 4 3 13" xfId="4918" xr:uid="{00000000-0005-0000-0000-0000B4100000}"/>
    <cellStyle name="Normal 4 3 14" xfId="4972" xr:uid="{00000000-0005-0000-0000-0000B5100000}"/>
    <cellStyle name="Normal 4 3 15" xfId="5006" xr:uid="{00000000-0005-0000-0000-0000B6100000}"/>
    <cellStyle name="Normal 4 3 16" xfId="5049" xr:uid="{00000000-0005-0000-0000-0000B7100000}"/>
    <cellStyle name="Normal 4 3 17" xfId="5238" xr:uid="{00000000-0005-0000-0000-0000B8100000}"/>
    <cellStyle name="Normal 4 3 18" xfId="5266" xr:uid="{00000000-0005-0000-0000-0000B9100000}"/>
    <cellStyle name="Normal 4 3 19" xfId="5293" xr:uid="{00000000-0005-0000-0000-0000BA100000}"/>
    <cellStyle name="Normal 4 3 2" xfId="137" xr:uid="{00000000-0005-0000-0000-0000BB100000}"/>
    <cellStyle name="Normal 4 3 2 10" xfId="234" xr:uid="{00000000-0005-0000-0000-0000BC100000}"/>
    <cellStyle name="Normal 4 3 2 11" xfId="4902" xr:uid="{00000000-0005-0000-0000-0000BD100000}"/>
    <cellStyle name="Normal 4 3 2 12" xfId="4926" xr:uid="{00000000-0005-0000-0000-0000BE100000}"/>
    <cellStyle name="Normal 4 3 2 13" xfId="4980" xr:uid="{00000000-0005-0000-0000-0000BF100000}"/>
    <cellStyle name="Normal 4 3 2 14" xfId="5014" xr:uid="{00000000-0005-0000-0000-0000C0100000}"/>
    <cellStyle name="Normal 4 3 2 15" xfId="5074" xr:uid="{00000000-0005-0000-0000-0000C1100000}"/>
    <cellStyle name="Normal 4 3 2 16" xfId="5246" xr:uid="{00000000-0005-0000-0000-0000C2100000}"/>
    <cellStyle name="Normal 4 3 2 17" xfId="5274" xr:uid="{00000000-0005-0000-0000-0000C3100000}"/>
    <cellStyle name="Normal 4 3 2 18" xfId="5301" xr:uid="{00000000-0005-0000-0000-0000C4100000}"/>
    <cellStyle name="Normal 4 3 2 2" xfId="179" xr:uid="{00000000-0005-0000-0000-0000C5100000}"/>
    <cellStyle name="Normal 4 3 2 2 2" xfId="3733" xr:uid="{00000000-0005-0000-0000-0000C6100000}"/>
    <cellStyle name="Normal 4 3 2 2 3" xfId="3806" xr:uid="{00000000-0005-0000-0000-0000C7100000}"/>
    <cellStyle name="Normal 4 3 2 2 4" xfId="3892" xr:uid="{00000000-0005-0000-0000-0000C8100000}"/>
    <cellStyle name="Normal 4 3 2 2 5" xfId="3322" xr:uid="{00000000-0005-0000-0000-0000C9100000}"/>
    <cellStyle name="Normal 4 3 2 2 6" xfId="3051" xr:uid="{00000000-0005-0000-0000-0000CA100000}"/>
    <cellStyle name="Normal 4 3 2 3" xfId="2511" xr:uid="{00000000-0005-0000-0000-0000CB100000}"/>
    <cellStyle name="Normal 4 3 2 4" xfId="3079" xr:uid="{00000000-0005-0000-0000-0000CC100000}"/>
    <cellStyle name="Normal 4 3 2 4 2" xfId="3744" xr:uid="{00000000-0005-0000-0000-0000CD100000}"/>
    <cellStyle name="Normal 4 3 2 4 3" xfId="3814" xr:uid="{00000000-0005-0000-0000-0000CE100000}"/>
    <cellStyle name="Normal 4 3 2 4 4" xfId="3901" xr:uid="{00000000-0005-0000-0000-0000CF100000}"/>
    <cellStyle name="Normal 4 3 2 4 5" xfId="3334" xr:uid="{00000000-0005-0000-0000-0000D0100000}"/>
    <cellStyle name="Normal 4 3 2 5" xfId="3599" xr:uid="{00000000-0005-0000-0000-0000D1100000}"/>
    <cellStyle name="Normal 4 3 2 5 2" xfId="3866" xr:uid="{00000000-0005-0000-0000-0000D2100000}"/>
    <cellStyle name="Normal 4 3 2 6" xfId="3553" xr:uid="{00000000-0005-0000-0000-0000D3100000}"/>
    <cellStyle name="Normal 4 3 2 7" xfId="3785" xr:uid="{00000000-0005-0000-0000-0000D4100000}"/>
    <cellStyle name="Normal 4 3 2 8" xfId="3856" xr:uid="{00000000-0005-0000-0000-0000D5100000}"/>
    <cellStyle name="Normal 4 3 2 9" xfId="3118" xr:uid="{00000000-0005-0000-0000-0000D6100000}"/>
    <cellStyle name="Normal 4 3 3" xfId="171" xr:uid="{00000000-0005-0000-0000-0000D7100000}"/>
    <cellStyle name="Normal 4 3 3 2" xfId="3727" xr:uid="{00000000-0005-0000-0000-0000D8100000}"/>
    <cellStyle name="Normal 4 3 3 3" xfId="3804" xr:uid="{00000000-0005-0000-0000-0000D9100000}"/>
    <cellStyle name="Normal 4 3 3 4" xfId="3890" xr:uid="{00000000-0005-0000-0000-0000DA100000}"/>
    <cellStyle name="Normal 4 3 3 5" xfId="3320" xr:uid="{00000000-0005-0000-0000-0000DB100000}"/>
    <cellStyle name="Normal 4 3 3 6" xfId="3040" xr:uid="{00000000-0005-0000-0000-0000DC100000}"/>
    <cellStyle name="Normal 4 3 4" xfId="2510" xr:uid="{00000000-0005-0000-0000-0000DD100000}"/>
    <cellStyle name="Normal 4 3 5" xfId="3075" xr:uid="{00000000-0005-0000-0000-0000DE100000}"/>
    <cellStyle name="Normal 4 3 5 2" xfId="3742" xr:uid="{00000000-0005-0000-0000-0000DF100000}"/>
    <cellStyle name="Normal 4 3 5 3" xfId="3812" xr:uid="{00000000-0005-0000-0000-0000E0100000}"/>
    <cellStyle name="Normal 4 3 5 4" xfId="3898" xr:uid="{00000000-0005-0000-0000-0000E1100000}"/>
    <cellStyle name="Normal 4 3 5 5" xfId="3332" xr:uid="{00000000-0005-0000-0000-0000E2100000}"/>
    <cellStyle name="Normal 4 3 6" xfId="3590" xr:uid="{00000000-0005-0000-0000-0000E3100000}"/>
    <cellStyle name="Normal 4 3 6 2" xfId="3864" xr:uid="{00000000-0005-0000-0000-0000E4100000}"/>
    <cellStyle name="Normal 4 3 7" xfId="3460" xr:uid="{00000000-0005-0000-0000-0000E5100000}"/>
    <cellStyle name="Normal 4 3 8" xfId="3783" xr:uid="{00000000-0005-0000-0000-0000E6100000}"/>
    <cellStyle name="Normal 4 3 9" xfId="3841" xr:uid="{00000000-0005-0000-0000-0000E7100000}"/>
    <cellStyle name="Normal 4 4" xfId="77" xr:uid="{00000000-0005-0000-0000-0000E8100000}"/>
    <cellStyle name="Normal 4 4 10" xfId="5050" xr:uid="{00000000-0005-0000-0000-0000E9100000}"/>
    <cellStyle name="Normal 4 4 11" xfId="5242" xr:uid="{00000000-0005-0000-0000-0000EA100000}"/>
    <cellStyle name="Normal 4 4 12" xfId="5270" xr:uid="{00000000-0005-0000-0000-0000EB100000}"/>
    <cellStyle name="Normal 4 4 13" xfId="5297" xr:uid="{00000000-0005-0000-0000-0000EC100000}"/>
    <cellStyle name="Normal 4 4 2" xfId="175" xr:uid="{00000000-0005-0000-0000-0000ED100000}"/>
    <cellStyle name="Normal 4 4 2 2" xfId="3670" xr:uid="{00000000-0005-0000-0000-0000EE100000}"/>
    <cellStyle name="Normal 4 4 2 3" xfId="3554" xr:uid="{00000000-0005-0000-0000-0000EF100000}"/>
    <cellStyle name="Normal 4 4 2 4" xfId="3857" xr:uid="{00000000-0005-0000-0000-0000F0100000}"/>
    <cellStyle name="Normal 4 4 2 5" xfId="2512" xr:uid="{00000000-0005-0000-0000-0000F1100000}"/>
    <cellStyle name="Normal 4 4 2 6" xfId="5075" xr:uid="{00000000-0005-0000-0000-0000F2100000}"/>
    <cellStyle name="Normal 4 4 3" xfId="3572" xr:uid="{00000000-0005-0000-0000-0000F3100000}"/>
    <cellStyle name="Normal 4 4 4" xfId="3461" xr:uid="{00000000-0005-0000-0000-0000F4100000}"/>
    <cellStyle name="Normal 4 4 5" xfId="3842" xr:uid="{00000000-0005-0000-0000-0000F5100000}"/>
    <cellStyle name="Normal 4 4 6" xfId="4898" xr:uid="{00000000-0005-0000-0000-0000F6100000}"/>
    <cellStyle name="Normal 4 4 7" xfId="4922" xr:uid="{00000000-0005-0000-0000-0000F7100000}"/>
    <cellStyle name="Normal 4 4 8" xfId="4976" xr:uid="{00000000-0005-0000-0000-0000F8100000}"/>
    <cellStyle name="Normal 4 4 9" xfId="5010" xr:uid="{00000000-0005-0000-0000-0000F9100000}"/>
    <cellStyle name="Normal 4 5" xfId="166" xr:uid="{00000000-0005-0000-0000-0000FA100000}"/>
    <cellStyle name="Normal 4 5 2" xfId="2514" xr:uid="{00000000-0005-0000-0000-0000FB100000}"/>
    <cellStyle name="Normal 4 5 2 2" xfId="3672" xr:uid="{00000000-0005-0000-0000-0000FC100000}"/>
    <cellStyle name="Normal 4 5 2 3" xfId="3555" xr:uid="{00000000-0005-0000-0000-0000FD100000}"/>
    <cellStyle name="Normal 4 5 2 4" xfId="3858" xr:uid="{00000000-0005-0000-0000-0000FE100000}"/>
    <cellStyle name="Normal 4 5 2 5" xfId="5076" xr:uid="{00000000-0005-0000-0000-0000FF100000}"/>
    <cellStyle name="Normal 4 5 3" xfId="3671" xr:uid="{00000000-0005-0000-0000-000000110000}"/>
    <cellStyle name="Normal 4 5 4" xfId="3462" xr:uid="{00000000-0005-0000-0000-000001110000}"/>
    <cellStyle name="Normal 4 5 5" xfId="3843" xr:uid="{00000000-0005-0000-0000-000002110000}"/>
    <cellStyle name="Normal 4 5 6" xfId="2513" xr:uid="{00000000-0005-0000-0000-000003110000}"/>
    <cellStyle name="Normal 4 5 7" xfId="5051" xr:uid="{00000000-0005-0000-0000-000004110000}"/>
    <cellStyle name="Normal 4 6" xfId="2515" xr:uid="{00000000-0005-0000-0000-000005110000}"/>
    <cellStyle name="Normal 4 6 2" xfId="2516" xr:uid="{00000000-0005-0000-0000-000006110000}"/>
    <cellStyle name="Normal 4 6 2 2" xfId="3674" xr:uid="{00000000-0005-0000-0000-000007110000}"/>
    <cellStyle name="Normal 4 6 2 3" xfId="3556" xr:uid="{00000000-0005-0000-0000-000008110000}"/>
    <cellStyle name="Normal 4 6 2 4" xfId="3859" xr:uid="{00000000-0005-0000-0000-000009110000}"/>
    <cellStyle name="Normal 4 6 2 5" xfId="5077" xr:uid="{00000000-0005-0000-0000-00000A110000}"/>
    <cellStyle name="Normal 4 6 3" xfId="3673" xr:uid="{00000000-0005-0000-0000-00000B110000}"/>
    <cellStyle name="Normal 4 6 4" xfId="3463" xr:uid="{00000000-0005-0000-0000-00000C110000}"/>
    <cellStyle name="Normal 4 6 5" xfId="3844" xr:uid="{00000000-0005-0000-0000-00000D110000}"/>
    <cellStyle name="Normal 4 6 6" xfId="5052" xr:uid="{00000000-0005-0000-0000-00000E110000}"/>
    <cellStyle name="Normal 4 7" xfId="2517" xr:uid="{00000000-0005-0000-0000-00000F110000}"/>
    <cellStyle name="Normal 4 7 2" xfId="2518" xr:uid="{00000000-0005-0000-0000-000010110000}"/>
    <cellStyle name="Normal 4 7 2 2" xfId="3676" xr:uid="{00000000-0005-0000-0000-000011110000}"/>
    <cellStyle name="Normal 4 7 2 3" xfId="3557" xr:uid="{00000000-0005-0000-0000-000012110000}"/>
    <cellStyle name="Normal 4 7 2 4" xfId="3860" xr:uid="{00000000-0005-0000-0000-000013110000}"/>
    <cellStyle name="Normal 4 7 2 5" xfId="5078" xr:uid="{00000000-0005-0000-0000-000014110000}"/>
    <cellStyle name="Normal 4 7 3" xfId="3675" xr:uid="{00000000-0005-0000-0000-000015110000}"/>
    <cellStyle name="Normal 4 7 4" xfId="3464" xr:uid="{00000000-0005-0000-0000-000016110000}"/>
    <cellStyle name="Normal 4 7 5" xfId="3845" xr:uid="{00000000-0005-0000-0000-000017110000}"/>
    <cellStyle name="Normal 4 7 6" xfId="5053" xr:uid="{00000000-0005-0000-0000-000018110000}"/>
    <cellStyle name="Normal 4 8" xfId="2519" xr:uid="{00000000-0005-0000-0000-000019110000}"/>
    <cellStyle name="Normal 4 8 2" xfId="3677" xr:uid="{00000000-0005-0000-0000-00001A110000}"/>
    <cellStyle name="Normal 4 8 3" xfId="3535" xr:uid="{00000000-0005-0000-0000-00001B110000}"/>
    <cellStyle name="Normal 4 8 4" xfId="4603" xr:uid="{00000000-0005-0000-0000-00001C110000}"/>
    <cellStyle name="Normal 4 9" xfId="2520" xr:uid="{00000000-0005-0000-0000-00001D110000}"/>
    <cellStyle name="Normal 4 9 2" xfId="4605" xr:uid="{00000000-0005-0000-0000-00001E110000}"/>
    <cellStyle name="Normal 4 9 3" xfId="4604" xr:uid="{00000000-0005-0000-0000-00001F110000}"/>
    <cellStyle name="Normal 4_88 Richardson 80-20 1-31-12 Invest Memo" xfId="2521" xr:uid="{00000000-0005-0000-0000-000020110000}"/>
    <cellStyle name="Normal 40" xfId="240" xr:uid="{00000000-0005-0000-0000-000021110000}"/>
    <cellStyle name="Normal 40 2" xfId="4606" xr:uid="{00000000-0005-0000-0000-000022110000}"/>
    <cellStyle name="Normal 40 2 2" xfId="5510" xr:uid="{00000000-0005-0000-0000-000023110000}"/>
    <cellStyle name="Normal 40 3" xfId="5384" xr:uid="{00000000-0005-0000-0000-000024110000}"/>
    <cellStyle name="Normal 41" xfId="3058" xr:uid="{00000000-0005-0000-0000-000025110000}"/>
    <cellStyle name="Normal 41 2" xfId="4607" xr:uid="{00000000-0005-0000-0000-000026110000}"/>
    <cellStyle name="Normal 41 3" xfId="5513" xr:uid="{00000000-0005-0000-0000-000027110000}"/>
    <cellStyle name="Normal 42" xfId="3071" xr:uid="{00000000-0005-0000-0000-000028110000}"/>
    <cellStyle name="Normal 42 2" xfId="4608" xr:uid="{00000000-0005-0000-0000-000029110000}"/>
    <cellStyle name="Normal 42 3" xfId="5515" xr:uid="{00000000-0005-0000-0000-00002A110000}"/>
    <cellStyle name="Normal 43" xfId="3063" xr:uid="{00000000-0005-0000-0000-00002B110000}"/>
    <cellStyle name="Normal 43 2" xfId="4609" xr:uid="{00000000-0005-0000-0000-00002C110000}"/>
    <cellStyle name="Normal 43 3" xfId="5609" xr:uid="{00000000-0005-0000-0000-00002D110000}"/>
    <cellStyle name="Normal 44" xfId="3098" xr:uid="{00000000-0005-0000-0000-00002E110000}"/>
    <cellStyle name="Normal 44 2" xfId="3757" xr:uid="{00000000-0005-0000-0000-00002F110000}"/>
    <cellStyle name="Normal 44 2 2" xfId="3912" xr:uid="{00000000-0005-0000-0000-000030110000}"/>
    <cellStyle name="Normal 44 3" xfId="3465" xr:uid="{00000000-0005-0000-0000-000031110000}"/>
    <cellStyle name="Normal 44 4" xfId="3826" xr:uid="{00000000-0005-0000-0000-000032110000}"/>
    <cellStyle name="Normal 44 5" xfId="3347" xr:uid="{00000000-0005-0000-0000-000033110000}"/>
    <cellStyle name="Normal 44 6" xfId="4610" xr:uid="{00000000-0005-0000-0000-000034110000}"/>
    <cellStyle name="Normal 45" xfId="3099" xr:uid="{00000000-0005-0000-0000-000035110000}"/>
    <cellStyle name="Normal 45 2" xfId="3758" xr:uid="{00000000-0005-0000-0000-000036110000}"/>
    <cellStyle name="Normal 45 2 2" xfId="3913" xr:uid="{00000000-0005-0000-0000-000037110000}"/>
    <cellStyle name="Normal 45 3" xfId="3466" xr:uid="{00000000-0005-0000-0000-000038110000}"/>
    <cellStyle name="Normal 45 4" xfId="3827" xr:uid="{00000000-0005-0000-0000-000039110000}"/>
    <cellStyle name="Normal 45 5" xfId="3348" xr:uid="{00000000-0005-0000-0000-00003A110000}"/>
    <cellStyle name="Normal 45 6" xfId="4611" xr:uid="{00000000-0005-0000-0000-00003B110000}"/>
    <cellStyle name="Normal 46" xfId="3100" xr:uid="{00000000-0005-0000-0000-00003C110000}"/>
    <cellStyle name="Normal 46 2" xfId="3759" xr:uid="{00000000-0005-0000-0000-00003D110000}"/>
    <cellStyle name="Normal 46 2 2" xfId="3914" xr:uid="{00000000-0005-0000-0000-00003E110000}"/>
    <cellStyle name="Normal 46 3" xfId="3467" xr:uid="{00000000-0005-0000-0000-00003F110000}"/>
    <cellStyle name="Normal 46 4" xfId="3828" xr:uid="{00000000-0005-0000-0000-000040110000}"/>
    <cellStyle name="Normal 46 5" xfId="3349" xr:uid="{00000000-0005-0000-0000-000041110000}"/>
    <cellStyle name="Normal 46 6" xfId="4612" xr:uid="{00000000-0005-0000-0000-000042110000}"/>
    <cellStyle name="Normal 47" xfId="3468" xr:uid="{00000000-0005-0000-0000-000043110000}"/>
    <cellStyle name="Normal 47 2" xfId="4613" xr:uid="{00000000-0005-0000-0000-000044110000}"/>
    <cellStyle name="Normal 47 3" xfId="5665" xr:uid="{00000000-0005-0000-0000-000045110000}"/>
    <cellStyle name="Normal 48" xfId="3469" xr:uid="{00000000-0005-0000-0000-000046110000}"/>
    <cellStyle name="Normal 48 2" xfId="4614" xr:uid="{00000000-0005-0000-0000-000047110000}"/>
    <cellStyle name="Normal 48 3" xfId="5666" xr:uid="{00000000-0005-0000-0000-000048110000}"/>
    <cellStyle name="Normal 49" xfId="3470" xr:uid="{00000000-0005-0000-0000-000049110000}"/>
    <cellStyle name="Normal 49 2" xfId="4615" xr:uid="{00000000-0005-0000-0000-00004A110000}"/>
    <cellStyle name="Normal 49 3" xfId="5667" xr:uid="{00000000-0005-0000-0000-00004B110000}"/>
    <cellStyle name="Normal 5" xfId="31" xr:uid="{00000000-0005-0000-0000-00004C110000}"/>
    <cellStyle name="Normal 5 10" xfId="2522" xr:uid="{00000000-0005-0000-0000-00004D110000}"/>
    <cellStyle name="Normal 5 11" xfId="4892" xr:uid="{00000000-0005-0000-0000-00004E110000}"/>
    <cellStyle name="Normal 5 12" xfId="4916" xr:uid="{00000000-0005-0000-0000-00004F110000}"/>
    <cellStyle name="Normal 5 13" xfId="4970" xr:uid="{00000000-0005-0000-0000-000050110000}"/>
    <cellStyle name="Normal 5 14" xfId="5004" xr:uid="{00000000-0005-0000-0000-000051110000}"/>
    <cellStyle name="Normal 5 15" xfId="5236" xr:uid="{00000000-0005-0000-0000-000052110000}"/>
    <cellStyle name="Normal 5 16" xfId="5264" xr:uid="{00000000-0005-0000-0000-000053110000}"/>
    <cellStyle name="Normal 5 17" xfId="5291" xr:uid="{00000000-0005-0000-0000-000054110000}"/>
    <cellStyle name="Normal 5 2" xfId="79" xr:uid="{00000000-0005-0000-0000-000055110000}"/>
    <cellStyle name="Normal 5 2 10" xfId="5240" xr:uid="{00000000-0005-0000-0000-000056110000}"/>
    <cellStyle name="Normal 5 2 11" xfId="5268" xr:uid="{00000000-0005-0000-0000-000057110000}"/>
    <cellStyle name="Normal 5 2 12" xfId="5295" xr:uid="{00000000-0005-0000-0000-000058110000}"/>
    <cellStyle name="Normal 5 2 13" xfId="5668" xr:uid="{00000000-0005-0000-0000-000059110000}"/>
    <cellStyle name="Normal 5 2 2" xfId="181" xr:uid="{00000000-0005-0000-0000-00005A110000}"/>
    <cellStyle name="Normal 5 2 2 10" xfId="5276" xr:uid="{00000000-0005-0000-0000-00005B110000}"/>
    <cellStyle name="Normal 5 2 2 11" xfId="5303" xr:uid="{00000000-0005-0000-0000-00005C110000}"/>
    <cellStyle name="Normal 5 2 2 2" xfId="3723" xr:uid="{00000000-0005-0000-0000-00005D110000}"/>
    <cellStyle name="Normal 5 2 2 2 2" xfId="4851" xr:uid="{00000000-0005-0000-0000-00005E110000}"/>
    <cellStyle name="Normal 5 2 2 3" xfId="3544" xr:uid="{00000000-0005-0000-0000-00005F110000}"/>
    <cellStyle name="Normal 5 2 2 4" xfId="3023" xr:uid="{00000000-0005-0000-0000-000060110000}"/>
    <cellStyle name="Normal 5 2 2 5" xfId="4904" xr:uid="{00000000-0005-0000-0000-000061110000}"/>
    <cellStyle name="Normal 5 2 2 6" xfId="4928" xr:uid="{00000000-0005-0000-0000-000062110000}"/>
    <cellStyle name="Normal 5 2 2 7" xfId="4982" xr:uid="{00000000-0005-0000-0000-000063110000}"/>
    <cellStyle name="Normal 5 2 2 8" xfId="5016" xr:uid="{00000000-0005-0000-0000-000064110000}"/>
    <cellStyle name="Normal 5 2 2 9" xfId="5248" xr:uid="{00000000-0005-0000-0000-000065110000}"/>
    <cellStyle name="Normal 5 2 3" xfId="173" xr:uid="{00000000-0005-0000-0000-000066110000}"/>
    <cellStyle name="Normal 5 2 3 2" xfId="2523" xr:uid="{00000000-0005-0000-0000-000067110000}"/>
    <cellStyle name="Normal 5 2 3 3" xfId="4616" xr:uid="{00000000-0005-0000-0000-000068110000}"/>
    <cellStyle name="Normal 5 2 4" xfId="3574" xr:uid="{00000000-0005-0000-0000-000069110000}"/>
    <cellStyle name="Normal 5 2 4 2" xfId="4850" xr:uid="{00000000-0005-0000-0000-00006A110000}"/>
    <cellStyle name="Normal 5 2 5" xfId="3367" xr:uid="{00000000-0005-0000-0000-00006B110000}"/>
    <cellStyle name="Normal 5 2 6" xfId="4896" xr:uid="{00000000-0005-0000-0000-00006C110000}"/>
    <cellStyle name="Normal 5 2 7" xfId="4920" xr:uid="{00000000-0005-0000-0000-00006D110000}"/>
    <cellStyle name="Normal 5 2 8" xfId="4974" xr:uid="{00000000-0005-0000-0000-00006E110000}"/>
    <cellStyle name="Normal 5 2 9" xfId="5008" xr:uid="{00000000-0005-0000-0000-00006F110000}"/>
    <cellStyle name="Normal 5 3" xfId="177" xr:uid="{00000000-0005-0000-0000-000070110000}"/>
    <cellStyle name="Normal 5 3 10" xfId="5299" xr:uid="{00000000-0005-0000-0000-000071110000}"/>
    <cellStyle name="Normal 5 3 2" xfId="2524" xr:uid="{00000000-0005-0000-0000-000072110000}"/>
    <cellStyle name="Normal 5 3 2 2" xfId="5670" xr:uid="{00000000-0005-0000-0000-000073110000}"/>
    <cellStyle name="Normal 5 3 2 3" xfId="5669" xr:uid="{00000000-0005-0000-0000-000074110000}"/>
    <cellStyle name="Normal 5 3 3" xfId="4617" xr:uid="{00000000-0005-0000-0000-000075110000}"/>
    <cellStyle name="Normal 5 3 3 2" xfId="5671" xr:uid="{00000000-0005-0000-0000-000076110000}"/>
    <cellStyle name="Normal 5 3 4" xfId="4900" xr:uid="{00000000-0005-0000-0000-000077110000}"/>
    <cellStyle name="Normal 5 3 5" xfId="4924" xr:uid="{00000000-0005-0000-0000-000078110000}"/>
    <cellStyle name="Normal 5 3 6" xfId="4978" xr:uid="{00000000-0005-0000-0000-000079110000}"/>
    <cellStyle name="Normal 5 3 7" xfId="5012" xr:uid="{00000000-0005-0000-0000-00007A110000}"/>
    <cellStyle name="Normal 5 3 8" xfId="5244" xr:uid="{00000000-0005-0000-0000-00007B110000}"/>
    <cellStyle name="Normal 5 3 9" xfId="5272" xr:uid="{00000000-0005-0000-0000-00007C110000}"/>
    <cellStyle name="Normal 5 4" xfId="168" xr:uid="{00000000-0005-0000-0000-00007D110000}"/>
    <cellStyle name="Normal 5 4 2" xfId="3558" xr:uid="{00000000-0005-0000-0000-00007E110000}"/>
    <cellStyle name="Normal 5 4 2 2" xfId="3861" xr:uid="{00000000-0005-0000-0000-00007F110000}"/>
    <cellStyle name="Normal 5 4 2 3" xfId="4619" xr:uid="{00000000-0005-0000-0000-000080110000}"/>
    <cellStyle name="Normal 5 4 2 4" xfId="5080" xr:uid="{00000000-0005-0000-0000-000081110000}"/>
    <cellStyle name="Normal 5 4 3" xfId="3678" xr:uid="{00000000-0005-0000-0000-000082110000}"/>
    <cellStyle name="Normal 5 4 4" xfId="3471" xr:uid="{00000000-0005-0000-0000-000083110000}"/>
    <cellStyle name="Normal 5 4 5" xfId="3846" xr:uid="{00000000-0005-0000-0000-000084110000}"/>
    <cellStyle name="Normal 5 4 6" xfId="2525" xr:uid="{00000000-0005-0000-0000-000085110000}"/>
    <cellStyle name="Normal 5 4 7" xfId="4618" xr:uid="{00000000-0005-0000-0000-000086110000}"/>
    <cellStyle name="Normal 5 4 8" xfId="5054" xr:uid="{00000000-0005-0000-0000-000087110000}"/>
    <cellStyle name="Normal 5 5" xfId="2526" xr:uid="{00000000-0005-0000-0000-000088110000}"/>
    <cellStyle name="Normal 5 5 2" xfId="3679" xr:uid="{00000000-0005-0000-0000-000089110000}"/>
    <cellStyle name="Normal 5 5 2 2" xfId="4621" xr:uid="{00000000-0005-0000-0000-00008A110000}"/>
    <cellStyle name="Normal 5 5 3" xfId="3537" xr:uid="{00000000-0005-0000-0000-00008B110000}"/>
    <cellStyle name="Normal 5 5 4" xfId="4620" xr:uid="{00000000-0005-0000-0000-00008C110000}"/>
    <cellStyle name="Normal 5 5 5" xfId="5356" xr:uid="{00000000-0005-0000-0000-00008D110000}"/>
    <cellStyle name="Normal 5 6" xfId="2527" xr:uid="{00000000-0005-0000-0000-00008E110000}"/>
    <cellStyle name="Normal 5 6 2" xfId="4622" xr:uid="{00000000-0005-0000-0000-00008F110000}"/>
    <cellStyle name="Normal 5 7" xfId="2528" xr:uid="{00000000-0005-0000-0000-000090110000}"/>
    <cellStyle name="Normal 5 7 2" xfId="4623" xr:uid="{00000000-0005-0000-0000-000091110000}"/>
    <cellStyle name="Normal 5 8" xfId="2529" xr:uid="{00000000-0005-0000-0000-000092110000}"/>
    <cellStyle name="Normal 5 8 2" xfId="4849" xr:uid="{00000000-0005-0000-0000-000093110000}"/>
    <cellStyle name="Normal 5 9" xfId="2530" xr:uid="{00000000-0005-0000-0000-000094110000}"/>
    <cellStyle name="Normal 5_120403-Utica-3rd Flr Gym" xfId="2531" xr:uid="{00000000-0005-0000-0000-000095110000}"/>
    <cellStyle name="Normal 50" xfId="3472" xr:uid="{00000000-0005-0000-0000-000096110000}"/>
    <cellStyle name="Normal 50 2" xfId="4624" xr:uid="{00000000-0005-0000-0000-000097110000}"/>
    <cellStyle name="Normal 50 3" xfId="5664" xr:uid="{00000000-0005-0000-0000-000098110000}"/>
    <cellStyle name="Normal 51" xfId="3473" xr:uid="{00000000-0005-0000-0000-000099110000}"/>
    <cellStyle name="Normal 51 2" xfId="4625" xr:uid="{00000000-0005-0000-0000-00009A110000}"/>
    <cellStyle name="Normal 51 3" xfId="5789" xr:uid="{00000000-0005-0000-0000-00009B110000}"/>
    <cellStyle name="Normal 52" xfId="3474" xr:uid="{00000000-0005-0000-0000-00009C110000}"/>
    <cellStyle name="Normal 52 2" xfId="4626" xr:uid="{00000000-0005-0000-0000-00009D110000}"/>
    <cellStyle name="Normal 53" xfId="3475" xr:uid="{00000000-0005-0000-0000-00009E110000}"/>
    <cellStyle name="Normal 53 2" xfId="4627" xr:uid="{00000000-0005-0000-0000-00009F110000}"/>
    <cellStyle name="Normal 54" xfId="6" xr:uid="{00000000-0005-0000-0000-0000A0110000}"/>
    <cellStyle name="Normal 54 2" xfId="4628" xr:uid="{00000000-0005-0000-0000-0000A1110000}"/>
    <cellStyle name="Normal 54 3" xfId="3476" xr:uid="{00000000-0005-0000-0000-0000A2110000}"/>
    <cellStyle name="Normal 55" xfId="3477" xr:uid="{00000000-0005-0000-0000-0000A3110000}"/>
    <cellStyle name="Normal 55 2" xfId="4629" xr:uid="{00000000-0005-0000-0000-0000A4110000}"/>
    <cellStyle name="Normal 56" xfId="3478" xr:uid="{00000000-0005-0000-0000-0000A5110000}"/>
    <cellStyle name="Normal 56 2" xfId="4630" xr:uid="{00000000-0005-0000-0000-0000A6110000}"/>
    <cellStyle name="Normal 57" xfId="3479" xr:uid="{00000000-0005-0000-0000-0000A7110000}"/>
    <cellStyle name="Normal 57 2" xfId="4631" xr:uid="{00000000-0005-0000-0000-0000A8110000}"/>
    <cellStyle name="Normal 58" xfId="3480" xr:uid="{00000000-0005-0000-0000-0000A9110000}"/>
    <cellStyle name="Normal 58 2" xfId="4632" xr:uid="{00000000-0005-0000-0000-0000AA110000}"/>
    <cellStyle name="Normal 59" xfId="3481" xr:uid="{00000000-0005-0000-0000-0000AB110000}"/>
    <cellStyle name="Normal 59 2" xfId="4633" xr:uid="{00000000-0005-0000-0000-0000AC110000}"/>
    <cellStyle name="Normal 6" xfId="80" xr:uid="{00000000-0005-0000-0000-0000AD110000}"/>
    <cellStyle name="Normal 6 2" xfId="170" xr:uid="{00000000-0005-0000-0000-0000AE110000}"/>
    <cellStyle name="Normal 6 2 2" xfId="3724" xr:uid="{00000000-0005-0000-0000-0000AF110000}"/>
    <cellStyle name="Normal 6 2 2 2" xfId="4636" xr:uid="{00000000-0005-0000-0000-0000B0110000}"/>
    <cellStyle name="Normal 6 2 2 2 2" xfId="5672" xr:uid="{00000000-0005-0000-0000-0000B1110000}"/>
    <cellStyle name="Normal 6 2 2 3" xfId="4637" xr:uid="{00000000-0005-0000-0000-0000B2110000}"/>
    <cellStyle name="Normal 6 2 2 4" xfId="4635" xr:uid="{00000000-0005-0000-0000-0000B3110000}"/>
    <cellStyle name="Normal 6 2 3" xfId="3546" xr:uid="{00000000-0005-0000-0000-0000B4110000}"/>
    <cellStyle name="Normal 6 2 3 2" xfId="5673" xr:uid="{00000000-0005-0000-0000-0000B5110000}"/>
    <cellStyle name="Normal 6 2 4" xfId="3024" xr:uid="{00000000-0005-0000-0000-0000B6110000}"/>
    <cellStyle name="Normal 6 2 5" xfId="4634" xr:uid="{00000000-0005-0000-0000-0000B7110000}"/>
    <cellStyle name="Normal 6 3" xfId="2532" xr:uid="{00000000-0005-0000-0000-0000B8110000}"/>
    <cellStyle name="Normal 6 3 2" xfId="4639" xr:uid="{00000000-0005-0000-0000-0000B9110000}"/>
    <cellStyle name="Normal 6 3 3" xfId="4638" xr:uid="{00000000-0005-0000-0000-0000BA110000}"/>
    <cellStyle name="Normal 6 3 4" xfId="5098" xr:uid="{00000000-0005-0000-0000-0000BB110000}"/>
    <cellStyle name="Normal 6 4" xfId="3575" xr:uid="{00000000-0005-0000-0000-0000BC110000}"/>
    <cellStyle name="Normal 6 4 2" xfId="4641" xr:uid="{00000000-0005-0000-0000-0000BD110000}"/>
    <cellStyle name="Normal 6 4 3" xfId="4640" xr:uid="{00000000-0005-0000-0000-0000BE110000}"/>
    <cellStyle name="Normal 6 4 4" xfId="5447" xr:uid="{00000000-0005-0000-0000-0000BF110000}"/>
    <cellStyle name="Normal 6 5" xfId="3372" xr:uid="{00000000-0005-0000-0000-0000C0110000}"/>
    <cellStyle name="Normal 6 6" xfId="4642" xr:uid="{00000000-0005-0000-0000-0000C1110000}"/>
    <cellStyle name="Normal 6_NOI" xfId="4643" xr:uid="{00000000-0005-0000-0000-0000C2110000}"/>
    <cellStyle name="Normal 60" xfId="3482" xr:uid="{00000000-0005-0000-0000-0000C3110000}"/>
    <cellStyle name="Normal 60 2" xfId="4644" xr:uid="{00000000-0005-0000-0000-0000C4110000}"/>
    <cellStyle name="Normal 61" xfId="3483" xr:uid="{00000000-0005-0000-0000-0000C5110000}"/>
    <cellStyle name="Normal 61 2" xfId="4645" xr:uid="{00000000-0005-0000-0000-0000C6110000}"/>
    <cellStyle name="Normal 62" xfId="3484" xr:uid="{00000000-0005-0000-0000-0000C7110000}"/>
    <cellStyle name="Normal 62 2" xfId="4646" xr:uid="{00000000-0005-0000-0000-0000C8110000}"/>
    <cellStyle name="Normal 63" xfId="3485" xr:uid="{00000000-0005-0000-0000-0000C9110000}"/>
    <cellStyle name="Normal 63 2" xfId="4647" xr:uid="{00000000-0005-0000-0000-0000CA110000}"/>
    <cellStyle name="Normal 64" xfId="3486" xr:uid="{00000000-0005-0000-0000-0000CB110000}"/>
    <cellStyle name="Normal 64 2" xfId="4648" xr:uid="{00000000-0005-0000-0000-0000CC110000}"/>
    <cellStyle name="Normal 65" xfId="3487" xr:uid="{00000000-0005-0000-0000-0000CD110000}"/>
    <cellStyle name="Normal 65 2" xfId="4649" xr:uid="{00000000-0005-0000-0000-0000CE110000}"/>
    <cellStyle name="Normal 66" xfId="3488" xr:uid="{00000000-0005-0000-0000-0000CF110000}"/>
    <cellStyle name="Normal 66 2" xfId="4650" xr:uid="{00000000-0005-0000-0000-0000D0110000}"/>
    <cellStyle name="Normal 67" xfId="3489" xr:uid="{00000000-0005-0000-0000-0000D1110000}"/>
    <cellStyle name="Normal 67 2" xfId="4651" xr:uid="{00000000-0005-0000-0000-0000D2110000}"/>
    <cellStyle name="Normal 68" xfId="3490" xr:uid="{00000000-0005-0000-0000-0000D3110000}"/>
    <cellStyle name="Normal 68 2" xfId="4652" xr:uid="{00000000-0005-0000-0000-0000D4110000}"/>
    <cellStyle name="Normal 69" xfId="3491" xr:uid="{00000000-0005-0000-0000-0000D5110000}"/>
    <cellStyle name="Normal 69 2" xfId="4653" xr:uid="{00000000-0005-0000-0000-0000D6110000}"/>
    <cellStyle name="Normal 7" xfId="81" xr:uid="{00000000-0005-0000-0000-0000D7110000}"/>
    <cellStyle name="Normal 7 10" xfId="2533" xr:uid="{00000000-0005-0000-0000-0000D8110000}"/>
    <cellStyle name="Normal 7 11" xfId="3576" xr:uid="{00000000-0005-0000-0000-0000D9110000}"/>
    <cellStyle name="Normal 7 12" xfId="3492" xr:uid="{00000000-0005-0000-0000-0000DA110000}"/>
    <cellStyle name="Normal 7 13" xfId="4906" xr:uid="{00000000-0005-0000-0000-0000DB110000}"/>
    <cellStyle name="Normal 7 14" xfId="4930" xr:uid="{00000000-0005-0000-0000-0000DC110000}"/>
    <cellStyle name="Normal 7 15" xfId="4984" xr:uid="{00000000-0005-0000-0000-0000DD110000}"/>
    <cellStyle name="Normal 7 16" xfId="5018" xr:uid="{00000000-0005-0000-0000-0000DE110000}"/>
    <cellStyle name="Normal 7 17" xfId="5250" xr:uid="{00000000-0005-0000-0000-0000DF110000}"/>
    <cellStyle name="Normal 7 18" xfId="5278" xr:uid="{00000000-0005-0000-0000-0000E0110000}"/>
    <cellStyle name="Normal 7 19" xfId="5305" xr:uid="{00000000-0005-0000-0000-0000E1110000}"/>
    <cellStyle name="Normal 7 2" xfId="82" xr:uid="{00000000-0005-0000-0000-0000E2110000}"/>
    <cellStyle name="Normal 7 2 2" xfId="2535" xr:uid="{00000000-0005-0000-0000-0000E3110000}"/>
    <cellStyle name="Normal 7 2 2 2" xfId="4654" xr:uid="{00000000-0005-0000-0000-0000E4110000}"/>
    <cellStyle name="Normal 7 2 3" xfId="3026" xr:uid="{00000000-0005-0000-0000-0000E5110000}"/>
    <cellStyle name="Normal 7 2 4" xfId="2534" xr:uid="{00000000-0005-0000-0000-0000E6110000}"/>
    <cellStyle name="Normal 7 3" xfId="165" xr:uid="{00000000-0005-0000-0000-0000E7110000}"/>
    <cellStyle name="Normal 7 3 2" xfId="2537" xr:uid="{00000000-0005-0000-0000-0000E8110000}"/>
    <cellStyle name="Normal 7 3 3" xfId="2536" xr:uid="{00000000-0005-0000-0000-0000E9110000}"/>
    <cellStyle name="Normal 7 3 4" xfId="4655" xr:uid="{00000000-0005-0000-0000-0000EA110000}"/>
    <cellStyle name="Normal 7 4" xfId="2538" xr:uid="{00000000-0005-0000-0000-0000EB110000}"/>
    <cellStyle name="Normal 7 4 2" xfId="2539" xr:uid="{00000000-0005-0000-0000-0000EC110000}"/>
    <cellStyle name="Normal 7 5" xfId="2540" xr:uid="{00000000-0005-0000-0000-0000ED110000}"/>
    <cellStyle name="Normal 7 5 2" xfId="2541" xr:uid="{00000000-0005-0000-0000-0000EE110000}"/>
    <cellStyle name="Normal 7 5 3" xfId="4656" xr:uid="{00000000-0005-0000-0000-0000EF110000}"/>
    <cellStyle name="Normal 7 6" xfId="2542" xr:uid="{00000000-0005-0000-0000-0000F0110000}"/>
    <cellStyle name="Normal 7 6 2" xfId="2543" xr:uid="{00000000-0005-0000-0000-0000F1110000}"/>
    <cellStyle name="Normal 7 7" xfId="2544" xr:uid="{00000000-0005-0000-0000-0000F2110000}"/>
    <cellStyle name="Normal 7 7 2" xfId="2545" xr:uid="{00000000-0005-0000-0000-0000F3110000}"/>
    <cellStyle name="Normal 7 8" xfId="2546" xr:uid="{00000000-0005-0000-0000-0000F4110000}"/>
    <cellStyle name="Normal 7 8 2" xfId="2547" xr:uid="{00000000-0005-0000-0000-0000F5110000}"/>
    <cellStyle name="Normal 7 9" xfId="3025" xr:uid="{00000000-0005-0000-0000-0000F6110000}"/>
    <cellStyle name="Normal 7_88 Richardson 80-20 1-31-12 Invest Memo" xfId="2548" xr:uid="{00000000-0005-0000-0000-0000F7110000}"/>
    <cellStyle name="Normal 70" xfId="3493" xr:uid="{00000000-0005-0000-0000-0000F8110000}"/>
    <cellStyle name="Normal 70 2" xfId="4657" xr:uid="{00000000-0005-0000-0000-0000F9110000}"/>
    <cellStyle name="Normal 71" xfId="3494" xr:uid="{00000000-0005-0000-0000-0000FA110000}"/>
    <cellStyle name="Normal 71 2" xfId="4658" xr:uid="{00000000-0005-0000-0000-0000FB110000}"/>
    <cellStyle name="Normal 72" xfId="3495" xr:uid="{00000000-0005-0000-0000-0000FC110000}"/>
    <cellStyle name="Normal 72 2" xfId="4659" xr:uid="{00000000-0005-0000-0000-0000FD110000}"/>
    <cellStyle name="Normal 73" xfId="3496" xr:uid="{00000000-0005-0000-0000-0000FE110000}"/>
    <cellStyle name="Normal 73 2" xfId="4660" xr:uid="{00000000-0005-0000-0000-0000FF110000}"/>
    <cellStyle name="Normal 74" xfId="3497" xr:uid="{00000000-0005-0000-0000-000000120000}"/>
    <cellStyle name="Normal 74 2" xfId="4661" xr:uid="{00000000-0005-0000-0000-000001120000}"/>
    <cellStyle name="Normal 75" xfId="3498" xr:uid="{00000000-0005-0000-0000-000002120000}"/>
    <cellStyle name="Normal 75 2" xfId="4662" xr:uid="{00000000-0005-0000-0000-000003120000}"/>
    <cellStyle name="Normal 76" xfId="3499" xr:uid="{00000000-0005-0000-0000-000004120000}"/>
    <cellStyle name="Normal 76 2" xfId="4663" xr:uid="{00000000-0005-0000-0000-000005120000}"/>
    <cellStyle name="Normal 77" xfId="3500" xr:uid="{00000000-0005-0000-0000-000006120000}"/>
    <cellStyle name="Normal 77 2" xfId="4664" xr:uid="{00000000-0005-0000-0000-000007120000}"/>
    <cellStyle name="Normal 78" xfId="3501" xr:uid="{00000000-0005-0000-0000-000008120000}"/>
    <cellStyle name="Normal 79" xfId="3502" xr:uid="{00000000-0005-0000-0000-000009120000}"/>
    <cellStyle name="Normal 79 2" xfId="5099" xr:uid="{00000000-0005-0000-0000-00000A120000}"/>
    <cellStyle name="Normal 8" xfId="83" xr:uid="{00000000-0005-0000-0000-00000B120000}"/>
    <cellStyle name="Normal 8 10" xfId="2549" xr:uid="{00000000-0005-0000-0000-00000C120000}"/>
    <cellStyle name="Normal 8 11" xfId="3577" xr:uid="{00000000-0005-0000-0000-00000D120000}"/>
    <cellStyle name="Normal 8 12" xfId="3503" xr:uid="{00000000-0005-0000-0000-00000E120000}"/>
    <cellStyle name="Normal 8 13" xfId="5255" xr:uid="{00000000-0005-0000-0000-00000F120000}"/>
    <cellStyle name="Normal 8 14" xfId="5281" xr:uid="{00000000-0005-0000-0000-000010120000}"/>
    <cellStyle name="Normal 8 15" xfId="5311" xr:uid="{00000000-0005-0000-0000-000011120000}"/>
    <cellStyle name="Normal 8 16" xfId="5675" xr:uid="{00000000-0005-0000-0000-000012120000}"/>
    <cellStyle name="Normal 8 2" xfId="2550" xr:uid="{00000000-0005-0000-0000-000013120000}"/>
    <cellStyle name="Normal 8 2 2" xfId="2551" xr:uid="{00000000-0005-0000-0000-000014120000}"/>
    <cellStyle name="Normal 8 2 3" xfId="5676" xr:uid="{00000000-0005-0000-0000-000015120000}"/>
    <cellStyle name="Normal 8 3" xfId="2552" xr:uid="{00000000-0005-0000-0000-000016120000}"/>
    <cellStyle name="Normal 8 3 2" xfId="2553" xr:uid="{00000000-0005-0000-0000-000017120000}"/>
    <cellStyle name="Normal 8 3 3" xfId="4665" xr:uid="{00000000-0005-0000-0000-000018120000}"/>
    <cellStyle name="Normal 8 4" xfId="2554" xr:uid="{00000000-0005-0000-0000-000019120000}"/>
    <cellStyle name="Normal 8 4 2" xfId="2555" xr:uid="{00000000-0005-0000-0000-00001A120000}"/>
    <cellStyle name="Normal 8 5" xfId="2556" xr:uid="{00000000-0005-0000-0000-00001B120000}"/>
    <cellStyle name="Normal 8 5 2" xfId="2557" xr:uid="{00000000-0005-0000-0000-00001C120000}"/>
    <cellStyle name="Normal 8 6" xfId="2558" xr:uid="{00000000-0005-0000-0000-00001D120000}"/>
    <cellStyle name="Normal 8 6 2" xfId="2559" xr:uid="{00000000-0005-0000-0000-00001E120000}"/>
    <cellStyle name="Normal 8 7" xfId="2560" xr:uid="{00000000-0005-0000-0000-00001F120000}"/>
    <cellStyle name="Normal 8 7 2" xfId="2561" xr:uid="{00000000-0005-0000-0000-000020120000}"/>
    <cellStyle name="Normal 8 8" xfId="2562" xr:uid="{00000000-0005-0000-0000-000021120000}"/>
    <cellStyle name="Normal 8 8 2" xfId="2563" xr:uid="{00000000-0005-0000-0000-000022120000}"/>
    <cellStyle name="Normal 8 9" xfId="3027" xr:uid="{00000000-0005-0000-0000-000023120000}"/>
    <cellStyle name="Normal 8_88 Richardson 80-20 1-31-12 Invest Memo" xfId="2564" xr:uid="{00000000-0005-0000-0000-000024120000}"/>
    <cellStyle name="Normal 80" xfId="3504" xr:uid="{00000000-0005-0000-0000-000025120000}"/>
    <cellStyle name="Normal 81" xfId="3505" xr:uid="{00000000-0005-0000-0000-000026120000}"/>
    <cellStyle name="Normal 82" xfId="3506" xr:uid="{00000000-0005-0000-0000-000027120000}"/>
    <cellStyle name="Normal 83" xfId="3507" xr:uid="{00000000-0005-0000-0000-000028120000}"/>
    <cellStyle name="Normal 84" xfId="3508" xr:uid="{00000000-0005-0000-0000-000029120000}"/>
    <cellStyle name="Normal 85" xfId="3509" xr:uid="{00000000-0005-0000-0000-00002A120000}"/>
    <cellStyle name="Normal 86" xfId="3510" xr:uid="{00000000-0005-0000-0000-00002B120000}"/>
    <cellStyle name="Normal 87" xfId="3511" xr:uid="{00000000-0005-0000-0000-00002C120000}"/>
    <cellStyle name="Normal 88" xfId="3512" xr:uid="{00000000-0005-0000-0000-00002D120000}"/>
    <cellStyle name="Normal 89" xfId="3513" xr:uid="{00000000-0005-0000-0000-00002E120000}"/>
    <cellStyle name="Normal 9" xfId="107" xr:uid="{00000000-0005-0000-0000-00002F120000}"/>
    <cellStyle name="Normal 9 10" xfId="3585" xr:uid="{00000000-0005-0000-0000-000030120000}"/>
    <cellStyle name="Normal 9 11" xfId="3514" xr:uid="{00000000-0005-0000-0000-000031120000}"/>
    <cellStyle name="Normal 9 2" xfId="114" xr:uid="{00000000-0005-0000-0000-000032120000}"/>
    <cellStyle name="Normal 9 2 2" xfId="2566" xr:uid="{00000000-0005-0000-0000-000033120000}"/>
    <cellStyle name="Normal 9 2 2 2" xfId="5677" xr:uid="{00000000-0005-0000-0000-000034120000}"/>
    <cellStyle name="Normal 9 2 3" xfId="4909" xr:uid="{00000000-0005-0000-0000-000035120000}"/>
    <cellStyle name="Normal 9 2 4" xfId="4932" xr:uid="{00000000-0005-0000-0000-000036120000}"/>
    <cellStyle name="Normal 9 2 5" xfId="4986" xr:uid="{00000000-0005-0000-0000-000037120000}"/>
    <cellStyle name="Normal 9 2 6" xfId="5020" xr:uid="{00000000-0005-0000-0000-000038120000}"/>
    <cellStyle name="Normal 9 2 7" xfId="5253" xr:uid="{00000000-0005-0000-0000-000039120000}"/>
    <cellStyle name="Normal 9 2 8" xfId="5280" xr:uid="{00000000-0005-0000-0000-00003A120000}"/>
    <cellStyle name="Normal 9 2 9" xfId="5310" xr:uid="{00000000-0005-0000-0000-00003B120000}"/>
    <cellStyle name="Normal 9 3" xfId="2567" xr:uid="{00000000-0005-0000-0000-00003C120000}"/>
    <cellStyle name="Normal 9 3 2" xfId="2568" xr:uid="{00000000-0005-0000-0000-00003D120000}"/>
    <cellStyle name="Normal 9 3 3" xfId="5678" xr:uid="{00000000-0005-0000-0000-00003E120000}"/>
    <cellStyle name="Normal 9 4" xfId="2569" xr:uid="{00000000-0005-0000-0000-00003F120000}"/>
    <cellStyle name="Normal 9 4 2" xfId="2570" xr:uid="{00000000-0005-0000-0000-000040120000}"/>
    <cellStyle name="Normal 9 5" xfId="2571" xr:uid="{00000000-0005-0000-0000-000041120000}"/>
    <cellStyle name="Normal 9 5 2" xfId="2572" xr:uid="{00000000-0005-0000-0000-000042120000}"/>
    <cellStyle name="Normal 9 6" xfId="2573" xr:uid="{00000000-0005-0000-0000-000043120000}"/>
    <cellStyle name="Normal 9 6 2" xfId="2574" xr:uid="{00000000-0005-0000-0000-000044120000}"/>
    <cellStyle name="Normal 9 7" xfId="2575" xr:uid="{00000000-0005-0000-0000-000045120000}"/>
    <cellStyle name="Normal 9 7 2" xfId="2576" xr:uid="{00000000-0005-0000-0000-000046120000}"/>
    <cellStyle name="Normal 9 8" xfId="2577" xr:uid="{00000000-0005-0000-0000-000047120000}"/>
    <cellStyle name="Normal 9 8 2" xfId="2578" xr:uid="{00000000-0005-0000-0000-000048120000}"/>
    <cellStyle name="Normal 9 9" xfId="2565" xr:uid="{00000000-0005-0000-0000-000049120000}"/>
    <cellStyle name="Normal 9_Harlem 116th-117th 11 22 11" xfId="2579" xr:uid="{00000000-0005-0000-0000-00004A120000}"/>
    <cellStyle name="Normal 90" xfId="3515" xr:uid="{00000000-0005-0000-0000-00004B120000}"/>
    <cellStyle name="Normal 91" xfId="3516" xr:uid="{00000000-0005-0000-0000-00004C120000}"/>
    <cellStyle name="Normal 91 2" xfId="3559" xr:uid="{00000000-0005-0000-0000-00004D120000}"/>
    <cellStyle name="Normal 91 2 2" xfId="3862" xr:uid="{00000000-0005-0000-0000-00004E120000}"/>
    <cellStyle name="Normal 91 2 3" xfId="5083" xr:uid="{00000000-0005-0000-0000-00004F120000}"/>
    <cellStyle name="Normal 91 3" xfId="3847" xr:uid="{00000000-0005-0000-0000-000050120000}"/>
    <cellStyle name="Normal 91 4" xfId="5058" xr:uid="{00000000-0005-0000-0000-000051120000}"/>
    <cellStyle name="Normal 92" xfId="3517" xr:uid="{00000000-0005-0000-0000-000052120000}"/>
    <cellStyle name="Normal 93" xfId="3588" xr:uid="{00000000-0005-0000-0000-000053120000}"/>
    <cellStyle name="Normal 93 2" xfId="5145" xr:uid="{00000000-0005-0000-0000-000054120000}"/>
    <cellStyle name="Normal 94" xfId="3771" xr:uid="{00000000-0005-0000-0000-000055120000}"/>
    <cellStyle name="Normal 94 2" xfId="5146" xr:uid="{00000000-0005-0000-0000-000056120000}"/>
    <cellStyle name="Normal 94 3" xfId="5103" xr:uid="{00000000-0005-0000-0000-000057120000}"/>
    <cellStyle name="Normal 95" xfId="3763" xr:uid="{00000000-0005-0000-0000-000058120000}"/>
    <cellStyle name="Normal 96" xfId="3350" xr:uid="{00000000-0005-0000-0000-000059120000}"/>
    <cellStyle name="Normal 97" xfId="3710" xr:uid="{00000000-0005-0000-0000-00005A120000}"/>
    <cellStyle name="Normal 98" xfId="3776" xr:uid="{00000000-0005-0000-0000-00005B120000}"/>
    <cellStyle name="Normal 99" xfId="3101" xr:uid="{00000000-0005-0000-0000-00005C120000}"/>
    <cellStyle name="Normal_coop sale price analysis v2" xfId="9" xr:uid="{00000000-0005-0000-0000-00005D120000}"/>
    <cellStyle name="NormalBack" xfId="2580" xr:uid="{00000000-0005-0000-0000-00005E120000}"/>
    <cellStyle name="NormalBack 2" xfId="5929" xr:uid="{FE10B764-A173-4B05-BD4A-E4917CDF25CB}"/>
    <cellStyle name="NormalBorder" xfId="2581" xr:uid="{00000000-0005-0000-0000-00005F120000}"/>
    <cellStyle name="NormalBorder 2" xfId="5930" xr:uid="{76935130-4B6D-49B6-AB55-76C09678BDCF}"/>
    <cellStyle name="NormalE" xfId="2582" xr:uid="{00000000-0005-0000-0000-000060120000}"/>
    <cellStyle name="NormalE 2" xfId="2583" xr:uid="{00000000-0005-0000-0000-000061120000}"/>
    <cellStyle name="NormalE 2 2" xfId="2584" xr:uid="{00000000-0005-0000-0000-000062120000}"/>
    <cellStyle name="NormalE 2 2 2" xfId="2585" xr:uid="{00000000-0005-0000-0000-000063120000}"/>
    <cellStyle name="NormalE 2 3" xfId="2586" xr:uid="{00000000-0005-0000-0000-000064120000}"/>
    <cellStyle name="NormalE 2_120403-Utica-3rd Flr Gym" xfId="2587" xr:uid="{00000000-0005-0000-0000-000065120000}"/>
    <cellStyle name="NormalE 3" xfId="2588" xr:uid="{00000000-0005-0000-0000-000066120000}"/>
    <cellStyle name="NormalE_120403-Utica-3rd Flr Gym" xfId="2589" xr:uid="{00000000-0005-0000-0000-000067120000}"/>
    <cellStyle name="NormalLeft" xfId="2590" xr:uid="{00000000-0005-0000-0000-000068120000}"/>
    <cellStyle name="NormalLeft 2" xfId="5931" xr:uid="{9315A41F-7ECA-439D-8B0E-54536B26DD95}"/>
    <cellStyle name="NormalNumber%" xfId="2591" xr:uid="{00000000-0005-0000-0000-000069120000}"/>
    <cellStyle name="Normalny_Arkusz1" xfId="2592" xr:uid="{00000000-0005-0000-0000-00006A120000}"/>
    <cellStyle name="NormalOPrint_Module_E (2)" xfId="2593" xr:uid="{00000000-0005-0000-0000-00006B120000}"/>
    <cellStyle name="NormalRightNum" xfId="2594" xr:uid="{00000000-0005-0000-0000-00006C120000}"/>
    <cellStyle name="NormalRightPercent" xfId="2595" xr:uid="{00000000-0005-0000-0000-00006D120000}"/>
    <cellStyle name="Note 2" xfId="2597" xr:uid="{00000000-0005-0000-0000-00006E120000}"/>
    <cellStyle name="Note 2 2" xfId="2598" xr:uid="{00000000-0005-0000-0000-00006F120000}"/>
    <cellStyle name="Note 2 2 2" xfId="3682" xr:uid="{00000000-0005-0000-0000-000070120000}"/>
    <cellStyle name="Note 2 2 2 2" xfId="3953" xr:uid="{00000000-0005-0000-0000-000071120000}"/>
    <cellStyle name="Note 2 2 2 2 2" xfId="5138" xr:uid="{00000000-0005-0000-0000-000072120000}"/>
    <cellStyle name="Note 2 2 2 2 2 2" xfId="6357" xr:uid="{2F64A436-8DC8-442A-8CE0-E4B82C61EDC5}"/>
    <cellStyle name="Note 2 2 2 2 3" xfId="5222" xr:uid="{00000000-0005-0000-0000-000073120000}"/>
    <cellStyle name="Note 2 2 2 2 3 2" xfId="6431" xr:uid="{7F98EDF2-A1CE-4FC2-9BBE-C89A6BE02E25}"/>
    <cellStyle name="Note 2 2 2 2 4" xfId="6213" xr:uid="{6EA9EB48-E715-4867-9351-E87D8ECA3FAF}"/>
    <cellStyle name="Note 2 2 2 3" xfId="5087" xr:uid="{00000000-0005-0000-0000-000074120000}"/>
    <cellStyle name="Note 2 2 2 3 2" xfId="6318" xr:uid="{5C3D0CBC-2170-422E-B3D4-FCE92A13C317}"/>
    <cellStyle name="Note 2 2 2 4" xfId="5179" xr:uid="{00000000-0005-0000-0000-000075120000}"/>
    <cellStyle name="Note 2 2 2 4 2" xfId="6390" xr:uid="{0D244E3C-97DD-4D1A-8157-13C05650587C}"/>
    <cellStyle name="Note 2 2 2 5" xfId="6115" xr:uid="{C8AD56EB-8ADD-462D-AF78-2354653051BA}"/>
    <cellStyle name="Note 2 2 3" xfId="3519" xr:uid="{00000000-0005-0000-0000-000076120000}"/>
    <cellStyle name="Note 2 2 3 2" xfId="3928" xr:uid="{00000000-0005-0000-0000-000077120000}"/>
    <cellStyle name="Note 2 2 3 2 2" xfId="5126" xr:uid="{00000000-0005-0000-0000-000078120000}"/>
    <cellStyle name="Note 2 2 3 2 2 2" xfId="6345" xr:uid="{1474B9FB-78B3-4C3C-8568-C7040212A7CF}"/>
    <cellStyle name="Note 2 2 3 2 3" xfId="5210" xr:uid="{00000000-0005-0000-0000-000079120000}"/>
    <cellStyle name="Note 2 2 3 2 3 2" xfId="6419" xr:uid="{D9C2B5A4-81EF-42F3-B46A-0176599FB1AF}"/>
    <cellStyle name="Note 2 2 3 2 4" xfId="6188" xr:uid="{D89BD618-F9E7-4505-AA06-FB59B28395D0}"/>
    <cellStyle name="Note 2 2 3 3" xfId="5167" xr:uid="{00000000-0005-0000-0000-00007A120000}"/>
    <cellStyle name="Note 2 2 3 3 2" xfId="6378" xr:uid="{6EED5468-C179-49D5-9555-CBCE0299F337}"/>
    <cellStyle name="Note 2 2 3 4" xfId="6076" xr:uid="{3A37E025-AB0C-40E0-95B3-ADF1DF07A308}"/>
    <cellStyle name="Note 2 2 4" xfId="5113" xr:uid="{00000000-0005-0000-0000-00007B120000}"/>
    <cellStyle name="Note 2 2 4 2" xfId="5197" xr:uid="{00000000-0005-0000-0000-00007C120000}"/>
    <cellStyle name="Note 2 2 4 2 2" xfId="6406" xr:uid="{B0C622FC-C50A-4905-8054-71BE5F779032}"/>
    <cellStyle name="Note 2 2 4 3" xfId="6332" xr:uid="{EB786B87-227C-4B4C-A491-B22D4982637A}"/>
    <cellStyle name="Note 2 2 5" xfId="5154" xr:uid="{00000000-0005-0000-0000-00007D120000}"/>
    <cellStyle name="Note 2 2 5 2" xfId="6365" xr:uid="{71996134-D61C-49F1-9AB8-E0E3C50243E0}"/>
    <cellStyle name="Note 2 2 6" xfId="5934" xr:uid="{A6EA3C93-D2A4-4D69-8032-D70B2A5C8C4C}"/>
    <cellStyle name="Note 2 3" xfId="3681" xr:uid="{00000000-0005-0000-0000-00007E120000}"/>
    <cellStyle name="Note 2 3 2" xfId="3952" xr:uid="{00000000-0005-0000-0000-00007F120000}"/>
    <cellStyle name="Note 2 3 2 2" xfId="5137" xr:uid="{00000000-0005-0000-0000-000080120000}"/>
    <cellStyle name="Note 2 3 2 2 2" xfId="6356" xr:uid="{2ACF9D41-A286-4C98-BEF6-D2A9C8B2E672}"/>
    <cellStyle name="Note 2 3 2 3" xfId="5221" xr:uid="{00000000-0005-0000-0000-000081120000}"/>
    <cellStyle name="Note 2 3 2 3 2" xfId="6430" xr:uid="{2FD5AFE4-922C-434A-ACD7-3E9DC3D4C5A4}"/>
    <cellStyle name="Note 2 3 2 4" xfId="6212" xr:uid="{D1BF2A65-97A7-41F7-AD74-17BD5A4FD469}"/>
    <cellStyle name="Note 2 3 3" xfId="5086" xr:uid="{00000000-0005-0000-0000-000082120000}"/>
    <cellStyle name="Note 2 3 3 2" xfId="6317" xr:uid="{F49A83C5-263B-4C20-95AA-9553C02C71EF}"/>
    <cellStyle name="Note 2 3 4" xfId="5178" xr:uid="{00000000-0005-0000-0000-000083120000}"/>
    <cellStyle name="Note 2 3 4 2" xfId="6389" xr:uid="{E026A3AD-0025-4AE7-9B2A-216196017CEC}"/>
    <cellStyle name="Note 2 3 5" xfId="6114" xr:uid="{FF496C4B-E208-4DFE-B91E-39DA33941D89}"/>
    <cellStyle name="Note 2 4" xfId="3518" xr:uid="{00000000-0005-0000-0000-000084120000}"/>
    <cellStyle name="Note 2 4 2" xfId="3927" xr:uid="{00000000-0005-0000-0000-000085120000}"/>
    <cellStyle name="Note 2 4 2 2" xfId="5142" xr:uid="{00000000-0005-0000-0000-000086120000}"/>
    <cellStyle name="Note 2 4 2 2 2" xfId="6361" xr:uid="{E3A4BD2A-737A-46C4-97C7-E869AD4814D6}"/>
    <cellStyle name="Note 2 4 2 3" xfId="5226" xr:uid="{00000000-0005-0000-0000-000087120000}"/>
    <cellStyle name="Note 2 4 2 3 2" xfId="6435" xr:uid="{AE2A02FC-9331-4AFC-9E29-873F6154606C}"/>
    <cellStyle name="Note 2 4 2 4" xfId="6187" xr:uid="{1BF04F18-311F-4C58-81FC-F22A57AD3129}"/>
    <cellStyle name="Note 2 4 3" xfId="5183" xr:uid="{00000000-0005-0000-0000-000088120000}"/>
    <cellStyle name="Note 2 4 3 2" xfId="6394" xr:uid="{1B450DA8-C3D0-4229-BBE9-CBC40B1ED9C8}"/>
    <cellStyle name="Note 2 4 4" xfId="6075" xr:uid="{86932878-1EE3-4D57-8697-9993B8DAB743}"/>
    <cellStyle name="Note 2 5" xfId="5112" xr:uid="{00000000-0005-0000-0000-000089120000}"/>
    <cellStyle name="Note 2 5 2" xfId="5196" xr:uid="{00000000-0005-0000-0000-00008A120000}"/>
    <cellStyle name="Note 2 5 2 2" xfId="6405" xr:uid="{DC80889D-2D41-445F-9A54-DF0484D068AF}"/>
    <cellStyle name="Note 2 5 3" xfId="6331" xr:uid="{CF2471F8-21BA-446E-A295-40CAAFC24FDE}"/>
    <cellStyle name="Note 2 6" xfId="5153" xr:uid="{00000000-0005-0000-0000-00008B120000}"/>
    <cellStyle name="Note 2 6 2" xfId="6364" xr:uid="{FFE3BBF1-EBDB-4A81-AF6A-907C35D8C619}"/>
    <cellStyle name="Note 2 7" xfId="5933" xr:uid="{D9F6D1E0-0BF6-4463-BFC3-5E5DF04D39DD}"/>
    <cellStyle name="Note 3" xfId="2599" xr:uid="{00000000-0005-0000-0000-00008C120000}"/>
    <cellStyle name="Note 3 2" xfId="2600" xr:uid="{00000000-0005-0000-0000-00008D120000}"/>
    <cellStyle name="Note 3 2 2" xfId="3684" xr:uid="{00000000-0005-0000-0000-00008E120000}"/>
    <cellStyle name="Note 3 2 2 2" xfId="3955" xr:uid="{00000000-0005-0000-0000-00008F120000}"/>
    <cellStyle name="Note 3 2 2 2 2" xfId="6215" xr:uid="{A50891BA-E7F3-4DF1-A241-3C17D683ED1D}"/>
    <cellStyle name="Note 3 2 2 3" xfId="6117" xr:uid="{EF86504D-34D7-4A15-B890-3E51715A18AC}"/>
    <cellStyle name="Note 3 2 3" xfId="5133" xr:uid="{00000000-0005-0000-0000-000090120000}"/>
    <cellStyle name="Note 3 2 3 2" xfId="6352" xr:uid="{9395521A-3D50-43B6-A4BF-C1DDB48E5FDD}"/>
    <cellStyle name="Note 3 2 4" xfId="5217" xr:uid="{00000000-0005-0000-0000-000091120000}"/>
    <cellStyle name="Note 3 2 4 2" xfId="6426" xr:uid="{341CCD6C-7498-4FBE-AF3E-4212684CB438}"/>
    <cellStyle name="Note 3 2 5" xfId="5936" xr:uid="{60670BB8-66C2-4602-8D4E-631CCA232A72}"/>
    <cellStyle name="Note 3 3" xfId="3683" xr:uid="{00000000-0005-0000-0000-000092120000}"/>
    <cellStyle name="Note 3 3 2" xfId="3954" xr:uid="{00000000-0005-0000-0000-000093120000}"/>
    <cellStyle name="Note 3 3 2 2" xfId="6214" xr:uid="{617A3006-246F-4F0E-9ABD-1E0778A5C9EF}"/>
    <cellStyle name="Note 3 3 3" xfId="6116" xr:uid="{434CFDC7-EDB9-4336-82CC-644D78D1EACB}"/>
    <cellStyle name="Note 3 4" xfId="5081" xr:uid="{00000000-0005-0000-0000-000094120000}"/>
    <cellStyle name="Note 3 4 2" xfId="6314" xr:uid="{ACC97C6A-2954-499B-A2DF-D7AEBF852DDD}"/>
    <cellStyle name="Note 3 5" xfId="5174" xr:uid="{00000000-0005-0000-0000-000095120000}"/>
    <cellStyle name="Note 3 5 2" xfId="6385" xr:uid="{E57E6C6F-490C-492F-B371-072FFEF81134}"/>
    <cellStyle name="Note 3 6" xfId="5935" xr:uid="{5210AE38-66E0-4764-8ED3-0833273BD9DF}"/>
    <cellStyle name="Note 4" xfId="2601" xr:uid="{00000000-0005-0000-0000-000096120000}"/>
    <cellStyle name="Note 4 2" xfId="3685" xr:uid="{00000000-0005-0000-0000-000097120000}"/>
    <cellStyle name="Note 4 2 2" xfId="3956" xr:uid="{00000000-0005-0000-0000-000098120000}"/>
    <cellStyle name="Note 4 2 2 2" xfId="6216" xr:uid="{58E4A3F3-B0E1-488C-8AD4-E3182FD072DB}"/>
    <cellStyle name="Note 4 2 3" xfId="5124" xr:uid="{00000000-0005-0000-0000-000099120000}"/>
    <cellStyle name="Note 4 2 3 2" xfId="6343" xr:uid="{0BF5ECA9-23B8-4817-A98E-0A51C9AE2B0E}"/>
    <cellStyle name="Note 4 2 4" xfId="5208" xr:uid="{00000000-0005-0000-0000-00009A120000}"/>
    <cellStyle name="Note 4 2 4 2" xfId="6417" xr:uid="{426D0878-C9D5-43C7-9692-B33F2F7A9028}"/>
    <cellStyle name="Note 4 2 5" xfId="6118" xr:uid="{7477252E-1E1D-4E63-920E-C6BEDF4538C1}"/>
    <cellStyle name="Note 4 3" xfId="5064" xr:uid="{00000000-0005-0000-0000-00009B120000}"/>
    <cellStyle name="Note 4 3 2" xfId="6309" xr:uid="{DB5F2729-CA04-40E5-A4A4-4CB953E0B5F1}"/>
    <cellStyle name="Note 4 4" xfId="5165" xr:uid="{00000000-0005-0000-0000-00009C120000}"/>
    <cellStyle name="Note 4 4 2" xfId="6376" xr:uid="{7FC0DF4E-DF60-4F75-A144-FE407014AA97}"/>
    <cellStyle name="Note 4 5" xfId="5937" xr:uid="{E30A1E95-CB9C-499B-9880-87DA84ADDDF4}"/>
    <cellStyle name="Note 5" xfId="2602" xr:uid="{00000000-0005-0000-0000-00009D120000}"/>
    <cellStyle name="Note 5 2" xfId="3686" xr:uid="{00000000-0005-0000-0000-00009E120000}"/>
    <cellStyle name="Note 5 2 2" xfId="3957" xr:uid="{00000000-0005-0000-0000-00009F120000}"/>
    <cellStyle name="Note 5 2 2 2" xfId="6217" xr:uid="{AD644158-3722-4904-AE7C-BDA937C9B5D2}"/>
    <cellStyle name="Note 5 2 3" xfId="5106" xr:uid="{00000000-0005-0000-0000-0000A0120000}"/>
    <cellStyle name="Note 5 2 3 2" xfId="6325" xr:uid="{142B89C8-EB62-4431-9B38-A4982F2700B7}"/>
    <cellStyle name="Note 5 2 4" xfId="5190" xr:uid="{00000000-0005-0000-0000-0000A1120000}"/>
    <cellStyle name="Note 5 2 4 2" xfId="6399" xr:uid="{46180B91-3DF6-4DAA-931C-0D68ACE78A15}"/>
    <cellStyle name="Note 5 2 5" xfId="6119" xr:uid="{33A87B58-B353-4030-85DD-3E524CAAF94A}"/>
    <cellStyle name="Note 5 3" xfId="5036" xr:uid="{00000000-0005-0000-0000-0000A2120000}"/>
    <cellStyle name="Note 5 3 2" xfId="6299" xr:uid="{CC8C29AD-1E85-4B46-8937-A08F1A3441B4}"/>
    <cellStyle name="Note 5 4" xfId="5047" xr:uid="{00000000-0005-0000-0000-0000A3120000}"/>
    <cellStyle name="Note 5 4 2" xfId="6303" xr:uid="{6DDA3560-3EAE-446F-AEFD-4B4EBFAD17A9}"/>
    <cellStyle name="Note 5 5" xfId="5938" xr:uid="{B3591FC9-6E69-4B69-A655-A5ECA791291D}"/>
    <cellStyle name="Note 6" xfId="2596" xr:uid="{00000000-0005-0000-0000-0000A4120000}"/>
    <cellStyle name="Note 6 2" xfId="3680" xr:uid="{00000000-0005-0000-0000-0000A5120000}"/>
    <cellStyle name="Note 6 2 2" xfId="3951" xr:uid="{00000000-0005-0000-0000-0000A6120000}"/>
    <cellStyle name="Note 6 2 2 2" xfId="6211" xr:uid="{162BA2E3-96C7-4047-AE8A-34F8EAA6FDAD}"/>
    <cellStyle name="Note 6 2 3" xfId="6113" xr:uid="{24034570-6EEA-4B39-9C68-ED1F33987DDA}"/>
    <cellStyle name="Note 6 3" xfId="5932" xr:uid="{8EF19E6C-E55A-454C-838B-0A4A21B75488}"/>
    <cellStyle name="Note 7" xfId="3368" xr:uid="{00000000-0005-0000-0000-0000A7120000}"/>
    <cellStyle name="Note 7 2" xfId="3922" xr:uid="{00000000-0005-0000-0000-0000A8120000}"/>
    <cellStyle name="Note 7 2 2" xfId="6184" xr:uid="{FFFC0829-56EF-4873-B89B-CE3748CC4F95}"/>
    <cellStyle name="Note 7 3" xfId="6071" xr:uid="{16E63D19-5A32-4328-9E53-77A2EB109C53}"/>
    <cellStyle name="note entry" xfId="5679" xr:uid="{00000000-0005-0000-0000-0000A9120000}"/>
    <cellStyle name="Notes" xfId="5680" xr:uid="{00000000-0005-0000-0000-0000AA120000}"/>
    <cellStyle name="nPlode" xfId="2603" xr:uid="{00000000-0005-0000-0000-0000AB120000}"/>
    <cellStyle name="nPlode1" xfId="2604" xr:uid="{00000000-0005-0000-0000-0000AC120000}"/>
    <cellStyle name="nPlode1 2" xfId="3286" xr:uid="{00000000-0005-0000-0000-0000AD120000}"/>
    <cellStyle name="nPlode1 2 2" xfId="6036" xr:uid="{484A362F-400F-4D16-90D0-69DC13A6DCE1}"/>
    <cellStyle name="nPlode1 3" xfId="3144" xr:uid="{00000000-0005-0000-0000-0000AE120000}"/>
    <cellStyle name="nPlode1 3 2" xfId="6008" xr:uid="{ED01FE83-70EB-41DF-909A-788D526F78E2}"/>
    <cellStyle name="nPlode1 4" xfId="5939" xr:uid="{0E042DE4-C38A-42C3-A8C1-F3918090C078}"/>
    <cellStyle name="nPlode2" xfId="2605" xr:uid="{00000000-0005-0000-0000-0000AF120000}"/>
    <cellStyle name="nPlode2 2" xfId="3287" xr:uid="{00000000-0005-0000-0000-0000B0120000}"/>
    <cellStyle name="nPlode2 2 2" xfId="6037" xr:uid="{10C921F8-C8AF-4E13-9874-4E2EFE3B8F6D}"/>
    <cellStyle name="nPlode2 3" xfId="3143" xr:uid="{00000000-0005-0000-0000-0000B1120000}"/>
    <cellStyle name="nPlode2 3 2" xfId="6007" xr:uid="{2B7D471E-CFE1-4210-8EC4-C3265CF76B45}"/>
    <cellStyle name="nPlode2 4" xfId="5940" xr:uid="{9158BC2E-8E87-4D4E-8303-9EC2DF16E27E}"/>
    <cellStyle name="nPlode3" xfId="2606" xr:uid="{00000000-0005-0000-0000-0000B2120000}"/>
    <cellStyle name="nPlosion" xfId="2607" xr:uid="{00000000-0005-0000-0000-0000B3120000}"/>
    <cellStyle name="NPRO" xfId="2608" xr:uid="{00000000-0005-0000-0000-0000B4120000}"/>
    <cellStyle name="NPRO 2" xfId="3288" xr:uid="{00000000-0005-0000-0000-0000B5120000}"/>
    <cellStyle name="NPRO 2 2" xfId="6038" xr:uid="{06BC34DE-AD0C-47C0-A513-B864839F6B9D}"/>
    <cellStyle name="NPRO 3" xfId="3142" xr:uid="{00000000-0005-0000-0000-0000B6120000}"/>
    <cellStyle name="NPRO 3 2" xfId="6006" xr:uid="{D65B7812-04DE-49E7-9CE0-AEB3A46DA660}"/>
    <cellStyle name="NPRO 4" xfId="5941" xr:uid="{787320E8-97CC-4F56-B67F-5A71CB2EB67C}"/>
    <cellStyle name="Num0Un" xfId="2609" xr:uid="{00000000-0005-0000-0000-0000B7120000}"/>
    <cellStyle name="Num1" xfId="2610" xr:uid="{00000000-0005-0000-0000-0000B8120000}"/>
    <cellStyle name="Num1Blue" xfId="2611" xr:uid="{00000000-0005-0000-0000-0000B9120000}"/>
    <cellStyle name="Num2" xfId="2612" xr:uid="{00000000-0005-0000-0000-0000BA120000}"/>
    <cellStyle name="Num2Un" xfId="2613" xr:uid="{00000000-0005-0000-0000-0000BB120000}"/>
    <cellStyle name="Number" xfId="2614" xr:uid="{00000000-0005-0000-0000-0000BC120000}"/>
    <cellStyle name="Number 2" xfId="2615" xr:uid="{00000000-0005-0000-0000-0000BD120000}"/>
    <cellStyle name="Number 2 2" xfId="2616" xr:uid="{00000000-0005-0000-0000-0000BE120000}"/>
    <cellStyle name="Number 2 2 2" xfId="2617" xr:uid="{00000000-0005-0000-0000-0000BF120000}"/>
    <cellStyle name="Number 2 3" xfId="2618" xr:uid="{00000000-0005-0000-0000-0000C0120000}"/>
    <cellStyle name="Number 2_120403-Utica-3rd Flr Gym" xfId="2619" xr:uid="{00000000-0005-0000-0000-0000C1120000}"/>
    <cellStyle name="Number 3" xfId="2620" xr:uid="{00000000-0005-0000-0000-0000C2120000}"/>
    <cellStyle name="Number_120403-Utica-3rd Flr Gym" xfId="2621" xr:uid="{00000000-0005-0000-0000-0000C3120000}"/>
    <cellStyle name="O_Table_Body" xfId="2622" xr:uid="{00000000-0005-0000-0000-0000C4120000}"/>
    <cellStyle name="O_Table_Body 2" xfId="3687" xr:uid="{00000000-0005-0000-0000-0000C5120000}"/>
    <cellStyle name="O_Table_Body 2 2" xfId="3958" xr:uid="{00000000-0005-0000-0000-0000C6120000}"/>
    <cellStyle name="O_Table_Body 2 2 2" xfId="6218" xr:uid="{F78DC7BB-C4AD-443F-8827-3B3FD0556C70}"/>
    <cellStyle name="O_Table_Body 2 3" xfId="6120" xr:uid="{DA9269CD-FE2D-4089-93C0-E1764FAA7D73}"/>
    <cellStyle name="O_Table_Body 3" xfId="5942" xr:uid="{F7B5400C-AB13-4533-8586-A040E58E0EA1}"/>
    <cellStyle name="O_Table_Header_Left" xfId="2623" xr:uid="{00000000-0005-0000-0000-0000C7120000}"/>
    <cellStyle name="O_Table_Header_Left 2" xfId="3688" xr:uid="{00000000-0005-0000-0000-0000C8120000}"/>
    <cellStyle name="O_Table_Header_Left 2 2" xfId="3959" xr:uid="{00000000-0005-0000-0000-0000C9120000}"/>
    <cellStyle name="O_Table_Header_Left 2 2 2" xfId="6219" xr:uid="{B4F22BA4-0A14-4152-9260-A14E89C50E30}"/>
    <cellStyle name="O_Table_Header_Left 2 3" xfId="6121" xr:uid="{554DC773-20A4-4998-B510-7E63E228BFAA}"/>
    <cellStyle name="O_Table_Header_Left 3" xfId="5943" xr:uid="{9188BAAF-BA35-4DB8-9448-8A45BD1B3C1D}"/>
    <cellStyle name="O_TableTop_CenterBold" xfId="2624" xr:uid="{00000000-0005-0000-0000-0000CA120000}"/>
    <cellStyle name="O_TableTop_CenterBold 2" xfId="3689" xr:uid="{00000000-0005-0000-0000-0000CB120000}"/>
    <cellStyle name="O_TableTop_CenterBold 2 2" xfId="3960" xr:uid="{00000000-0005-0000-0000-0000CC120000}"/>
    <cellStyle name="O_TableTop_CenterBold 2 2 2" xfId="6220" xr:uid="{2168EA57-58D7-44D0-AC9E-8E672441F723}"/>
    <cellStyle name="O_TableTop_CenterBold 2 3" xfId="6122" xr:uid="{398E71EF-BE01-4508-AAA0-91E860E10207}"/>
    <cellStyle name="O_TableTop_CenterBold 3" xfId="5944" xr:uid="{7BD06E47-5866-4777-B893-D900F3164B75}"/>
    <cellStyle name="OddBodyShade" xfId="2625" xr:uid="{00000000-0005-0000-0000-0000CD120000}"/>
    <cellStyle name="Œ…‹æØ‚è [0.00]_!!!GO" xfId="2626" xr:uid="{00000000-0005-0000-0000-0000CE120000}"/>
    <cellStyle name="Œ…‹æØ‚è_!!!GO" xfId="2627" xr:uid="{00000000-0005-0000-0000-0000CF120000}"/>
    <cellStyle name="OFFICE" xfId="2628" xr:uid="{00000000-0005-0000-0000-0000D0120000}"/>
    <cellStyle name="OFFICE 2" xfId="2629" xr:uid="{00000000-0005-0000-0000-0000D1120000}"/>
    <cellStyle name="One Pager Input" xfId="2630" xr:uid="{00000000-0005-0000-0000-0000D2120000}"/>
    <cellStyle name="One Pager Input 2" xfId="3289" xr:uid="{00000000-0005-0000-0000-0000D3120000}"/>
    <cellStyle name="One Pager Input 2 2" xfId="6039" xr:uid="{927D3E92-8E19-4210-BB61-BB7063598369}"/>
    <cellStyle name="One Pager Input 3" xfId="3141" xr:uid="{00000000-0005-0000-0000-0000D4120000}"/>
    <cellStyle name="One Pager Input 3 2" xfId="6005" xr:uid="{E3667B36-AB5C-416E-A746-4C2FB1F2C919}"/>
    <cellStyle name="One Pager Input 4" xfId="5945" xr:uid="{CB21BD99-209A-4007-B406-2731CD849630}"/>
    <cellStyle name="OutlineSpec" xfId="2631" xr:uid="{00000000-0005-0000-0000-0000D5120000}"/>
    <cellStyle name="Output 2" xfId="2633" xr:uid="{00000000-0005-0000-0000-0000D6120000}"/>
    <cellStyle name="Output 2 2" xfId="3521" xr:uid="{00000000-0005-0000-0000-0000D7120000}"/>
    <cellStyle name="Output 2 2 2" xfId="5088" xr:uid="{00000000-0005-0000-0000-0000D8120000}"/>
    <cellStyle name="Output 2 2 2 2" xfId="5140" xr:uid="{00000000-0005-0000-0000-0000D9120000}"/>
    <cellStyle name="Output 2 2 2 2 2" xfId="5224" xr:uid="{00000000-0005-0000-0000-0000DA120000}"/>
    <cellStyle name="Output 2 2 2 2 2 2" xfId="6433" xr:uid="{80AD0098-3025-451A-B730-D251F55E4F5A}"/>
    <cellStyle name="Output 2 2 2 2 3" xfId="6359" xr:uid="{1494304B-5D05-4E64-AC23-C6E64D52DAF8}"/>
    <cellStyle name="Output 2 2 2 3" xfId="5181" xr:uid="{00000000-0005-0000-0000-0000DB120000}"/>
    <cellStyle name="Output 2 2 2 3 2" xfId="6392" xr:uid="{7CFC662E-56A7-4A21-8173-2BF80CDDEC84}"/>
    <cellStyle name="Output 2 2 2 4" xfId="6319" xr:uid="{768826F0-A315-4478-932E-AD3A6DB1FC2A}"/>
    <cellStyle name="Output 2 2 3" xfId="5065" xr:uid="{00000000-0005-0000-0000-0000DC120000}"/>
    <cellStyle name="Output 2 2 3 2" xfId="5125" xr:uid="{00000000-0005-0000-0000-0000DD120000}"/>
    <cellStyle name="Output 2 2 3 2 2" xfId="5209" xr:uid="{00000000-0005-0000-0000-0000DE120000}"/>
    <cellStyle name="Output 2 2 3 2 2 2" xfId="6418" xr:uid="{3742A6CF-5E93-4F62-A57E-CD2AFAFBC82F}"/>
    <cellStyle name="Output 2 2 3 2 3" xfId="6344" xr:uid="{B694E96C-1CD6-46D9-BFAF-9D95AF83B5BC}"/>
    <cellStyle name="Output 2 2 3 3" xfId="5166" xr:uid="{00000000-0005-0000-0000-0000DF120000}"/>
    <cellStyle name="Output 2 2 3 3 2" xfId="6377" xr:uid="{F7ACE95E-20ED-4879-9BD4-1739DDC28537}"/>
    <cellStyle name="Output 2 2 3 4" xfId="6310" xr:uid="{661970E1-CB6B-459A-80E1-5E2BA8927744}"/>
    <cellStyle name="Output 2 2 4" xfId="5115" xr:uid="{00000000-0005-0000-0000-0000E0120000}"/>
    <cellStyle name="Output 2 2 4 2" xfId="5199" xr:uid="{00000000-0005-0000-0000-0000E1120000}"/>
    <cellStyle name="Output 2 2 4 2 2" xfId="6408" xr:uid="{935261EA-472A-4A70-BE65-EF277FC8E978}"/>
    <cellStyle name="Output 2 2 4 3" xfId="6334" xr:uid="{0E7D15B2-E239-47EA-99B2-ABE36F3DE572}"/>
    <cellStyle name="Output 2 2 5" xfId="5156" xr:uid="{00000000-0005-0000-0000-0000E2120000}"/>
    <cellStyle name="Output 2 2 5 2" xfId="6367" xr:uid="{63611DE2-462A-4CFD-BFFE-1E01389449D2}"/>
    <cellStyle name="Output 2 2 6" xfId="6078" xr:uid="{C46470BF-4D86-4545-8F00-EC91945EE3D4}"/>
    <cellStyle name="Output 2 3" xfId="3520" xr:uid="{00000000-0005-0000-0000-0000E3120000}"/>
    <cellStyle name="Output 2 3 2" xfId="5139" xr:uid="{00000000-0005-0000-0000-0000E4120000}"/>
    <cellStyle name="Output 2 3 2 2" xfId="5223" xr:uid="{00000000-0005-0000-0000-0000E5120000}"/>
    <cellStyle name="Output 2 3 2 2 2" xfId="6432" xr:uid="{067CE807-8043-4C87-B15E-54CA0E98D007}"/>
    <cellStyle name="Output 2 3 2 3" xfId="6358" xr:uid="{D06FD41F-8488-4BBC-B47A-EFBF59C325AE}"/>
    <cellStyle name="Output 2 3 3" xfId="5180" xr:uid="{00000000-0005-0000-0000-0000E6120000}"/>
    <cellStyle name="Output 2 3 3 2" xfId="6391" xr:uid="{790E27E0-6082-4BFC-B843-4B12426B4A49}"/>
    <cellStyle name="Output 2 3 4" xfId="6077" xr:uid="{3426F959-43C3-42CD-AA4D-5E0B0722434B}"/>
    <cellStyle name="Output 2 4" xfId="5090" xr:uid="{00000000-0005-0000-0000-0000E7120000}"/>
    <cellStyle name="Output 2 4 2" xfId="5143" xr:uid="{00000000-0005-0000-0000-0000E8120000}"/>
    <cellStyle name="Output 2 4 2 2" xfId="5227" xr:uid="{00000000-0005-0000-0000-0000E9120000}"/>
    <cellStyle name="Output 2 4 2 2 2" xfId="6436" xr:uid="{419FB297-5EBE-4E7F-AC23-614D53D7BF2A}"/>
    <cellStyle name="Output 2 4 2 3" xfId="6362" xr:uid="{F4E1A0F7-9282-4AB2-8B91-AFE1A5549FB7}"/>
    <cellStyle name="Output 2 4 3" xfId="5184" xr:uid="{00000000-0005-0000-0000-0000EA120000}"/>
    <cellStyle name="Output 2 4 3 2" xfId="6395" xr:uid="{1CF88089-FD2C-4314-996E-C1BCC95D8192}"/>
    <cellStyle name="Output 2 4 4" xfId="6321" xr:uid="{0FF5AA8D-4E7E-46C3-970C-06163F817FD5}"/>
    <cellStyle name="Output 2 5" xfId="5114" xr:uid="{00000000-0005-0000-0000-0000EB120000}"/>
    <cellStyle name="Output 2 5 2" xfId="5198" xr:uid="{00000000-0005-0000-0000-0000EC120000}"/>
    <cellStyle name="Output 2 5 2 2" xfId="6407" xr:uid="{FCFC5908-AA10-4A9A-B97C-5E52FB5592C7}"/>
    <cellStyle name="Output 2 5 3" xfId="6333" xr:uid="{51EE71A6-FF53-4BB5-A28B-F919600C135B}"/>
    <cellStyle name="Output 2 6" xfId="5155" xr:uid="{00000000-0005-0000-0000-0000ED120000}"/>
    <cellStyle name="Output 2 6 2" xfId="6366" xr:uid="{55886654-3D2A-415E-9B02-CE45C3B50F5E}"/>
    <cellStyle name="Output 2 7" xfId="5947" xr:uid="{3A4A1501-E83D-4BD7-8A4B-E7EACCA02AD2}"/>
    <cellStyle name="Output 3" xfId="2634" xr:uid="{00000000-0005-0000-0000-0000EE120000}"/>
    <cellStyle name="Output 3 2" xfId="5132" xr:uid="{00000000-0005-0000-0000-0000EF120000}"/>
    <cellStyle name="Output 3 2 2" xfId="5216" xr:uid="{00000000-0005-0000-0000-0000F0120000}"/>
    <cellStyle name="Output 3 2 2 2" xfId="6425" xr:uid="{6786E329-DF31-47CD-9CA4-FAFD6A57E5A2}"/>
    <cellStyle name="Output 3 2 3" xfId="6351" xr:uid="{E2DDA606-8A54-4A90-A91F-8462DD33E0B2}"/>
    <cellStyle name="Output 3 3" xfId="5173" xr:uid="{00000000-0005-0000-0000-0000F1120000}"/>
    <cellStyle name="Output 3 3 2" xfId="6384" xr:uid="{A265E628-7B41-47C3-8622-F585BE8ED459}"/>
    <cellStyle name="Output 3 4" xfId="5948" xr:uid="{6D1F6FB9-E79E-4546-8BD2-0F06AC3815ED}"/>
    <cellStyle name="Output 4" xfId="2635" xr:uid="{00000000-0005-0000-0000-0000F2120000}"/>
    <cellStyle name="Output 4 2" xfId="5129" xr:uid="{00000000-0005-0000-0000-0000F3120000}"/>
    <cellStyle name="Output 4 2 2" xfId="5213" xr:uid="{00000000-0005-0000-0000-0000F4120000}"/>
    <cellStyle name="Output 4 2 2 2" xfId="6422" xr:uid="{0155099E-7DA6-4B18-8CAB-F7B56CF03295}"/>
    <cellStyle name="Output 4 2 3" xfId="6348" xr:uid="{4A1C9869-7E54-4774-BE62-4DFE9AA403AC}"/>
    <cellStyle name="Output 4 3" xfId="5072" xr:uid="{00000000-0005-0000-0000-0000F5120000}"/>
    <cellStyle name="Output 4 3 2" xfId="6311" xr:uid="{23C184A6-BAFF-4500-83B4-184D7B606E44}"/>
    <cellStyle name="Output 4 4" xfId="5170" xr:uid="{00000000-0005-0000-0000-0000F6120000}"/>
    <cellStyle name="Output 4 4 2" xfId="6381" xr:uid="{40B7C17E-8718-4B91-BE95-5AA29979CD75}"/>
    <cellStyle name="Output 4 5" xfId="5949" xr:uid="{EA4CB0E7-5379-4CE0-89A4-8E276D5FC566}"/>
    <cellStyle name="Output 5" xfId="2636" xr:uid="{00000000-0005-0000-0000-0000F7120000}"/>
    <cellStyle name="Output 5 2" xfId="5107" xr:uid="{00000000-0005-0000-0000-0000F8120000}"/>
    <cellStyle name="Output 5 2 2" xfId="5191" xr:uid="{00000000-0005-0000-0000-0000F9120000}"/>
    <cellStyle name="Output 5 2 2 2" xfId="6400" xr:uid="{31D6AA3D-0809-4D20-A749-E86A6596C80D}"/>
    <cellStyle name="Output 5 2 3" xfId="6326" xr:uid="{1E02A914-112A-4F2D-A917-B39C2BCD0C20}"/>
    <cellStyle name="Output 5 3" xfId="5037" xr:uid="{00000000-0005-0000-0000-0000FA120000}"/>
    <cellStyle name="Output 5 3 2" xfId="6300" xr:uid="{9B6588EC-B2FB-4A9F-8143-01FDEA955966}"/>
    <cellStyle name="Output 5 4" xfId="5046" xr:uid="{00000000-0005-0000-0000-0000FB120000}"/>
    <cellStyle name="Output 5 4 2" xfId="6302" xr:uid="{A2BE4B6C-E8D7-476F-9D8F-861E1AFC5305}"/>
    <cellStyle name="Output 5 5" xfId="5950" xr:uid="{0DCA733E-34F7-445A-80F2-A402FDC61781}"/>
    <cellStyle name="Output 6" xfId="2632" xr:uid="{00000000-0005-0000-0000-0000FC120000}"/>
    <cellStyle name="Output 6 2" xfId="5946" xr:uid="{DFFB6A6B-E672-4285-A2D1-FE3B4F74BC1D}"/>
    <cellStyle name="Output Amounts" xfId="2637" xr:uid="{00000000-0005-0000-0000-0000FD120000}"/>
    <cellStyle name="Output Column Headings" xfId="2638" xr:uid="{00000000-0005-0000-0000-0000FE120000}"/>
    <cellStyle name="Output Line Items" xfId="2639" xr:uid="{00000000-0005-0000-0000-0000FF120000}"/>
    <cellStyle name="Output Report Heading" xfId="2640" xr:uid="{00000000-0005-0000-0000-000000130000}"/>
    <cellStyle name="Output Report Title" xfId="2641" xr:uid="{00000000-0005-0000-0000-000001130000}"/>
    <cellStyle name="OVERWRITE" xfId="2642" xr:uid="{00000000-0005-0000-0000-000002130000}"/>
    <cellStyle name="Page" xfId="84" xr:uid="{00000000-0005-0000-0000-000003130000}"/>
    <cellStyle name="Page Heading" xfId="2643" xr:uid="{00000000-0005-0000-0000-000004130000}"/>
    <cellStyle name="Page Heading Large" xfId="2644" xr:uid="{00000000-0005-0000-0000-000005130000}"/>
    <cellStyle name="Page Heading Small" xfId="2645" xr:uid="{00000000-0005-0000-0000-000006130000}"/>
    <cellStyle name="Page Number" xfId="2646" xr:uid="{00000000-0005-0000-0000-000007130000}"/>
    <cellStyle name="Page Title (Blue/Gray)" xfId="2647" xr:uid="{00000000-0005-0000-0000-000008130000}"/>
    <cellStyle name="Page Title (Blue/Gray) 2" xfId="3290" xr:uid="{00000000-0005-0000-0000-000009130000}"/>
    <cellStyle name="Pah" xfId="2648" xr:uid="{00000000-0005-0000-0000-00000A130000}"/>
    <cellStyle name="Pah 2" xfId="2649" xr:uid="{00000000-0005-0000-0000-00000B130000}"/>
    <cellStyle name="parameter entry" xfId="5682" xr:uid="{00000000-0005-0000-0000-00000C130000}"/>
    <cellStyle name="Parcel" xfId="85" xr:uid="{00000000-0005-0000-0000-00000D130000}"/>
    <cellStyle name="Parcel 2" xfId="3072" xr:uid="{00000000-0005-0000-0000-00000E130000}"/>
    <cellStyle name="Parcel 2 2" xfId="3740" xr:uid="{00000000-0005-0000-0000-00000F130000}"/>
    <cellStyle name="Parcel 2 2 2" xfId="6144" xr:uid="{9EF0E65E-C4A0-4F97-BBDD-C48731F4E412}"/>
    <cellStyle name="Parcel 2 3" xfId="3811" xr:uid="{00000000-0005-0000-0000-000010130000}"/>
    <cellStyle name="Parcel 2 3 2" xfId="3986" xr:uid="{00000000-0005-0000-0000-000011130000}"/>
    <cellStyle name="Parcel 2 3 2 2" xfId="6246" xr:uid="{19AC454A-D101-4542-8B82-5BD327B9DD7B}"/>
    <cellStyle name="Parcel 2 3 3" xfId="6168" xr:uid="{05743227-3A7C-47A9-8068-FA937CAD604E}"/>
    <cellStyle name="Parcel 2 4" xfId="3897" xr:uid="{00000000-0005-0000-0000-000012130000}"/>
    <cellStyle name="Parcel 2 4 2" xfId="3992" xr:uid="{00000000-0005-0000-0000-000013130000}"/>
    <cellStyle name="Parcel 2 4 2 2" xfId="6252" xr:uid="{37226B2B-A727-416B-843C-0C3DF867A704}"/>
    <cellStyle name="Parcel 2 4 3" xfId="6179" xr:uid="{809111EA-6283-43F4-B4EC-216704A23C30}"/>
    <cellStyle name="Parcel 2 5" xfId="3330" xr:uid="{00000000-0005-0000-0000-000014130000}"/>
    <cellStyle name="Parcel 2 5 2" xfId="6065" xr:uid="{F7BCC7DB-D40B-4993-9437-7549EA5889B3}"/>
    <cellStyle name="Parcel 2 6" xfId="5981" xr:uid="{BE117434-FDEC-447A-BEAB-67FD6278BB41}"/>
    <cellStyle name="Parcel 3" xfId="3066" xr:uid="{00000000-0005-0000-0000-000015130000}"/>
    <cellStyle name="Parcel 3 2" xfId="3810" xr:uid="{00000000-0005-0000-0000-000016130000}"/>
    <cellStyle name="Parcel 3 2 2" xfId="3985" xr:uid="{00000000-0005-0000-0000-000017130000}"/>
    <cellStyle name="Parcel 3 2 2 2" xfId="6245" xr:uid="{61B7DC31-B088-41A4-AF7F-3941BF708855}"/>
    <cellStyle name="Parcel 3 2 3" xfId="6167" xr:uid="{4B747780-7861-474A-B27C-BB2E0AA1F3DF}"/>
    <cellStyle name="Parcel 3 3" xfId="3895" xr:uid="{00000000-0005-0000-0000-000018130000}"/>
    <cellStyle name="Parcel 3 3 2" xfId="3991" xr:uid="{00000000-0005-0000-0000-000019130000}"/>
    <cellStyle name="Parcel 3 3 2 2" xfId="6251" xr:uid="{CDAE2999-1AC1-46F5-84A7-26E374034160}"/>
    <cellStyle name="Parcel 3 3 3" xfId="6177" xr:uid="{BD1679F0-850E-44F5-8814-7CAB0B66833B}"/>
    <cellStyle name="Parcel 3 4" xfId="3327" xr:uid="{00000000-0005-0000-0000-00001A130000}"/>
    <cellStyle name="Parcel 3 4 2" xfId="6062" xr:uid="{2AFA3540-3565-4591-94E5-E340E5A62437}"/>
    <cellStyle name="Parcel 3 5" xfId="5978" xr:uid="{2DA3C93E-3E85-45BB-9D29-FD74A2969D0C}"/>
    <cellStyle name="Parcel 4" xfId="3782" xr:uid="{00000000-0005-0000-0000-00001B130000}"/>
    <cellStyle name="Parcel 4 2" xfId="3980" xr:uid="{00000000-0005-0000-0000-00001C130000}"/>
    <cellStyle name="Parcel 4 2 2" xfId="6240" xr:uid="{261CCC7E-7746-472A-8392-EAC223AF1725}"/>
    <cellStyle name="Parcel 4 3" xfId="6151" xr:uid="{91C4DD3E-B5B4-4494-86B3-05669CBB1B61}"/>
    <cellStyle name="Parcel 5" xfId="218" xr:uid="{00000000-0005-0000-0000-00001D130000}"/>
    <cellStyle name="Parcel 5 2" xfId="5859" xr:uid="{8B2AD72E-B564-4DD5-820F-F25986B471DF}"/>
    <cellStyle name="Parcel 6" xfId="5681" xr:uid="{00000000-0005-0000-0000-00001E130000}"/>
    <cellStyle name="Parent" xfId="2650" xr:uid="{00000000-0005-0000-0000-00001F130000}"/>
    <cellStyle name="Parent 2" xfId="3291" xr:uid="{00000000-0005-0000-0000-000020130000}"/>
    <cellStyle name="Parent 2 2" xfId="6040" xr:uid="{1EB5799D-5E65-43B2-A571-F055F28C7ABF}"/>
    <cellStyle name="Parent 3" xfId="3140" xr:uid="{00000000-0005-0000-0000-000021130000}"/>
    <cellStyle name="Parent 3 2" xfId="6004" xr:uid="{AEAB198C-5CD2-496A-BE31-5C6D68E8FF6E}"/>
    <cellStyle name="Parent 4" xfId="5951" xr:uid="{91B91C80-190D-48CA-B974-585B685A5D10}"/>
    <cellStyle name="Pattern" xfId="2651" xr:uid="{00000000-0005-0000-0000-000022130000}"/>
    <cellStyle name="patterns" xfId="2652" xr:uid="{00000000-0005-0000-0000-000023130000}"/>
    <cellStyle name="PB Table Heading" xfId="2653" xr:uid="{00000000-0005-0000-0000-000024130000}"/>
    <cellStyle name="PB Table Heading 2" xfId="3292" xr:uid="{00000000-0005-0000-0000-000025130000}"/>
    <cellStyle name="PB Table Highlight1" xfId="2654" xr:uid="{00000000-0005-0000-0000-000026130000}"/>
    <cellStyle name="PB Table Highlight2" xfId="2655" xr:uid="{00000000-0005-0000-0000-000027130000}"/>
    <cellStyle name="PB Table Highlight2 2" xfId="3881" xr:uid="{00000000-0005-0000-0000-000028130000}"/>
    <cellStyle name="PB Table Highlight3" xfId="2656" xr:uid="{00000000-0005-0000-0000-000029130000}"/>
    <cellStyle name="PB Table Highlight3 2" xfId="3882" xr:uid="{00000000-0005-0000-0000-00002A130000}"/>
    <cellStyle name="PB Table Standard Row" xfId="2657" xr:uid="{00000000-0005-0000-0000-00002B130000}"/>
    <cellStyle name="PB Table Standard Row 2" xfId="5952" xr:uid="{EC0230BE-D84F-4CCB-834D-41BBD590525B}"/>
    <cellStyle name="PB Table Subtotal Row" xfId="2658" xr:uid="{00000000-0005-0000-0000-00002C130000}"/>
    <cellStyle name="PB Table Subtotal Row 2" xfId="3293" xr:uid="{00000000-0005-0000-0000-00002D130000}"/>
    <cellStyle name="PB Table Total Row" xfId="2659" xr:uid="{00000000-0005-0000-0000-00002E130000}"/>
    <cellStyle name="pb_page_heading_LS" xfId="5850" xr:uid="{00000000-0005-0000-0000-00002F130000}"/>
    <cellStyle name="Per Acre" xfId="2660" xr:uid="{00000000-0005-0000-0000-000030130000}"/>
    <cellStyle name="per.style" xfId="2661" xr:uid="{00000000-0005-0000-0000-000031130000}"/>
    <cellStyle name="Perc1" xfId="2662" xr:uid="{00000000-0005-0000-0000-000032130000}"/>
    <cellStyle name="Percen - Style1" xfId="2663" xr:uid="{00000000-0005-0000-0000-000033130000}"/>
    <cellStyle name="Percen - Style2" xfId="5683" xr:uid="{00000000-0005-0000-0000-000034130000}"/>
    <cellStyle name="Percen - Style3" xfId="2664" xr:uid="{00000000-0005-0000-0000-000035130000}"/>
    <cellStyle name="Percen - Style3 2" xfId="5529" xr:uid="{00000000-0005-0000-0000-000036130000}"/>
    <cellStyle name="Percent" xfId="3" builtinId="5"/>
    <cellStyle name="Percent (2)" xfId="2665" xr:uid="{00000000-0005-0000-0000-000038130000}"/>
    <cellStyle name="Percent [0%]" xfId="2666" xr:uid="{00000000-0005-0000-0000-000039130000}"/>
    <cellStyle name="Percent [0.00%]" xfId="2667" xr:uid="{00000000-0005-0000-0000-00003A130000}"/>
    <cellStyle name="Percent [0]" xfId="2668" xr:uid="{00000000-0005-0000-0000-00003B130000}"/>
    <cellStyle name="Percent [0] 2" xfId="2669" xr:uid="{00000000-0005-0000-0000-00003C130000}"/>
    <cellStyle name="Percent [00]" xfId="2670" xr:uid="{00000000-0005-0000-0000-00003D130000}"/>
    <cellStyle name="Percent [00] 2" xfId="2671" xr:uid="{00000000-0005-0000-0000-00003E130000}"/>
    <cellStyle name="Percent [1]" xfId="5684" xr:uid="{00000000-0005-0000-0000-00003F130000}"/>
    <cellStyle name="Percent [2]" xfId="86" xr:uid="{00000000-0005-0000-0000-000040130000}"/>
    <cellStyle name="Percent [2] 2" xfId="2672" xr:uid="{00000000-0005-0000-0000-000041130000}"/>
    <cellStyle name="Percent [2] 2 2" xfId="2673" xr:uid="{00000000-0005-0000-0000-000042130000}"/>
    <cellStyle name="Percent [2] 2 2 2" xfId="2674" xr:uid="{00000000-0005-0000-0000-000043130000}"/>
    <cellStyle name="Percent [2] 2 3" xfId="2675" xr:uid="{00000000-0005-0000-0000-000044130000}"/>
    <cellStyle name="Percent [2] 3" xfId="2676" xr:uid="{00000000-0005-0000-0000-000045130000}"/>
    <cellStyle name="Percent [2] 4" xfId="4666" xr:uid="{00000000-0005-0000-0000-000046130000}"/>
    <cellStyle name="Percent [2] 5" xfId="4667" xr:uid="{00000000-0005-0000-0000-000047130000}"/>
    <cellStyle name="Percent [2] 6" xfId="4668" xr:uid="{00000000-0005-0000-0000-000048130000}"/>
    <cellStyle name="Percent [2] 7" xfId="4669" xr:uid="{00000000-0005-0000-0000-000049130000}"/>
    <cellStyle name="Percent [2] 8" xfId="4670" xr:uid="{00000000-0005-0000-0000-00004A130000}"/>
    <cellStyle name="Percent [2] 9" xfId="4671" xr:uid="{00000000-0005-0000-0000-00004B130000}"/>
    <cellStyle name="percent 1 decimal" xfId="2677" xr:uid="{00000000-0005-0000-0000-00004C130000}"/>
    <cellStyle name="Percent 10" xfId="155" xr:uid="{00000000-0005-0000-0000-00004D130000}"/>
    <cellStyle name="Percent 10 2" xfId="2679" xr:uid="{00000000-0005-0000-0000-00004E130000}"/>
    <cellStyle name="Percent 10 3" xfId="3090" xr:uid="{00000000-0005-0000-0000-00004F130000}"/>
    <cellStyle name="Percent 10 3 2" xfId="3749" xr:uid="{00000000-0005-0000-0000-000050130000}"/>
    <cellStyle name="Percent 10 3 3" xfId="3819" xr:uid="{00000000-0005-0000-0000-000051130000}"/>
    <cellStyle name="Percent 10 3 4" xfId="3906" xr:uid="{00000000-0005-0000-0000-000052130000}"/>
    <cellStyle name="Percent 10 3 5" xfId="3339" xr:uid="{00000000-0005-0000-0000-000053130000}"/>
    <cellStyle name="Percent 10 4" xfId="2678" xr:uid="{00000000-0005-0000-0000-000054130000}"/>
    <cellStyle name="Percent 11" xfId="164" xr:uid="{00000000-0005-0000-0000-000055130000}"/>
    <cellStyle name="Percent 12" xfId="2973" xr:uid="{00000000-0005-0000-0000-000056130000}"/>
    <cellStyle name="Percent 12 2" xfId="4672" xr:uid="{00000000-0005-0000-0000-000057130000}"/>
    <cellStyle name="Percent 13" xfId="2959" xr:uid="{00000000-0005-0000-0000-000058130000}"/>
    <cellStyle name="Percent 13 2" xfId="4673" xr:uid="{00000000-0005-0000-0000-000059130000}"/>
    <cellStyle name="Percent 14" xfId="2972" xr:uid="{00000000-0005-0000-0000-00005A130000}"/>
    <cellStyle name="Percent 14 2" xfId="4674" xr:uid="{00000000-0005-0000-0000-00005B130000}"/>
    <cellStyle name="Percent 14 3" xfId="4675" xr:uid="{00000000-0005-0000-0000-00005C130000}"/>
    <cellStyle name="Percent 14 4" xfId="4676" xr:uid="{00000000-0005-0000-0000-00005D130000}"/>
    <cellStyle name="Percent 14 5" xfId="4677" xr:uid="{00000000-0005-0000-0000-00005E130000}"/>
    <cellStyle name="Percent 14 5 2" xfId="4678" xr:uid="{00000000-0005-0000-0000-00005F130000}"/>
    <cellStyle name="Percent 14 5 3" xfId="4679" xr:uid="{00000000-0005-0000-0000-000060130000}"/>
    <cellStyle name="Percent 15" xfId="2958" xr:uid="{00000000-0005-0000-0000-000061130000}"/>
    <cellStyle name="Percent 15 2" xfId="4680" xr:uid="{00000000-0005-0000-0000-000062130000}"/>
    <cellStyle name="Percent 15 3" xfId="4681" xr:uid="{00000000-0005-0000-0000-000063130000}"/>
    <cellStyle name="Percent 16" xfId="2985" xr:uid="{00000000-0005-0000-0000-000064130000}"/>
    <cellStyle name="Percent 16 2" xfId="4682" xr:uid="{00000000-0005-0000-0000-000065130000}"/>
    <cellStyle name="Percent 16 3" xfId="4683" xr:uid="{00000000-0005-0000-0000-000066130000}"/>
    <cellStyle name="Percent 16 3 2" xfId="4684" xr:uid="{00000000-0005-0000-0000-000067130000}"/>
    <cellStyle name="Percent 16 3 3" xfId="4685" xr:uid="{00000000-0005-0000-0000-000068130000}"/>
    <cellStyle name="Percent 16 4" xfId="4686" xr:uid="{00000000-0005-0000-0000-000069130000}"/>
    <cellStyle name="Percent 17" xfId="2989" xr:uid="{00000000-0005-0000-0000-00006A130000}"/>
    <cellStyle name="Percent 17 2" xfId="4687" xr:uid="{00000000-0005-0000-0000-00006B130000}"/>
    <cellStyle name="Percent 18" xfId="2990" xr:uid="{00000000-0005-0000-0000-00006C130000}"/>
    <cellStyle name="Percent 18 2" xfId="4688" xr:uid="{00000000-0005-0000-0000-00006D130000}"/>
    <cellStyle name="Percent 19" xfId="2996" xr:uid="{00000000-0005-0000-0000-00006E130000}"/>
    <cellStyle name="Percent 2" xfId="8" xr:uid="{00000000-0005-0000-0000-00006F130000}"/>
    <cellStyle name="Percent 2 10" xfId="2680" xr:uid="{00000000-0005-0000-0000-000070130000}"/>
    <cellStyle name="Percent 2 10 2" xfId="4853" xr:uid="{00000000-0005-0000-0000-000071130000}"/>
    <cellStyle name="Percent 2 10 3" xfId="5101" xr:uid="{00000000-0005-0000-0000-000072130000}"/>
    <cellStyle name="Percent 2 11" xfId="2681" xr:uid="{00000000-0005-0000-0000-000073130000}"/>
    <cellStyle name="Percent 2 12" xfId="2682" xr:uid="{00000000-0005-0000-0000-000074130000}"/>
    <cellStyle name="Percent 2 13" xfId="2683" xr:uid="{00000000-0005-0000-0000-000075130000}"/>
    <cellStyle name="Percent 2 14" xfId="2684" xr:uid="{00000000-0005-0000-0000-000076130000}"/>
    <cellStyle name="Percent 2 15" xfId="2685" xr:uid="{00000000-0005-0000-0000-000077130000}"/>
    <cellStyle name="Percent 2 16" xfId="2686" xr:uid="{00000000-0005-0000-0000-000078130000}"/>
    <cellStyle name="Percent 2 17" xfId="2687" xr:uid="{00000000-0005-0000-0000-000079130000}"/>
    <cellStyle name="Percent 2 18" xfId="2688" xr:uid="{00000000-0005-0000-0000-00007A130000}"/>
    <cellStyle name="Percent 2 19" xfId="2689" xr:uid="{00000000-0005-0000-0000-00007B130000}"/>
    <cellStyle name="Percent 2 2" xfId="87" xr:uid="{00000000-0005-0000-0000-00007C130000}"/>
    <cellStyle name="Percent 2 2 10" xfId="3578" xr:uid="{00000000-0005-0000-0000-00007D130000}"/>
    <cellStyle name="Percent 2 2 11" xfId="3522" xr:uid="{00000000-0005-0000-0000-00007E130000}"/>
    <cellStyle name="Percent 2 2 2" xfId="123" xr:uid="{00000000-0005-0000-0000-00007F130000}"/>
    <cellStyle name="Percent 2 2 2 2" xfId="2692" xr:uid="{00000000-0005-0000-0000-000080130000}"/>
    <cellStyle name="Percent 2 2 2 2 2" xfId="5686" xr:uid="{00000000-0005-0000-0000-000081130000}"/>
    <cellStyle name="Percent 2 2 2 3" xfId="3042" xr:uid="{00000000-0005-0000-0000-000082130000}"/>
    <cellStyle name="Percent 2 2 2 4" xfId="2691" xr:uid="{00000000-0005-0000-0000-000083130000}"/>
    <cellStyle name="Percent 2 2 2 5" xfId="5685" xr:uid="{00000000-0005-0000-0000-000084130000}"/>
    <cellStyle name="Percent 2 2 3" xfId="160" xr:uid="{00000000-0005-0000-0000-000085130000}"/>
    <cellStyle name="Percent 2 2 3 2" xfId="2694" xr:uid="{00000000-0005-0000-0000-000086130000}"/>
    <cellStyle name="Percent 2 2 3 3" xfId="3095" xr:uid="{00000000-0005-0000-0000-000087130000}"/>
    <cellStyle name="Percent 2 2 3 3 2" xfId="3754" xr:uid="{00000000-0005-0000-0000-000088130000}"/>
    <cellStyle name="Percent 2 2 3 3 3" xfId="3824" xr:uid="{00000000-0005-0000-0000-000089130000}"/>
    <cellStyle name="Percent 2 2 3 3 4" xfId="3911" xr:uid="{00000000-0005-0000-0000-00008A130000}"/>
    <cellStyle name="Percent 2 2 3 3 5" xfId="3344" xr:uid="{00000000-0005-0000-0000-00008B130000}"/>
    <cellStyle name="Percent 2 2 3 4" xfId="2693" xr:uid="{00000000-0005-0000-0000-00008C130000}"/>
    <cellStyle name="Percent 2 2 4" xfId="2695" xr:uid="{00000000-0005-0000-0000-00008D130000}"/>
    <cellStyle name="Percent 2 2 4 2" xfId="2696" xr:uid="{00000000-0005-0000-0000-00008E130000}"/>
    <cellStyle name="Percent 2 2 5" xfId="2697" xr:uid="{00000000-0005-0000-0000-00008F130000}"/>
    <cellStyle name="Percent 2 2 5 2" xfId="2698" xr:uid="{00000000-0005-0000-0000-000090130000}"/>
    <cellStyle name="Percent 2 2 6" xfId="2699" xr:uid="{00000000-0005-0000-0000-000091130000}"/>
    <cellStyle name="Percent 2 2 6 2" xfId="2700" xr:uid="{00000000-0005-0000-0000-000092130000}"/>
    <cellStyle name="Percent 2 2 7" xfId="2701" xr:uid="{00000000-0005-0000-0000-000093130000}"/>
    <cellStyle name="Percent 2 2 7 2" xfId="2702" xr:uid="{00000000-0005-0000-0000-000094130000}"/>
    <cellStyle name="Percent 2 2 8" xfId="2703" xr:uid="{00000000-0005-0000-0000-000095130000}"/>
    <cellStyle name="Percent 2 2 8 2" xfId="2704" xr:uid="{00000000-0005-0000-0000-000096130000}"/>
    <cellStyle name="Percent 2 2 9" xfId="2690" xr:uid="{00000000-0005-0000-0000-000097130000}"/>
    <cellStyle name="Percent 2 20" xfId="2705" xr:uid="{00000000-0005-0000-0000-000098130000}"/>
    <cellStyle name="Percent 2 21" xfId="2706" xr:uid="{00000000-0005-0000-0000-000099130000}"/>
    <cellStyle name="Percent 2 22" xfId="2707" xr:uid="{00000000-0005-0000-0000-00009A130000}"/>
    <cellStyle name="Percent 2 23" xfId="2708" xr:uid="{00000000-0005-0000-0000-00009B130000}"/>
    <cellStyle name="Percent 2 24" xfId="2709" xr:uid="{00000000-0005-0000-0000-00009C130000}"/>
    <cellStyle name="Percent 2 25" xfId="2710" xr:uid="{00000000-0005-0000-0000-00009D130000}"/>
    <cellStyle name="Percent 2 26" xfId="2711" xr:uid="{00000000-0005-0000-0000-00009E130000}"/>
    <cellStyle name="Percent 2 27" xfId="2712" xr:uid="{00000000-0005-0000-0000-00009F130000}"/>
    <cellStyle name="Percent 2 28" xfId="2713" xr:uid="{00000000-0005-0000-0000-0000A0130000}"/>
    <cellStyle name="Percent 2 29" xfId="2714" xr:uid="{00000000-0005-0000-0000-0000A1130000}"/>
    <cellStyle name="Percent 2 3" xfId="158" xr:uid="{00000000-0005-0000-0000-0000A2130000}"/>
    <cellStyle name="Percent 2 3 2" xfId="3093" xr:uid="{00000000-0005-0000-0000-0000A3130000}"/>
    <cellStyle name="Percent 2 3 2 2" xfId="3752" xr:uid="{00000000-0005-0000-0000-0000A4130000}"/>
    <cellStyle name="Percent 2 3 2 3" xfId="3822" xr:uid="{00000000-0005-0000-0000-0000A5130000}"/>
    <cellStyle name="Percent 2 3 2 4" xfId="3909" xr:uid="{00000000-0005-0000-0000-0000A6130000}"/>
    <cellStyle name="Percent 2 3 2 5" xfId="3342" xr:uid="{00000000-0005-0000-0000-0000A7130000}"/>
    <cellStyle name="Percent 2 3 3" xfId="3691" xr:uid="{00000000-0005-0000-0000-0000A8130000}"/>
    <cellStyle name="Percent 2 3 3 2" xfId="5687" xr:uid="{00000000-0005-0000-0000-0000A9130000}"/>
    <cellStyle name="Percent 2 3 4" xfId="3523" xr:uid="{00000000-0005-0000-0000-0000AA130000}"/>
    <cellStyle name="Percent 2 3 5" xfId="2715" xr:uid="{00000000-0005-0000-0000-0000AB130000}"/>
    <cellStyle name="Percent 2 30" xfId="2716" xr:uid="{00000000-0005-0000-0000-0000AC130000}"/>
    <cellStyle name="Percent 2 31" xfId="2717" xr:uid="{00000000-0005-0000-0000-0000AD130000}"/>
    <cellStyle name="Percent 2 31 2" xfId="2718" xr:uid="{00000000-0005-0000-0000-0000AE130000}"/>
    <cellStyle name="Percent 2 32" xfId="2719" xr:uid="{00000000-0005-0000-0000-0000AF130000}"/>
    <cellStyle name="Percent 2 32 2" xfId="2720" xr:uid="{00000000-0005-0000-0000-0000B0130000}"/>
    <cellStyle name="Percent 2 33" xfId="2721" xr:uid="{00000000-0005-0000-0000-0000B1130000}"/>
    <cellStyle name="Percent 2 33 2" xfId="2722" xr:uid="{00000000-0005-0000-0000-0000B2130000}"/>
    <cellStyle name="Percent 2 34" xfId="2723" xr:uid="{00000000-0005-0000-0000-0000B3130000}"/>
    <cellStyle name="Percent 2 34 2" xfId="2724" xr:uid="{00000000-0005-0000-0000-0000B4130000}"/>
    <cellStyle name="Percent 2 35" xfId="2725" xr:uid="{00000000-0005-0000-0000-0000B5130000}"/>
    <cellStyle name="Percent 2 35 2" xfId="2726" xr:uid="{00000000-0005-0000-0000-0000B6130000}"/>
    <cellStyle name="Percent 2 36" xfId="2727" xr:uid="{00000000-0005-0000-0000-0000B7130000}"/>
    <cellStyle name="Percent 2 36 2" xfId="2728" xr:uid="{00000000-0005-0000-0000-0000B8130000}"/>
    <cellStyle name="Percent 2 37" xfId="2729" xr:uid="{00000000-0005-0000-0000-0000B9130000}"/>
    <cellStyle name="Percent 2 37 2" xfId="2730" xr:uid="{00000000-0005-0000-0000-0000BA130000}"/>
    <cellStyle name="Percent 2 38" xfId="5026" xr:uid="{00000000-0005-0000-0000-0000BB130000}"/>
    <cellStyle name="Percent 2 39" xfId="29" xr:uid="{00000000-0005-0000-0000-0000BC130000}"/>
    <cellStyle name="Percent 2 4" xfId="2731" xr:uid="{00000000-0005-0000-0000-0000BD130000}"/>
    <cellStyle name="Percent 2 4 2" xfId="3692" xr:uid="{00000000-0005-0000-0000-0000BE130000}"/>
    <cellStyle name="Percent 2 4 2 2" xfId="5689" xr:uid="{00000000-0005-0000-0000-0000BF130000}"/>
    <cellStyle name="Percent 2 4 3" xfId="3524" xr:uid="{00000000-0005-0000-0000-0000C0130000}"/>
    <cellStyle name="Percent 2 4 4" xfId="5688" xr:uid="{00000000-0005-0000-0000-0000C1130000}"/>
    <cellStyle name="Percent 2 5" xfId="2732" xr:uid="{00000000-0005-0000-0000-0000C2130000}"/>
    <cellStyle name="Percent 2 5 2" xfId="4689" xr:uid="{00000000-0005-0000-0000-0000C3130000}"/>
    <cellStyle name="Percent 2 5 3" xfId="5690" xr:uid="{00000000-0005-0000-0000-0000C4130000}"/>
    <cellStyle name="Percent 2 6" xfId="2733" xr:uid="{00000000-0005-0000-0000-0000C5130000}"/>
    <cellStyle name="Percent 2 6 2" xfId="4690" xr:uid="{00000000-0005-0000-0000-0000C6130000}"/>
    <cellStyle name="Percent 2 6 3" xfId="5100" xr:uid="{00000000-0005-0000-0000-0000C7130000}"/>
    <cellStyle name="Percent 2 7" xfId="2734" xr:uid="{00000000-0005-0000-0000-0000C8130000}"/>
    <cellStyle name="Percent 2 7 2" xfId="4691" xr:uid="{00000000-0005-0000-0000-0000C9130000}"/>
    <cellStyle name="Percent 2 8" xfId="2735" xr:uid="{00000000-0005-0000-0000-0000CA130000}"/>
    <cellStyle name="Percent 2 8 2" xfId="4692" xr:uid="{00000000-0005-0000-0000-0000CB130000}"/>
    <cellStyle name="Percent 2 9" xfId="2736" xr:uid="{00000000-0005-0000-0000-0000CC130000}"/>
    <cellStyle name="Percent 2 9 2" xfId="4693" xr:uid="{00000000-0005-0000-0000-0000CD130000}"/>
    <cellStyle name="percent 2 decimal" xfId="2737" xr:uid="{00000000-0005-0000-0000-0000CE130000}"/>
    <cellStyle name="Percent 20" xfId="243" xr:uid="{00000000-0005-0000-0000-0000CF130000}"/>
    <cellStyle name="Percent 21" xfId="3061" xr:uid="{00000000-0005-0000-0000-0000D0130000}"/>
    <cellStyle name="Percent 22" xfId="3081" xr:uid="{00000000-0005-0000-0000-0000D1130000}"/>
    <cellStyle name="Percent 23" xfId="3074" xr:uid="{00000000-0005-0000-0000-0000D2130000}"/>
    <cellStyle name="Percent 24" xfId="3369" xr:uid="{00000000-0005-0000-0000-0000D3130000}"/>
    <cellStyle name="Percent 25" xfId="3704" xr:uid="{00000000-0005-0000-0000-0000D4130000}"/>
    <cellStyle name="Percent 26" xfId="3702" xr:uid="{00000000-0005-0000-0000-0000D5130000}"/>
    <cellStyle name="Percent 27" xfId="3653" xr:uid="{00000000-0005-0000-0000-0000D6130000}"/>
    <cellStyle name="Percent 28" xfId="3781" xr:uid="{00000000-0005-0000-0000-0000D7130000}"/>
    <cellStyle name="Percent 29" xfId="3833" xr:uid="{00000000-0005-0000-0000-0000D8130000}"/>
    <cellStyle name="Percent 3" xfId="24" xr:uid="{00000000-0005-0000-0000-0000D9130000}"/>
    <cellStyle name="Percent 3 10" xfId="4694" xr:uid="{00000000-0005-0000-0000-0000DA130000}"/>
    <cellStyle name="Percent 3 10 2" xfId="4695" xr:uid="{00000000-0005-0000-0000-0000DB130000}"/>
    <cellStyle name="Percent 3 11" xfId="4696" xr:uid="{00000000-0005-0000-0000-0000DC130000}"/>
    <cellStyle name="Percent 3 12" xfId="4854" xr:uid="{00000000-0005-0000-0000-0000DD130000}"/>
    <cellStyle name="Percent 3 13" xfId="4893" xr:uid="{00000000-0005-0000-0000-0000DE130000}"/>
    <cellStyle name="Percent 3 14" xfId="4917" xr:uid="{00000000-0005-0000-0000-0000DF130000}"/>
    <cellStyle name="Percent 3 15" xfId="4949" xr:uid="{00000000-0005-0000-0000-0000E0130000}"/>
    <cellStyle name="Percent 3 16" xfId="4971" xr:uid="{00000000-0005-0000-0000-0000E1130000}"/>
    <cellStyle name="Percent 3 17" xfId="5005" xr:uid="{00000000-0005-0000-0000-0000E2130000}"/>
    <cellStyle name="Percent 3 18" xfId="5237" xr:uid="{00000000-0005-0000-0000-0000E3130000}"/>
    <cellStyle name="Percent 3 19" xfId="5265" xr:uid="{00000000-0005-0000-0000-0000E4130000}"/>
    <cellStyle name="Percent 3 2" xfId="133" xr:uid="{00000000-0005-0000-0000-0000E5130000}"/>
    <cellStyle name="Percent 3 2 10" xfId="5241" xr:uid="{00000000-0005-0000-0000-0000E6130000}"/>
    <cellStyle name="Percent 3 2 11" xfId="5269" xr:uid="{00000000-0005-0000-0000-0000E7130000}"/>
    <cellStyle name="Percent 3 2 12" xfId="5296" xr:uid="{00000000-0005-0000-0000-0000E8130000}"/>
    <cellStyle name="Percent 3 2 2" xfId="182" xr:uid="{00000000-0005-0000-0000-0000E9130000}"/>
    <cellStyle name="Percent 3 2 2 10" xfId="5277" xr:uid="{00000000-0005-0000-0000-0000EA130000}"/>
    <cellStyle name="Percent 3 2 2 11" xfId="5304" xr:uid="{00000000-0005-0000-0000-0000EB130000}"/>
    <cellStyle name="Percent 3 2 2 2" xfId="3731" xr:uid="{00000000-0005-0000-0000-0000EC130000}"/>
    <cellStyle name="Percent 3 2 2 2 2" xfId="5691" xr:uid="{00000000-0005-0000-0000-0000ED130000}"/>
    <cellStyle name="Percent 3 2 2 3" xfId="3526" xr:uid="{00000000-0005-0000-0000-0000EE130000}"/>
    <cellStyle name="Percent 3 2 2 4" xfId="3047" xr:uid="{00000000-0005-0000-0000-0000EF130000}"/>
    <cellStyle name="Percent 3 2 2 5" xfId="4905" xr:uid="{00000000-0005-0000-0000-0000F0130000}"/>
    <cellStyle name="Percent 3 2 2 6" xfId="4929" xr:uid="{00000000-0005-0000-0000-0000F1130000}"/>
    <cellStyle name="Percent 3 2 2 7" xfId="4983" xr:uid="{00000000-0005-0000-0000-0000F2130000}"/>
    <cellStyle name="Percent 3 2 2 8" xfId="5017" xr:uid="{00000000-0005-0000-0000-0000F3130000}"/>
    <cellStyle name="Percent 3 2 2 9" xfId="5249" xr:uid="{00000000-0005-0000-0000-0000F4130000}"/>
    <cellStyle name="Percent 3 2 3" xfId="174" xr:uid="{00000000-0005-0000-0000-0000F5130000}"/>
    <cellStyle name="Percent 3 2 3 2" xfId="2738" xr:uid="{00000000-0005-0000-0000-0000F6130000}"/>
    <cellStyle name="Percent 3 2 3 3" xfId="4697" xr:uid="{00000000-0005-0000-0000-0000F7130000}"/>
    <cellStyle name="Percent 3 2 4" xfId="3597" xr:uid="{00000000-0005-0000-0000-0000F8130000}"/>
    <cellStyle name="Percent 3 2 5" xfId="3525" xr:uid="{00000000-0005-0000-0000-0000F9130000}"/>
    <cellStyle name="Percent 3 2 6" xfId="4897" xr:uid="{00000000-0005-0000-0000-0000FA130000}"/>
    <cellStyle name="Percent 3 2 7" xfId="4921" xr:uid="{00000000-0005-0000-0000-0000FB130000}"/>
    <cellStyle name="Percent 3 2 8" xfId="4975" xr:uid="{00000000-0005-0000-0000-0000FC130000}"/>
    <cellStyle name="Percent 3 2 9" xfId="5009" xr:uid="{00000000-0005-0000-0000-0000FD130000}"/>
    <cellStyle name="Percent 3 20" xfId="5292" xr:uid="{00000000-0005-0000-0000-0000FE130000}"/>
    <cellStyle name="Percent 3 3" xfId="178" xr:uid="{00000000-0005-0000-0000-0000FF130000}"/>
    <cellStyle name="Percent 3 3 10" xfId="5300" xr:uid="{00000000-0005-0000-0000-000000140000}"/>
    <cellStyle name="Percent 3 3 2" xfId="4699" xr:uid="{00000000-0005-0000-0000-000001140000}"/>
    <cellStyle name="Percent 3 3 2 2" xfId="5645" xr:uid="{00000000-0005-0000-0000-000002140000}"/>
    <cellStyle name="Percent 3 3 2 3" xfId="5692" xr:uid="{00000000-0005-0000-0000-000003140000}"/>
    <cellStyle name="Percent 3 3 3" xfId="4698" xr:uid="{00000000-0005-0000-0000-000004140000}"/>
    <cellStyle name="Percent 3 3 3 2" xfId="5601" xr:uid="{00000000-0005-0000-0000-000005140000}"/>
    <cellStyle name="Percent 3 3 4" xfId="4901" xr:uid="{00000000-0005-0000-0000-000006140000}"/>
    <cellStyle name="Percent 3 3 5" xfId="4925" xr:uid="{00000000-0005-0000-0000-000007140000}"/>
    <cellStyle name="Percent 3 3 6" xfId="4979" xr:uid="{00000000-0005-0000-0000-000008140000}"/>
    <cellStyle name="Percent 3 3 7" xfId="5013" xr:uid="{00000000-0005-0000-0000-000009140000}"/>
    <cellStyle name="Percent 3 3 8" xfId="5245" xr:uid="{00000000-0005-0000-0000-00000A140000}"/>
    <cellStyle name="Percent 3 3 9" xfId="5273" xr:uid="{00000000-0005-0000-0000-00000B140000}"/>
    <cellStyle name="Percent 3 4" xfId="169" xr:uid="{00000000-0005-0000-0000-00000C140000}"/>
    <cellStyle name="Percent 3 4 2" xfId="4700" xr:uid="{00000000-0005-0000-0000-00000D140000}"/>
    <cellStyle name="Percent 3 4 2 2" xfId="5693" xr:uid="{00000000-0005-0000-0000-00000E140000}"/>
    <cellStyle name="Percent 3 5" xfId="4701" xr:uid="{00000000-0005-0000-0000-00000F140000}"/>
    <cellStyle name="Percent 3 5 2" xfId="5694" xr:uid="{00000000-0005-0000-0000-000010140000}"/>
    <cellStyle name="Percent 3 6" xfId="4702" xr:uid="{00000000-0005-0000-0000-000011140000}"/>
    <cellStyle name="Percent 3 7" xfId="4703" xr:uid="{00000000-0005-0000-0000-000012140000}"/>
    <cellStyle name="Percent 3 8" xfId="4704" xr:uid="{00000000-0005-0000-0000-000013140000}"/>
    <cellStyle name="Percent 3 9" xfId="4705" xr:uid="{00000000-0005-0000-0000-000014140000}"/>
    <cellStyle name="Percent 30" xfId="3884" xr:uid="{00000000-0005-0000-0000-000015140000}"/>
    <cellStyle name="Percent 31" xfId="3870" xr:uid="{00000000-0005-0000-0000-000016140000}"/>
    <cellStyle name="Percent 32" xfId="3106" xr:uid="{00000000-0005-0000-0000-000017140000}"/>
    <cellStyle name="Percent 33" xfId="3315" xr:uid="{00000000-0005-0000-0000-000018140000}"/>
    <cellStyle name="Percent 34" xfId="3916" xr:uid="{00000000-0005-0000-0000-000019140000}"/>
    <cellStyle name="Percent 35" xfId="185" xr:uid="{00000000-0005-0000-0000-00001A140000}"/>
    <cellStyle name="Percent 36" xfId="4706" xr:uid="{00000000-0005-0000-0000-00001B140000}"/>
    <cellStyle name="Percent 37" xfId="4707" xr:uid="{00000000-0005-0000-0000-00001C140000}"/>
    <cellStyle name="Percent 38" xfId="4708" xr:uid="{00000000-0005-0000-0000-00001D140000}"/>
    <cellStyle name="Percent 39" xfId="4709" xr:uid="{00000000-0005-0000-0000-00001E140000}"/>
    <cellStyle name="Percent 4" xfId="88" xr:uid="{00000000-0005-0000-0000-00001F140000}"/>
    <cellStyle name="Percent 4 10" xfId="2739" xr:uid="{00000000-0005-0000-0000-000020140000}"/>
    <cellStyle name="Percent 4 11" xfId="3579" xr:uid="{00000000-0005-0000-0000-000021140000}"/>
    <cellStyle name="Percent 4 11 2" xfId="4710" xr:uid="{00000000-0005-0000-0000-000022140000}"/>
    <cellStyle name="Percent 4 12" xfId="3370" xr:uid="{00000000-0005-0000-0000-000023140000}"/>
    <cellStyle name="Percent 4 12 2" xfId="4855" xr:uid="{00000000-0005-0000-0000-000024140000}"/>
    <cellStyle name="Percent 4 13" xfId="4910" xr:uid="{00000000-0005-0000-0000-000025140000}"/>
    <cellStyle name="Percent 4 2" xfId="134" xr:uid="{00000000-0005-0000-0000-000026140000}"/>
    <cellStyle name="Percent 4 2 2" xfId="3048" xr:uid="{00000000-0005-0000-0000-000027140000}"/>
    <cellStyle name="Percent 4 2 2 2" xfId="3732" xr:uid="{00000000-0005-0000-0000-000028140000}"/>
    <cellStyle name="Percent 4 2 2 2 2" xfId="5695" xr:uid="{00000000-0005-0000-0000-000029140000}"/>
    <cellStyle name="Percent 4 2 2 3" xfId="3560" xr:uid="{00000000-0005-0000-0000-00002A140000}"/>
    <cellStyle name="Percent 4 2 2 4" xfId="3863" xr:uid="{00000000-0005-0000-0000-00002B140000}"/>
    <cellStyle name="Percent 4 2 2 5" xfId="4857" xr:uid="{00000000-0005-0000-0000-00002C140000}"/>
    <cellStyle name="Percent 4 2 2 6" xfId="5085" xr:uid="{00000000-0005-0000-0000-00002D140000}"/>
    <cellStyle name="Percent 4 2 3" xfId="2740" xr:uid="{00000000-0005-0000-0000-00002E140000}"/>
    <cellStyle name="Percent 4 2 3 2" xfId="4856" xr:uid="{00000000-0005-0000-0000-00002F140000}"/>
    <cellStyle name="Percent 4 2 3 3" xfId="5697" xr:uid="{00000000-0005-0000-0000-000030140000}"/>
    <cellStyle name="Percent 4 2 4" xfId="3598" xr:uid="{00000000-0005-0000-0000-000031140000}"/>
    <cellStyle name="Percent 4 2 5" xfId="3527" xr:uid="{00000000-0005-0000-0000-000032140000}"/>
    <cellStyle name="Percent 4 2 6" xfId="3848" xr:uid="{00000000-0005-0000-0000-000033140000}"/>
    <cellStyle name="Percent 4 2 7" xfId="4711" xr:uid="{00000000-0005-0000-0000-000034140000}"/>
    <cellStyle name="Percent 4 2 8" xfId="5059" xr:uid="{00000000-0005-0000-0000-000035140000}"/>
    <cellStyle name="Percent 4 3" xfId="2741" xr:uid="{00000000-0005-0000-0000-000036140000}"/>
    <cellStyle name="Percent 4 3 2" xfId="4713" xr:uid="{00000000-0005-0000-0000-000037140000}"/>
    <cellStyle name="Percent 4 3 2 2" xfId="5699" xr:uid="{00000000-0005-0000-0000-000038140000}"/>
    <cellStyle name="Percent 4 3 3" xfId="4714" xr:uid="{00000000-0005-0000-0000-000039140000}"/>
    <cellStyle name="Percent 4 3 4" xfId="4712" xr:uid="{00000000-0005-0000-0000-00003A140000}"/>
    <cellStyle name="Percent 4 3 5" xfId="5698" xr:uid="{00000000-0005-0000-0000-00003B140000}"/>
    <cellStyle name="Percent 4 4" xfId="2742" xr:uid="{00000000-0005-0000-0000-00003C140000}"/>
    <cellStyle name="Percent 4 4 2" xfId="4715" xr:uid="{00000000-0005-0000-0000-00003D140000}"/>
    <cellStyle name="Percent 4 4 3" xfId="5700" xr:uid="{00000000-0005-0000-0000-00003E140000}"/>
    <cellStyle name="Percent 4 5" xfId="2743" xr:uid="{00000000-0005-0000-0000-00003F140000}"/>
    <cellStyle name="Percent 4 5 2" xfId="4716" xr:uid="{00000000-0005-0000-0000-000040140000}"/>
    <cellStyle name="Percent 4 6" xfId="2744" xr:uid="{00000000-0005-0000-0000-000041140000}"/>
    <cellStyle name="Percent 4 6 2" xfId="4717" xr:uid="{00000000-0005-0000-0000-000042140000}"/>
    <cellStyle name="Percent 4 7" xfId="2745" xr:uid="{00000000-0005-0000-0000-000043140000}"/>
    <cellStyle name="Percent 4 7 2" xfId="4718" xr:uid="{00000000-0005-0000-0000-000044140000}"/>
    <cellStyle name="Percent 4 8" xfId="2746" xr:uid="{00000000-0005-0000-0000-000045140000}"/>
    <cellStyle name="Percent 4 9" xfId="3028" xr:uid="{00000000-0005-0000-0000-000046140000}"/>
    <cellStyle name="Percent 4 9 2" xfId="4719" xr:uid="{00000000-0005-0000-0000-000047140000}"/>
    <cellStyle name="Percent 40" xfId="4720" xr:uid="{00000000-0005-0000-0000-000048140000}"/>
    <cellStyle name="Percent 41" xfId="4721" xr:uid="{00000000-0005-0000-0000-000049140000}"/>
    <cellStyle name="Percent 42" xfId="4722" xr:uid="{00000000-0005-0000-0000-00004A140000}"/>
    <cellStyle name="Percent 43" xfId="4723" xr:uid="{00000000-0005-0000-0000-00004B140000}"/>
    <cellStyle name="Percent 43 2" xfId="4724" xr:uid="{00000000-0005-0000-0000-00004C140000}"/>
    <cellStyle name="Percent 44" xfId="4725" xr:uid="{00000000-0005-0000-0000-00004D140000}"/>
    <cellStyle name="Percent 44 2" xfId="4726" xr:uid="{00000000-0005-0000-0000-00004E140000}"/>
    <cellStyle name="Percent 45" xfId="4727" xr:uid="{00000000-0005-0000-0000-00004F140000}"/>
    <cellStyle name="Percent 45 2" xfId="4728" xr:uid="{00000000-0005-0000-0000-000050140000}"/>
    <cellStyle name="Percent 46" xfId="4729" xr:uid="{00000000-0005-0000-0000-000051140000}"/>
    <cellStyle name="Percent 46 2" xfId="4730" xr:uid="{00000000-0005-0000-0000-000052140000}"/>
    <cellStyle name="Percent 47" xfId="4731" xr:uid="{00000000-0005-0000-0000-000053140000}"/>
    <cellStyle name="Percent 48" xfId="4732" xr:uid="{00000000-0005-0000-0000-000054140000}"/>
    <cellStyle name="Percent 49" xfId="4733" xr:uid="{00000000-0005-0000-0000-000055140000}"/>
    <cellStyle name="Percent 5" xfId="110" xr:uid="{00000000-0005-0000-0000-000056140000}"/>
    <cellStyle name="Percent 5 10" xfId="4734" xr:uid="{00000000-0005-0000-0000-000057140000}"/>
    <cellStyle name="Percent 5 11" xfId="4735" xr:uid="{00000000-0005-0000-0000-000058140000}"/>
    <cellStyle name="Percent 5 12" xfId="5256" xr:uid="{00000000-0005-0000-0000-000059140000}"/>
    <cellStyle name="Percent 5 13" xfId="5282" xr:uid="{00000000-0005-0000-0000-00005A140000}"/>
    <cellStyle name="Percent 5 14" xfId="5312" xr:uid="{00000000-0005-0000-0000-00005B140000}"/>
    <cellStyle name="Percent 5 2" xfId="117" xr:uid="{00000000-0005-0000-0000-00005C140000}"/>
    <cellStyle name="Percent 5 2 2" xfId="2747" xr:uid="{00000000-0005-0000-0000-00005D140000}"/>
    <cellStyle name="Percent 5 2 2 2" xfId="5703" xr:uid="{00000000-0005-0000-0000-00005E140000}"/>
    <cellStyle name="Percent 5 2 2 3" xfId="5702" xr:uid="{00000000-0005-0000-0000-00005F140000}"/>
    <cellStyle name="Percent 5 2 3" xfId="4736" xr:uid="{00000000-0005-0000-0000-000060140000}"/>
    <cellStyle name="Percent 5 2 3 2" xfId="5704" xr:uid="{00000000-0005-0000-0000-000061140000}"/>
    <cellStyle name="Percent 5 2 4" xfId="5701" xr:uid="{00000000-0005-0000-0000-000062140000}"/>
    <cellStyle name="Percent 5 3" xfId="2748" xr:uid="{00000000-0005-0000-0000-000063140000}"/>
    <cellStyle name="Percent 5 3 2" xfId="4738" xr:uid="{00000000-0005-0000-0000-000064140000}"/>
    <cellStyle name="Percent 5 3 2 2" xfId="5401" xr:uid="{00000000-0005-0000-0000-000065140000}"/>
    <cellStyle name="Percent 5 3 3" xfId="4737" xr:uid="{00000000-0005-0000-0000-000066140000}"/>
    <cellStyle name="Percent 5 3 4" xfId="5705" xr:uid="{00000000-0005-0000-0000-000067140000}"/>
    <cellStyle name="Percent 5 4" xfId="4739" xr:uid="{00000000-0005-0000-0000-000068140000}"/>
    <cellStyle name="Percent 5 4 2" xfId="5706" xr:uid="{00000000-0005-0000-0000-000069140000}"/>
    <cellStyle name="Percent 5 5" xfId="4740" xr:uid="{00000000-0005-0000-0000-00006A140000}"/>
    <cellStyle name="Percent 5 6" xfId="4741" xr:uid="{00000000-0005-0000-0000-00006B140000}"/>
    <cellStyle name="Percent 5 7" xfId="4742" xr:uid="{00000000-0005-0000-0000-00006C140000}"/>
    <cellStyle name="Percent 5 8" xfId="4743" xr:uid="{00000000-0005-0000-0000-00006D140000}"/>
    <cellStyle name="Percent 5 9" xfId="4744" xr:uid="{00000000-0005-0000-0000-00006E140000}"/>
    <cellStyle name="Percent 5 9 2" xfId="4745" xr:uid="{00000000-0005-0000-0000-00006F140000}"/>
    <cellStyle name="Percent 50" xfId="4746" xr:uid="{00000000-0005-0000-0000-000070140000}"/>
    <cellStyle name="Percent 51" xfId="4747" xr:uid="{00000000-0005-0000-0000-000071140000}"/>
    <cellStyle name="Percent 52" xfId="4748" xr:uid="{00000000-0005-0000-0000-000072140000}"/>
    <cellStyle name="Percent 53" xfId="4749" xr:uid="{00000000-0005-0000-0000-000073140000}"/>
    <cellStyle name="Percent 53 2" xfId="4750" xr:uid="{00000000-0005-0000-0000-000074140000}"/>
    <cellStyle name="Percent 54" xfId="4751" xr:uid="{00000000-0005-0000-0000-000075140000}"/>
    <cellStyle name="Percent 55" xfId="4752" xr:uid="{00000000-0005-0000-0000-000076140000}"/>
    <cellStyle name="Percent 56" xfId="4753" xr:uid="{00000000-0005-0000-0000-000077140000}"/>
    <cellStyle name="Percent 57" xfId="4754" xr:uid="{00000000-0005-0000-0000-000078140000}"/>
    <cellStyle name="Percent 58" xfId="4755" xr:uid="{00000000-0005-0000-0000-000079140000}"/>
    <cellStyle name="Percent 59" xfId="4756" xr:uid="{00000000-0005-0000-0000-00007A140000}"/>
    <cellStyle name="Percent 6" xfId="142" xr:uid="{00000000-0005-0000-0000-00007B140000}"/>
    <cellStyle name="Percent 6 2" xfId="2749" xr:uid="{00000000-0005-0000-0000-00007C140000}"/>
    <cellStyle name="Percent 6 2 2" xfId="5709" xr:uid="{00000000-0005-0000-0000-00007D140000}"/>
    <cellStyle name="Percent 6 2 3" xfId="5708" xr:uid="{00000000-0005-0000-0000-00007E140000}"/>
    <cellStyle name="Percent 6 3" xfId="3604" xr:uid="{00000000-0005-0000-0000-00007F140000}"/>
    <cellStyle name="Percent 6 3 2" xfId="5710" xr:uid="{00000000-0005-0000-0000-000080140000}"/>
    <cellStyle name="Percent 6 4" xfId="3373" xr:uid="{00000000-0005-0000-0000-000081140000}"/>
    <cellStyle name="Percent 6 5" xfId="5707" xr:uid="{00000000-0005-0000-0000-000082140000}"/>
    <cellStyle name="Percent 60" xfId="4852" xr:uid="{00000000-0005-0000-0000-000083140000}"/>
    <cellStyle name="Percent 61" xfId="4876" xr:uid="{00000000-0005-0000-0000-000084140000}"/>
    <cellStyle name="Percent 62" xfId="4884" xr:uid="{00000000-0005-0000-0000-000085140000}"/>
    <cellStyle name="Percent 63" xfId="4889" xr:uid="{00000000-0005-0000-0000-000086140000}"/>
    <cellStyle name="Percent 64" xfId="4913" xr:uid="{00000000-0005-0000-0000-000087140000}"/>
    <cellStyle name="Percent 65" xfId="4947" xr:uid="{00000000-0005-0000-0000-000088140000}"/>
    <cellStyle name="Percent 66" xfId="4941" xr:uid="{00000000-0005-0000-0000-000089140000}"/>
    <cellStyle name="Percent 67" xfId="4948" xr:uid="{00000000-0005-0000-0000-00008A140000}"/>
    <cellStyle name="Percent 68" xfId="4939" xr:uid="{00000000-0005-0000-0000-00008B140000}"/>
    <cellStyle name="Percent 69" xfId="4967" xr:uid="{00000000-0005-0000-0000-00008C140000}"/>
    <cellStyle name="Percent 7" xfId="146" xr:uid="{00000000-0005-0000-0000-00008D140000}"/>
    <cellStyle name="Percent 7 2" xfId="3606" xr:uid="{00000000-0005-0000-0000-00008E140000}"/>
    <cellStyle name="Percent 7 2 2" xfId="4757" xr:uid="{00000000-0005-0000-0000-00008F140000}"/>
    <cellStyle name="Percent 7 3" xfId="3533" xr:uid="{00000000-0005-0000-0000-000090140000}"/>
    <cellStyle name="Percent 7 3 2" xfId="4759" xr:uid="{00000000-0005-0000-0000-000091140000}"/>
    <cellStyle name="Percent 7 3 2 2" xfId="4760" xr:uid="{00000000-0005-0000-0000-000092140000}"/>
    <cellStyle name="Percent 7 3 3" xfId="4761" xr:uid="{00000000-0005-0000-0000-000093140000}"/>
    <cellStyle name="Percent 7 3 4" xfId="4762" xr:uid="{00000000-0005-0000-0000-000094140000}"/>
    <cellStyle name="Percent 7 3 5" xfId="4763" xr:uid="{00000000-0005-0000-0000-000095140000}"/>
    <cellStyle name="Percent 7 3 5 2" xfId="4764" xr:uid="{00000000-0005-0000-0000-000096140000}"/>
    <cellStyle name="Percent 7 3 5 3" xfId="4765" xr:uid="{00000000-0005-0000-0000-000097140000}"/>
    <cellStyle name="Percent 7 3 6" xfId="4758" xr:uid="{00000000-0005-0000-0000-000098140000}"/>
    <cellStyle name="Percent 7 4" xfId="4766" xr:uid="{00000000-0005-0000-0000-000099140000}"/>
    <cellStyle name="Percent 7 4 2" xfId="4767" xr:uid="{00000000-0005-0000-0000-00009A140000}"/>
    <cellStyle name="Percent 7 5" xfId="4768" xr:uid="{00000000-0005-0000-0000-00009B140000}"/>
    <cellStyle name="Percent 7 5 2" xfId="4769" xr:uid="{00000000-0005-0000-0000-00009C140000}"/>
    <cellStyle name="Percent 7 6" xfId="4770" xr:uid="{00000000-0005-0000-0000-00009D140000}"/>
    <cellStyle name="Percent 7 7" xfId="4771" xr:uid="{00000000-0005-0000-0000-00009E140000}"/>
    <cellStyle name="Percent 7 8" xfId="5711" xr:uid="{00000000-0005-0000-0000-00009F140000}"/>
    <cellStyle name="Percent 70" xfId="4990" xr:uid="{00000000-0005-0000-0000-0000A0140000}"/>
    <cellStyle name="Percent 71" xfId="4994" xr:uid="{00000000-0005-0000-0000-0000A1140000}"/>
    <cellStyle name="Percent 72" xfId="4998" xr:uid="{00000000-0005-0000-0000-0000A2140000}"/>
    <cellStyle name="Percent 73" xfId="5001" xr:uid="{00000000-0005-0000-0000-0000A3140000}"/>
    <cellStyle name="Percent 74" xfId="5023" xr:uid="{00000000-0005-0000-0000-0000A4140000}"/>
    <cellStyle name="Percent 75" xfId="5055" xr:uid="{00000000-0005-0000-0000-0000A5140000}"/>
    <cellStyle name="Percent 76" xfId="5150" xr:uid="{00000000-0005-0000-0000-0000A6140000}"/>
    <cellStyle name="Percent 77" xfId="5038" xr:uid="{00000000-0005-0000-0000-0000A7140000}"/>
    <cellStyle name="Percent 78" xfId="5232" xr:uid="{00000000-0005-0000-0000-0000A8140000}"/>
    <cellStyle name="Percent 79" xfId="5252" xr:uid="{00000000-0005-0000-0000-0000A9140000}"/>
    <cellStyle name="Percent 8" xfId="149" xr:uid="{00000000-0005-0000-0000-0000AA140000}"/>
    <cellStyle name="Percent 8 2" xfId="3084" xr:uid="{00000000-0005-0000-0000-0000AB140000}"/>
    <cellStyle name="Percent 8 2 2" xfId="4772" xr:uid="{00000000-0005-0000-0000-0000AC140000}"/>
    <cellStyle name="Percent 8 2 2 2" xfId="4773" xr:uid="{00000000-0005-0000-0000-0000AD140000}"/>
    <cellStyle name="Percent 8 2 3" xfId="4774" xr:uid="{00000000-0005-0000-0000-0000AE140000}"/>
    <cellStyle name="Percent 8 2 4" xfId="4775" xr:uid="{00000000-0005-0000-0000-0000AF140000}"/>
    <cellStyle name="Percent 8 2 5" xfId="4776" xr:uid="{00000000-0005-0000-0000-0000B0140000}"/>
    <cellStyle name="Percent 8 3" xfId="3693" xr:uid="{00000000-0005-0000-0000-0000B1140000}"/>
    <cellStyle name="Percent 8 3 2" xfId="4777" xr:uid="{00000000-0005-0000-0000-0000B2140000}"/>
    <cellStyle name="Percent 8 4" xfId="2750" xr:uid="{00000000-0005-0000-0000-0000B3140000}"/>
    <cellStyle name="Percent 8 4 2" xfId="4778" xr:uid="{00000000-0005-0000-0000-0000B4140000}"/>
    <cellStyle name="Percent 8 5" xfId="4779" xr:uid="{00000000-0005-0000-0000-0000B5140000}"/>
    <cellStyle name="Percent 8 6" xfId="4780" xr:uid="{00000000-0005-0000-0000-0000B6140000}"/>
    <cellStyle name="Percent 8 7" xfId="4781" xr:uid="{00000000-0005-0000-0000-0000B7140000}"/>
    <cellStyle name="Percent 8 8" xfId="4782" xr:uid="{00000000-0005-0000-0000-0000B8140000}"/>
    <cellStyle name="Percent 80" xfId="5261" xr:uid="{00000000-0005-0000-0000-0000B9140000}"/>
    <cellStyle name="Percent 81" xfId="5288" xr:uid="{00000000-0005-0000-0000-0000BA140000}"/>
    <cellStyle name="Percent 82" xfId="5306" xr:uid="{00000000-0005-0000-0000-0000BB140000}"/>
    <cellStyle name="Percent 83" xfId="19" xr:uid="{00000000-0005-0000-0000-0000BC140000}"/>
    <cellStyle name="Percent 84" xfId="5317" xr:uid="{00000000-0005-0000-0000-0000BD140000}"/>
    <cellStyle name="Percent 85" xfId="5321" xr:uid="{00000000-0005-0000-0000-0000BE140000}"/>
    <cellStyle name="Percent 86" xfId="5336" xr:uid="{00000000-0005-0000-0000-0000BF140000}"/>
    <cellStyle name="Percent 87" xfId="5723" xr:uid="{00000000-0005-0000-0000-0000C0140000}"/>
    <cellStyle name="Percent 88" xfId="5839" xr:uid="{00000000-0005-0000-0000-0000C1140000}"/>
    <cellStyle name="Percent 89" xfId="5844" xr:uid="{00000000-0005-0000-0000-0000C2140000}"/>
    <cellStyle name="Percent 9" xfId="154" xr:uid="{00000000-0005-0000-0000-0000C3140000}"/>
    <cellStyle name="Percent 9 2" xfId="2752" xr:uid="{00000000-0005-0000-0000-0000C4140000}"/>
    <cellStyle name="Percent 9 2 2" xfId="4784" xr:uid="{00000000-0005-0000-0000-0000C5140000}"/>
    <cellStyle name="Percent 9 2 2 2" xfId="4785" xr:uid="{00000000-0005-0000-0000-0000C6140000}"/>
    <cellStyle name="Percent 9 2 3" xfId="4786" xr:uid="{00000000-0005-0000-0000-0000C7140000}"/>
    <cellStyle name="Percent 9 2 4" xfId="4783" xr:uid="{00000000-0005-0000-0000-0000C8140000}"/>
    <cellStyle name="Percent 9 3" xfId="3089" xr:uid="{00000000-0005-0000-0000-0000C9140000}"/>
    <cellStyle name="Percent 9 3 2" xfId="3748" xr:uid="{00000000-0005-0000-0000-0000CA140000}"/>
    <cellStyle name="Percent 9 3 2 2" xfId="4788" xr:uid="{00000000-0005-0000-0000-0000CB140000}"/>
    <cellStyle name="Percent 9 3 3" xfId="3818" xr:uid="{00000000-0005-0000-0000-0000CC140000}"/>
    <cellStyle name="Percent 9 3 4" xfId="3905" xr:uid="{00000000-0005-0000-0000-0000CD140000}"/>
    <cellStyle name="Percent 9 3 5" xfId="3338" xr:uid="{00000000-0005-0000-0000-0000CE140000}"/>
    <cellStyle name="Percent 9 3 6" xfId="4787" xr:uid="{00000000-0005-0000-0000-0000CF140000}"/>
    <cellStyle name="Percent 9 4" xfId="2751" xr:uid="{00000000-0005-0000-0000-0000D0140000}"/>
    <cellStyle name="Percent 9 4 2" xfId="4790" xr:uid="{00000000-0005-0000-0000-0000D1140000}"/>
    <cellStyle name="Percent 9 4 3" xfId="4789" xr:uid="{00000000-0005-0000-0000-0000D2140000}"/>
    <cellStyle name="Percent 9 5" xfId="4791" xr:uid="{00000000-0005-0000-0000-0000D3140000}"/>
    <cellStyle name="Percent 9 6" xfId="4792" xr:uid="{00000000-0005-0000-0000-0000D4140000}"/>
    <cellStyle name="Percent 9 7" xfId="4793" xr:uid="{00000000-0005-0000-0000-0000D5140000}"/>
    <cellStyle name="Percent 9 8" xfId="4794" xr:uid="{00000000-0005-0000-0000-0000D6140000}"/>
    <cellStyle name="Percent Comma" xfId="5593" xr:uid="{00000000-0005-0000-0000-0000D7140000}"/>
    <cellStyle name="Percent Hard" xfId="2753" xr:uid="{00000000-0005-0000-0000-0000D8140000}"/>
    <cellStyle name="percent no decimal" xfId="2754" xr:uid="{00000000-0005-0000-0000-0000D9140000}"/>
    <cellStyle name="Percent(4places)TotTop" xfId="2755" xr:uid="{00000000-0005-0000-0000-0000DA140000}"/>
    <cellStyle name="Percent1" xfId="2756" xr:uid="{00000000-0005-0000-0000-0000DB140000}"/>
    <cellStyle name="Percent1Blue" xfId="2757" xr:uid="{00000000-0005-0000-0000-0000DC140000}"/>
    <cellStyle name="Percent2" xfId="2758" xr:uid="{00000000-0005-0000-0000-0000DD140000}"/>
    <cellStyle name="Percent2Blue" xfId="2759" xr:uid="{00000000-0005-0000-0000-0000DE140000}"/>
    <cellStyle name="PercentageParen" xfId="5712" xr:uid="{00000000-0005-0000-0000-0000DF140000}"/>
    <cellStyle name="PercentPresentation" xfId="5713" xr:uid="{00000000-0005-0000-0000-0000E0140000}"/>
    <cellStyle name="PercentTotal" xfId="2760" xr:uid="{00000000-0005-0000-0000-0000E1140000}"/>
    <cellStyle name="Phase 2" xfId="2761" xr:uid="{00000000-0005-0000-0000-0000E2140000}"/>
    <cellStyle name="Phase 2 2" xfId="2762" xr:uid="{00000000-0005-0000-0000-0000E3140000}"/>
    <cellStyle name="POPS" xfId="5714" xr:uid="{00000000-0005-0000-0000-0000E4140000}"/>
    <cellStyle name="Porcentaje" xfId="5715" xr:uid="{00000000-0005-0000-0000-0000E5140000}"/>
    <cellStyle name="Pounds" xfId="2763" xr:uid="{00000000-0005-0000-0000-0000E6140000}"/>
    <cellStyle name="Pourcentage_agree" xfId="2764" xr:uid="{00000000-0005-0000-0000-0000E7140000}"/>
    <cellStyle name="PrePop Currency (0)" xfId="2765" xr:uid="{00000000-0005-0000-0000-0000E8140000}"/>
    <cellStyle name="PrePop Currency (0) 2" xfId="2766" xr:uid="{00000000-0005-0000-0000-0000E9140000}"/>
    <cellStyle name="PrePop Currency (2)" xfId="2767" xr:uid="{00000000-0005-0000-0000-0000EA140000}"/>
    <cellStyle name="PrePop Currency (2) 2" xfId="2768" xr:uid="{00000000-0005-0000-0000-0000EB140000}"/>
    <cellStyle name="PrePop Units (0)" xfId="2769" xr:uid="{00000000-0005-0000-0000-0000EC140000}"/>
    <cellStyle name="PrePop Units (0) 2" xfId="2770" xr:uid="{00000000-0005-0000-0000-0000ED140000}"/>
    <cellStyle name="PrePop Units (1)" xfId="2771" xr:uid="{00000000-0005-0000-0000-0000EE140000}"/>
    <cellStyle name="PrePop Units (1) 2" xfId="2772" xr:uid="{00000000-0005-0000-0000-0000EF140000}"/>
    <cellStyle name="PrePop Units (2)" xfId="2773" xr:uid="{00000000-0005-0000-0000-0000F0140000}"/>
    <cellStyle name="PrePop Units (2) 2" xfId="2774" xr:uid="{00000000-0005-0000-0000-0000F1140000}"/>
    <cellStyle name="PresentationZero" xfId="5717" xr:uid="{00000000-0005-0000-0000-0000F2140000}"/>
    <cellStyle name="Price" xfId="2775" xr:uid="{00000000-0005-0000-0000-0000F3140000}"/>
    <cellStyle name="Price 2" xfId="5718" xr:uid="{00000000-0005-0000-0000-0000F4140000}"/>
    <cellStyle name="PriceUn" xfId="2776" xr:uid="{00000000-0005-0000-0000-0000F5140000}"/>
    <cellStyle name="pricing" xfId="2777" xr:uid="{00000000-0005-0000-0000-0000F6140000}"/>
    <cellStyle name="Procent_BINV" xfId="2778" xr:uid="{00000000-0005-0000-0000-0000F7140000}"/>
    <cellStyle name="Product Title" xfId="2779" xr:uid="{00000000-0005-0000-0000-0000F8140000}"/>
    <cellStyle name="Project" xfId="89" xr:uid="{00000000-0005-0000-0000-0000F9140000}"/>
    <cellStyle name="Project 2" xfId="3760" xr:uid="{00000000-0005-0000-0000-0000FA140000}"/>
    <cellStyle name="Project 3" xfId="3580" xr:uid="{00000000-0005-0000-0000-0000FB140000}"/>
    <cellStyle name="Project 4" xfId="3111" xr:uid="{00000000-0005-0000-0000-0000FC140000}"/>
    <cellStyle name="PSChar" xfId="2780" xr:uid="{00000000-0005-0000-0000-0000FD140000}"/>
    <cellStyle name="PSDate" xfId="2781" xr:uid="{00000000-0005-0000-0000-0000FE140000}"/>
    <cellStyle name="PSDec" xfId="2782" xr:uid="{00000000-0005-0000-0000-0000FF140000}"/>
    <cellStyle name="PSHeading" xfId="2783" xr:uid="{00000000-0005-0000-0000-000000150000}"/>
    <cellStyle name="PSHeading 2" xfId="3769" xr:uid="{00000000-0005-0000-0000-000001150000}"/>
    <cellStyle name="PSHeading 3" xfId="3294" xr:uid="{00000000-0005-0000-0000-000002150000}"/>
    <cellStyle name="PSHeading 4" xfId="3139" xr:uid="{00000000-0005-0000-0000-000003150000}"/>
    <cellStyle name="PSInt" xfId="2784" xr:uid="{00000000-0005-0000-0000-000004150000}"/>
    <cellStyle name="PSSpacer" xfId="2785" xr:uid="{00000000-0005-0000-0000-000005150000}"/>
    <cellStyle name="qTR" xfId="2786" xr:uid="{00000000-0005-0000-0000-000006150000}"/>
    <cellStyle name="Quarter" xfId="2787" xr:uid="{00000000-0005-0000-0000-000007150000}"/>
    <cellStyle name="Randy" xfId="2788" xr:uid="{00000000-0005-0000-0000-000008150000}"/>
    <cellStyle name="rate" xfId="5719" xr:uid="{00000000-0005-0000-0000-000009150000}"/>
    <cellStyle name="RateCell" xfId="2789" xr:uid="{00000000-0005-0000-0000-00000A150000}"/>
    <cellStyle name="RateHdr" xfId="2790" xr:uid="{00000000-0005-0000-0000-00000B150000}"/>
    <cellStyle name="Ratio" xfId="5720" xr:uid="{00000000-0005-0000-0000-00000C150000}"/>
    <cellStyle name="Ratio Comma" xfId="5721" xr:uid="{00000000-0005-0000-0000-00000D150000}"/>
    <cellStyle name="Ratio_270 Model 3-24-02v19" xfId="5558" xr:uid="{00000000-0005-0000-0000-00000E150000}"/>
    <cellStyle name="regstoresfromspecstores" xfId="2791" xr:uid="{00000000-0005-0000-0000-00000F150000}"/>
    <cellStyle name="Report_Name" xfId="5722" xr:uid="{00000000-0005-0000-0000-000010150000}"/>
    <cellStyle name="RESIDUAL ASSET" xfId="2792" xr:uid="{00000000-0005-0000-0000-000011150000}"/>
    <cellStyle name="RETAIL SHOP" xfId="2793" xr:uid="{00000000-0005-0000-0000-000012150000}"/>
    <cellStyle name="RETAIL SHOP 2" xfId="2794" xr:uid="{00000000-0005-0000-0000-000013150000}"/>
    <cellStyle name="RevList" xfId="2795" xr:uid="{00000000-0005-0000-0000-000014150000}"/>
    <cellStyle name="Right" xfId="2796" xr:uid="{00000000-0005-0000-0000-000015150000}"/>
    <cellStyle name="Right 2" xfId="5388" xr:uid="{00000000-0005-0000-0000-000016150000}"/>
    <cellStyle name="Right 2 2" xfId="6442" xr:uid="{EFAC93AA-7231-41F7-B9D5-097CE58F0046}"/>
    <cellStyle name="Right Margin" xfId="90" xr:uid="{00000000-0005-0000-0000-000017150000}"/>
    <cellStyle name="Right Margin 2" xfId="5724" xr:uid="{00000000-0005-0000-0000-000018150000}"/>
    <cellStyle name="Right Margin 3" xfId="5725" xr:uid="{00000000-0005-0000-0000-000019150000}"/>
    <cellStyle name="RM" xfId="5726" xr:uid="{00000000-0005-0000-0000-00001A150000}"/>
    <cellStyle name="s" xfId="2797" xr:uid="{00000000-0005-0000-0000-00001B150000}"/>
    <cellStyle name="s loan repayment" xfId="5727" xr:uid="{00000000-0005-0000-0000-00001C150000}"/>
    <cellStyle name="s]_x000d__x000a_spooler=yes_x000d__x000a_run=_x000d__x000a_Beep=yes_x000d__x000a_NullPort=None_x000d__x000a_BorderWidth=3_x000d__x000a_CursorBlinkRate=530_x000d__x000a_DoubleClickSpeed=452_x000d__x000a_Programs=com " xfId="2798" xr:uid="{00000000-0005-0000-0000-00001D150000}"/>
    <cellStyle name="s]_x000d__x000a_spooler=yes_x000d__x000a_run=_x000d__x000a_Beep=yes_x000d__x000a_NullPort=None_x000d__x000a_BorderWidth=3_x000d__x000a_CursorBlinkRate=530_x000d__x000a_DoubleClickSpeed=452_x000d__x000a_Programs=com  2" xfId="2799" xr:uid="{00000000-0005-0000-0000-00001E150000}"/>
    <cellStyle name="s_Cash Flow for Tener 072210" xfId="2800" xr:uid="{00000000-0005-0000-0000-00001F150000}"/>
    <cellStyle name="SAPBEXaggData" xfId="5728" xr:uid="{00000000-0005-0000-0000-000020150000}"/>
    <cellStyle name="SAPBEXaggData 2" xfId="5803" xr:uid="{00000000-0005-0000-0000-000021150000}"/>
    <cellStyle name="SAPBEXaggData 2 2" xfId="6509" xr:uid="{54BA264A-F2A1-4CB0-BDD5-4D34AA26525C}"/>
    <cellStyle name="SAPBEXaggData 3" xfId="6464" xr:uid="{BB6F8694-5947-499E-85A7-81FA07641B3D}"/>
    <cellStyle name="SAPBEXaggDataEmph" xfId="5729" xr:uid="{00000000-0005-0000-0000-000022150000}"/>
    <cellStyle name="SAPBEXaggDataEmph 2" xfId="5804" xr:uid="{00000000-0005-0000-0000-000023150000}"/>
    <cellStyle name="SAPBEXaggDataEmph 2 2" xfId="6510" xr:uid="{70094C78-6F68-4F86-8BC8-6E7EF54D656A}"/>
    <cellStyle name="SAPBEXaggDataEmph 3" xfId="6465" xr:uid="{18F139D8-0072-4536-A10E-CE0C5EA98BB8}"/>
    <cellStyle name="SAPBEXaggItem" xfId="5730" xr:uid="{00000000-0005-0000-0000-000024150000}"/>
    <cellStyle name="SAPBEXaggItem 2" xfId="5805" xr:uid="{00000000-0005-0000-0000-000025150000}"/>
    <cellStyle name="SAPBEXaggItem 2 2" xfId="6511" xr:uid="{C7183A1B-2789-418D-8AFA-F05AC280CFC2}"/>
    <cellStyle name="SAPBEXaggItem 3" xfId="6466" xr:uid="{4108D865-5F5F-49FB-871A-067F79E076F2}"/>
    <cellStyle name="SAPBEXaggItemX" xfId="5731" xr:uid="{00000000-0005-0000-0000-000026150000}"/>
    <cellStyle name="SAPBEXaggItemX 2" xfId="5806" xr:uid="{00000000-0005-0000-0000-000027150000}"/>
    <cellStyle name="SAPBEXaggItemX 2 2" xfId="6512" xr:uid="{AD1CBA40-F035-41D9-9D9F-AD5B4BA954BE}"/>
    <cellStyle name="SAPBEXaggItemX 3" xfId="6467" xr:uid="{16AE706C-E56E-46AC-A766-EF60533E98BE}"/>
    <cellStyle name="SAPBEXchaText" xfId="5732" xr:uid="{00000000-0005-0000-0000-000028150000}"/>
    <cellStyle name="SAPBEXchaText 2" xfId="5807" xr:uid="{00000000-0005-0000-0000-000029150000}"/>
    <cellStyle name="SAPBEXchaText 2 2" xfId="6513" xr:uid="{B63B4B5C-450C-4E63-AD0C-86F8F976A78D}"/>
    <cellStyle name="SAPBEXchaText 3" xfId="6468" xr:uid="{3D5A5ED3-279B-4EE2-9637-E31DA992706B}"/>
    <cellStyle name="SAPBEXexcBad7" xfId="5652" xr:uid="{00000000-0005-0000-0000-00002A150000}"/>
    <cellStyle name="SAPBEXexcBad7 2" xfId="5800" xr:uid="{00000000-0005-0000-0000-00002B150000}"/>
    <cellStyle name="SAPBEXexcBad7 2 2" xfId="6506" xr:uid="{CA265E64-DEDF-4F88-9780-947D61F1D9FE}"/>
    <cellStyle name="SAPBEXexcBad7 3" xfId="6459" xr:uid="{6626F150-1134-4008-AB73-DF6667419342}"/>
    <cellStyle name="SAPBEXexcBad8" xfId="5733" xr:uid="{00000000-0005-0000-0000-00002C150000}"/>
    <cellStyle name="SAPBEXexcBad8 2" xfId="5808" xr:uid="{00000000-0005-0000-0000-00002D150000}"/>
    <cellStyle name="SAPBEXexcBad8 2 2" xfId="6514" xr:uid="{0D792126-24E1-44C5-8EE7-482265D1C957}"/>
    <cellStyle name="SAPBEXexcBad8 3" xfId="6469" xr:uid="{26BE22E1-AB6D-426F-97FB-E2067268C7E1}"/>
    <cellStyle name="SAPBEXexcBad9" xfId="5734" xr:uid="{00000000-0005-0000-0000-00002E150000}"/>
    <cellStyle name="SAPBEXexcBad9 2" xfId="5809" xr:uid="{00000000-0005-0000-0000-00002F150000}"/>
    <cellStyle name="SAPBEXexcBad9 2 2" xfId="6515" xr:uid="{3C9E161C-FB07-48B4-9A81-5EECA68EB926}"/>
    <cellStyle name="SAPBEXexcBad9 3" xfId="6470" xr:uid="{2E700F7E-6690-4395-BD69-58FE3340366F}"/>
    <cellStyle name="SAPBEXexcCritical4" xfId="5735" xr:uid="{00000000-0005-0000-0000-000030150000}"/>
    <cellStyle name="SAPBEXexcCritical4 2" xfId="5810" xr:uid="{00000000-0005-0000-0000-000031150000}"/>
    <cellStyle name="SAPBEXexcCritical4 2 2" xfId="6516" xr:uid="{AE100273-AA96-4CD9-9E29-D3123F0ABCF6}"/>
    <cellStyle name="SAPBEXexcCritical4 3" xfId="6471" xr:uid="{17B8F4B1-8662-4DAF-B5FE-0B3CEE7497D0}"/>
    <cellStyle name="SAPBEXexcCritical5" xfId="5736" xr:uid="{00000000-0005-0000-0000-000032150000}"/>
    <cellStyle name="SAPBEXexcCritical5 2" xfId="5811" xr:uid="{00000000-0005-0000-0000-000033150000}"/>
    <cellStyle name="SAPBEXexcCritical5 2 2" xfId="6517" xr:uid="{F5BFEDA5-8A55-4D2E-8AF8-16AC8D1048C8}"/>
    <cellStyle name="SAPBEXexcCritical5 3" xfId="6472" xr:uid="{09E98544-C505-4B45-B4E9-47E80B7FDDF8}"/>
    <cellStyle name="SAPBEXexcCritical6" xfId="5716" xr:uid="{00000000-0005-0000-0000-000034150000}"/>
    <cellStyle name="SAPBEXexcCritical6 2" xfId="5802" xr:uid="{00000000-0005-0000-0000-000035150000}"/>
    <cellStyle name="SAPBEXexcCritical6 2 2" xfId="6508" xr:uid="{94330278-6E3E-47CF-8D5F-6730F4D204B8}"/>
    <cellStyle name="SAPBEXexcCritical6 3" xfId="6463" xr:uid="{62A92D46-80BE-4F1F-B8AB-0AE0FE95A288}"/>
    <cellStyle name="SAPBEXexcGood1" xfId="5737" xr:uid="{00000000-0005-0000-0000-000036150000}"/>
    <cellStyle name="SAPBEXexcGood1 2" xfId="5812" xr:uid="{00000000-0005-0000-0000-000037150000}"/>
    <cellStyle name="SAPBEXexcGood1 2 2" xfId="6518" xr:uid="{BBEE2959-F30D-4E23-891F-6694A7FD9419}"/>
    <cellStyle name="SAPBEXexcGood1 3" xfId="6473" xr:uid="{99B7D494-BB23-41FD-B7B7-06093D11B871}"/>
    <cellStyle name="SAPBEXexcGood2" xfId="5738" xr:uid="{00000000-0005-0000-0000-000038150000}"/>
    <cellStyle name="SAPBEXexcGood2 2" xfId="5813" xr:uid="{00000000-0005-0000-0000-000039150000}"/>
    <cellStyle name="SAPBEXexcGood2 2 2" xfId="6519" xr:uid="{DBDEB65D-0539-42F6-BB1B-7E8D46501389}"/>
    <cellStyle name="SAPBEXexcGood2 3" xfId="6474" xr:uid="{23313674-2608-4014-8B9B-06746A118A91}"/>
    <cellStyle name="SAPBEXexcGood3" xfId="5739" xr:uid="{00000000-0005-0000-0000-00003A150000}"/>
    <cellStyle name="SAPBEXexcGood3 2" xfId="5814" xr:uid="{00000000-0005-0000-0000-00003B150000}"/>
    <cellStyle name="SAPBEXexcGood3 2 2" xfId="6520" xr:uid="{C1C245D5-3F88-4560-9C4C-F5D7B5F78EBB}"/>
    <cellStyle name="SAPBEXexcGood3 3" xfId="6475" xr:uid="{A6D07109-5BA9-4A5D-8D6A-B852D1CD0C18}"/>
    <cellStyle name="SAPBEXfilterDrill" xfId="5740" xr:uid="{00000000-0005-0000-0000-00003C150000}"/>
    <cellStyle name="SAPBEXfilterDrill 2" xfId="5815" xr:uid="{00000000-0005-0000-0000-00003D150000}"/>
    <cellStyle name="SAPBEXfilterDrill 2 2" xfId="6521" xr:uid="{F9D66487-C6CD-49A3-BFE5-AFE9601E9B67}"/>
    <cellStyle name="SAPBEXfilterDrill 3" xfId="6476" xr:uid="{D5091B15-D504-4C93-B523-DDD28F3F86AB}"/>
    <cellStyle name="SAPBEXfilterItem" xfId="5741" xr:uid="{00000000-0005-0000-0000-00003E150000}"/>
    <cellStyle name="SAPBEXfilterItem 2" xfId="6477" xr:uid="{E1DC8A5F-0460-4098-AFFF-22565328E291}"/>
    <cellStyle name="SAPBEXfilterText" xfId="5742" xr:uid="{00000000-0005-0000-0000-00003F150000}"/>
    <cellStyle name="SAPBEXformats" xfId="5743" xr:uid="{00000000-0005-0000-0000-000040150000}"/>
    <cellStyle name="SAPBEXformats 2" xfId="5816" xr:uid="{00000000-0005-0000-0000-000041150000}"/>
    <cellStyle name="SAPBEXformats 2 2" xfId="6522" xr:uid="{D935ABF9-AB7A-4310-89CC-C0195A9DD72B}"/>
    <cellStyle name="SAPBEXformats 3" xfId="6478" xr:uid="{6BC361E0-56F8-42FF-99C5-4F49B100E83C}"/>
    <cellStyle name="SAPBEXheaderItem" xfId="5744" xr:uid="{00000000-0005-0000-0000-000042150000}"/>
    <cellStyle name="SAPBEXheaderItem 2" xfId="5817" xr:uid="{00000000-0005-0000-0000-000043150000}"/>
    <cellStyle name="SAPBEXheaderItem 2 2" xfId="6523" xr:uid="{67504A0C-23A8-496B-AD9E-99557B92B2BC}"/>
    <cellStyle name="SAPBEXheaderItem 3" xfId="6479" xr:uid="{1969B175-4E30-4D44-A70F-AB4CE28B3E75}"/>
    <cellStyle name="SAPBEXheaderText" xfId="5745" xr:uid="{00000000-0005-0000-0000-000044150000}"/>
    <cellStyle name="SAPBEXheaderText 2" xfId="5818" xr:uid="{00000000-0005-0000-0000-000045150000}"/>
    <cellStyle name="SAPBEXheaderText 2 2" xfId="6524" xr:uid="{80FA93A9-E402-4D7F-8A35-5884262DC4DF}"/>
    <cellStyle name="SAPBEXheaderText 3" xfId="6480" xr:uid="{C6007441-B039-4181-BE68-51453AB7D161}"/>
    <cellStyle name="SAPBEXHLevel0" xfId="5746" xr:uid="{00000000-0005-0000-0000-000046150000}"/>
    <cellStyle name="SAPBEXHLevel0 2" xfId="5819" xr:uid="{00000000-0005-0000-0000-000047150000}"/>
    <cellStyle name="SAPBEXHLevel0 2 2" xfId="6525" xr:uid="{32A4AB08-B055-49DA-B5E7-563297749811}"/>
    <cellStyle name="SAPBEXHLevel0 3" xfId="6481" xr:uid="{30D63460-BDB0-4074-8908-2AD25398F6FD}"/>
    <cellStyle name="SAPBEXHLevel0X" xfId="5747" xr:uid="{00000000-0005-0000-0000-000048150000}"/>
    <cellStyle name="SAPBEXHLevel0X 2" xfId="5820" xr:uid="{00000000-0005-0000-0000-000049150000}"/>
    <cellStyle name="SAPBEXHLevel0X 2 2" xfId="6526" xr:uid="{41C77E3C-0E1B-4288-9DB0-54A4C135D048}"/>
    <cellStyle name="SAPBEXHLevel0X 3" xfId="6482" xr:uid="{F4C29398-D6E1-46BD-8EE4-82D1E73560B4}"/>
    <cellStyle name="SAPBEXHLevel1" xfId="5748" xr:uid="{00000000-0005-0000-0000-00004A150000}"/>
    <cellStyle name="SAPBEXHLevel1 2" xfId="5821" xr:uid="{00000000-0005-0000-0000-00004B150000}"/>
    <cellStyle name="SAPBEXHLevel1 2 2" xfId="6527" xr:uid="{79343048-12AD-470E-83DB-809C5AB2951E}"/>
    <cellStyle name="SAPBEXHLevel1 3" xfId="6483" xr:uid="{77D6296F-0451-488E-8E03-AA5956CFADAA}"/>
    <cellStyle name="SAPBEXHLevel1X" xfId="5749" xr:uid="{00000000-0005-0000-0000-00004C150000}"/>
    <cellStyle name="SAPBEXHLevel1X 2" xfId="5822" xr:uid="{00000000-0005-0000-0000-00004D150000}"/>
    <cellStyle name="SAPBEXHLevel1X 2 2" xfId="6528" xr:uid="{B690703B-B8FE-4479-BA99-5D11E08F27F4}"/>
    <cellStyle name="SAPBEXHLevel1X 3" xfId="6484" xr:uid="{1D192073-223C-4477-9EC3-754B8F6286DB}"/>
    <cellStyle name="SAPBEXHLevel2" xfId="5750" xr:uid="{00000000-0005-0000-0000-00004E150000}"/>
    <cellStyle name="SAPBEXHLevel2 2" xfId="5823" xr:uid="{00000000-0005-0000-0000-00004F150000}"/>
    <cellStyle name="SAPBEXHLevel2 2 2" xfId="6529" xr:uid="{2006A802-3CE0-476B-B0F5-5FC541E868AE}"/>
    <cellStyle name="SAPBEXHLevel2 3" xfId="6485" xr:uid="{5CD46EE0-B491-4C6C-9965-84929719C805}"/>
    <cellStyle name="SAPBEXHLevel2X" xfId="5751" xr:uid="{00000000-0005-0000-0000-000050150000}"/>
    <cellStyle name="SAPBEXHLevel2X 2" xfId="5824" xr:uid="{00000000-0005-0000-0000-000051150000}"/>
    <cellStyle name="SAPBEXHLevel2X 2 2" xfId="6530" xr:uid="{33536198-5C47-41A8-94A0-8B2DF4059AA5}"/>
    <cellStyle name="SAPBEXHLevel2X 3" xfId="6486" xr:uid="{6367696C-2824-431F-9E94-23D778FA0E3E}"/>
    <cellStyle name="SAPBEXHLevel3" xfId="5752" xr:uid="{00000000-0005-0000-0000-000052150000}"/>
    <cellStyle name="SAPBEXHLevel3 2" xfId="5825" xr:uid="{00000000-0005-0000-0000-000053150000}"/>
    <cellStyle name="SAPBEXHLevel3 2 2" xfId="6531" xr:uid="{DD58D659-2C66-4BE2-814C-9F494EBEF49C}"/>
    <cellStyle name="SAPBEXHLevel3 3" xfId="6487" xr:uid="{724967DE-2B15-4384-BBEC-576C1766B6D6}"/>
    <cellStyle name="SAPBEXHLevel3X" xfId="5753" xr:uid="{00000000-0005-0000-0000-000054150000}"/>
    <cellStyle name="SAPBEXHLevel3X 2" xfId="5826" xr:uid="{00000000-0005-0000-0000-000055150000}"/>
    <cellStyle name="SAPBEXHLevel3X 2 2" xfId="6532" xr:uid="{03CE4A9A-B932-4D1C-A218-71FCAA7FDB9E}"/>
    <cellStyle name="SAPBEXHLevel3X 3" xfId="6488" xr:uid="{B1DD451B-97E0-4709-933A-06F27C2266CC}"/>
    <cellStyle name="SAPBEXresData" xfId="5754" xr:uid="{00000000-0005-0000-0000-000056150000}"/>
    <cellStyle name="SAPBEXresData 2" xfId="5827" xr:uid="{00000000-0005-0000-0000-000057150000}"/>
    <cellStyle name="SAPBEXresData 2 2" xfId="6533" xr:uid="{DEE6C035-8A9C-4DEC-8C9F-9971656F8A53}"/>
    <cellStyle name="SAPBEXresData 3" xfId="6489" xr:uid="{F64FA18B-DC89-4B0E-A173-7BF3E5184FCF}"/>
    <cellStyle name="SAPBEXresDataEmph" xfId="5755" xr:uid="{00000000-0005-0000-0000-000058150000}"/>
    <cellStyle name="SAPBEXresDataEmph 2" xfId="5828" xr:uid="{00000000-0005-0000-0000-000059150000}"/>
    <cellStyle name="SAPBEXresDataEmph 2 2" xfId="6534" xr:uid="{A3B059B4-55D8-44C4-94FA-68E6482363A7}"/>
    <cellStyle name="SAPBEXresDataEmph 3" xfId="6490" xr:uid="{3ACDE168-0B5E-4BC3-9D43-2D846B4E94EA}"/>
    <cellStyle name="SAPBEXresItem" xfId="5756" xr:uid="{00000000-0005-0000-0000-00005A150000}"/>
    <cellStyle name="SAPBEXresItem 2" xfId="5829" xr:uid="{00000000-0005-0000-0000-00005B150000}"/>
    <cellStyle name="SAPBEXresItem 2 2" xfId="6535" xr:uid="{37A95A23-EC40-43CA-8969-798E7A5728E7}"/>
    <cellStyle name="SAPBEXresItem 3" xfId="6491" xr:uid="{3051067D-190B-4BE7-8BEF-A20BAFC2A617}"/>
    <cellStyle name="SAPBEXresItemX" xfId="5757" xr:uid="{00000000-0005-0000-0000-00005C150000}"/>
    <cellStyle name="SAPBEXresItemX 2" xfId="5830" xr:uid="{00000000-0005-0000-0000-00005D150000}"/>
    <cellStyle name="SAPBEXresItemX 2 2" xfId="6536" xr:uid="{7D4EB337-F592-4338-83D0-D8B846C91791}"/>
    <cellStyle name="SAPBEXresItemX 3" xfId="6492" xr:uid="{B91ECA9C-E92F-4546-AD7F-39CAD969EE4A}"/>
    <cellStyle name="SAPBEXstdData" xfId="5758" xr:uid="{00000000-0005-0000-0000-00005E150000}"/>
    <cellStyle name="SAPBEXstdData 2" xfId="5831" xr:uid="{00000000-0005-0000-0000-00005F150000}"/>
    <cellStyle name="SAPBEXstdData 2 2" xfId="6537" xr:uid="{113327E1-D5A1-436C-BB74-BC00D004B118}"/>
    <cellStyle name="SAPBEXstdData 3" xfId="6493" xr:uid="{13EB74C1-D268-40C5-AF84-594A6837E2CD}"/>
    <cellStyle name="SAPBEXstdDataEmph" xfId="5759" xr:uid="{00000000-0005-0000-0000-000060150000}"/>
    <cellStyle name="SAPBEXstdDataEmph 2" xfId="5832" xr:uid="{00000000-0005-0000-0000-000061150000}"/>
    <cellStyle name="SAPBEXstdDataEmph 2 2" xfId="6538" xr:uid="{710A733C-1843-4094-96C5-D6C44874CA54}"/>
    <cellStyle name="SAPBEXstdDataEmph 3" xfId="6494" xr:uid="{6265A0EF-8B8E-4D85-BCBC-CB361DB197A0}"/>
    <cellStyle name="SAPBEXstdItem" xfId="5760" xr:uid="{00000000-0005-0000-0000-000062150000}"/>
    <cellStyle name="SAPBEXstdItem 2" xfId="5833" xr:uid="{00000000-0005-0000-0000-000063150000}"/>
    <cellStyle name="SAPBEXstdItem 2 2" xfId="6539" xr:uid="{C28BAB3C-EBA1-42C0-B8F5-7409A4A20E58}"/>
    <cellStyle name="SAPBEXstdItem 3" xfId="6495" xr:uid="{A0E2F31D-EA69-469E-8D66-D267518FB5E9}"/>
    <cellStyle name="SAPBEXstdItemX" xfId="5564" xr:uid="{00000000-0005-0000-0000-000064150000}"/>
    <cellStyle name="SAPBEXstdItemX 2" xfId="5795" xr:uid="{00000000-0005-0000-0000-000065150000}"/>
    <cellStyle name="SAPBEXstdItemX 2 2" xfId="6502" xr:uid="{1B555210-38DB-4166-8DC5-8502BFF0B78C}"/>
    <cellStyle name="SAPBEXstdItemX 3" xfId="6452" xr:uid="{89FC3F9F-0F10-4DE3-B831-307728A754AA}"/>
    <cellStyle name="SAPBEXtitle" xfId="5761" xr:uid="{00000000-0005-0000-0000-000066150000}"/>
    <cellStyle name="SAPBEXundefined" xfId="5762" xr:uid="{00000000-0005-0000-0000-000067150000}"/>
    <cellStyle name="SAPBEXundefined 2" xfId="5834" xr:uid="{00000000-0005-0000-0000-000068150000}"/>
    <cellStyle name="SAPBEXundefined 2 2" xfId="6540" xr:uid="{DCF02A65-CE83-480A-AC31-22C5494CA555}"/>
    <cellStyle name="SAPBEXundefined 3" xfId="6496" xr:uid="{0AC0AB36-F452-450E-A8CE-703ED931C162}"/>
    <cellStyle name="Scenario" xfId="91" xr:uid="{00000000-0005-0000-0000-000069150000}"/>
    <cellStyle name="Scenario 2" xfId="2801" xr:uid="{00000000-0005-0000-0000-00006A150000}"/>
    <cellStyle name="Scenario 2 2" xfId="3694" xr:uid="{00000000-0005-0000-0000-00006B150000}"/>
    <cellStyle name="Scenario 2 2 2" xfId="6124" xr:uid="{BBB72546-C509-4E16-B4EE-45B4F3F1388F}"/>
    <cellStyle name="Scenario 2 3" xfId="3799" xr:uid="{00000000-0005-0000-0000-00006C150000}"/>
    <cellStyle name="Scenario 2 3 2" xfId="6162" xr:uid="{C00539C4-9369-4960-8C3B-D9B066022F4F}"/>
    <cellStyle name="Scenario 2 4" xfId="3296" xr:uid="{00000000-0005-0000-0000-00006D150000}"/>
    <cellStyle name="Scenario 2 4 2" xfId="6042" xr:uid="{03FD7AAC-80DF-4EAE-97F1-9290E91D67E8}"/>
    <cellStyle name="Scenario 2 5" xfId="5953" xr:uid="{8A7A2036-C8C7-4900-B26C-13B5F4D2F26E}"/>
    <cellStyle name="Scenario 3" xfId="3068" xr:uid="{00000000-0005-0000-0000-00006E150000}"/>
    <cellStyle name="Scenario 3 2" xfId="3896" xr:uid="{00000000-0005-0000-0000-00006F150000}"/>
    <cellStyle name="Scenario 3 2 2" xfId="6178" xr:uid="{A6BA8609-18AD-4AFD-A1DB-140C76175F00}"/>
    <cellStyle name="Scenario 3 3" xfId="5980" xr:uid="{184D2ECF-2EDF-48C8-952A-1C5F322F1CB9}"/>
    <cellStyle name="Scenario 4" xfId="219" xr:uid="{00000000-0005-0000-0000-000070150000}"/>
    <cellStyle name="Scenario 4 2" xfId="5860" xr:uid="{2C238366-94CD-41D1-9779-3047B4B1732C}"/>
    <cellStyle name="Scenario 5" xfId="5763" xr:uid="{00000000-0005-0000-0000-000071150000}"/>
    <cellStyle name="Scenario 5 2" xfId="6497" xr:uid="{90BC3891-24EE-4A0A-B343-AD19347028CC}"/>
    <cellStyle name="Scenario 6" xfId="5854" xr:uid="{EB34EE21-2332-4DB2-A247-B96DD225C312}"/>
    <cellStyle name="SchedGen" xfId="2802" xr:uid="{00000000-0005-0000-0000-000072150000}"/>
    <cellStyle name="SchedValue" xfId="2803" xr:uid="{00000000-0005-0000-0000-000073150000}"/>
    <cellStyle name="SchedValue2" xfId="2804" xr:uid="{00000000-0005-0000-0000-000074150000}"/>
    <cellStyle name="ScotchRule" xfId="2805" xr:uid="{00000000-0005-0000-0000-000075150000}"/>
    <cellStyle name="SEA VIEW OFF 4 FL" xfId="2806" xr:uid="{00000000-0005-0000-0000-000076150000}"/>
    <cellStyle name="SEA VIEW OFF 4 FL 2" xfId="2807" xr:uid="{00000000-0005-0000-0000-000077150000}"/>
    <cellStyle name="sea VIEW OFFICE - 1ST FL" xfId="2808" xr:uid="{00000000-0005-0000-0000-000078150000}"/>
    <cellStyle name="sea VIEW OFFICE - 1ST FL 2" xfId="2809" xr:uid="{00000000-0005-0000-0000-000079150000}"/>
    <cellStyle name="SEA VIEW OFFICE 2&amp;3" xfId="2810" xr:uid="{00000000-0005-0000-0000-00007A150000}"/>
    <cellStyle name="SEA VIEW OFFICE 2&amp;3 2" xfId="2811" xr:uid="{00000000-0005-0000-0000-00007B150000}"/>
    <cellStyle name="Second Heading_dynex lihtcperm" xfId="2812" xr:uid="{00000000-0005-0000-0000-00007C150000}"/>
    <cellStyle name="Section" xfId="5764" xr:uid="{00000000-0005-0000-0000-00007D150000}"/>
    <cellStyle name="SectionTitle" xfId="2813" xr:uid="{00000000-0005-0000-0000-00007E150000}"/>
    <cellStyle name="Separador de milhares [0]_Arrendamiraflores" xfId="2814" xr:uid="{00000000-0005-0000-0000-00007F150000}"/>
    <cellStyle name="shade" xfId="4795" xr:uid="{00000000-0005-0000-0000-000080150000}"/>
    <cellStyle name="shade 10" xfId="4796" xr:uid="{00000000-0005-0000-0000-000081150000}"/>
    <cellStyle name="shade 11" xfId="4797" xr:uid="{00000000-0005-0000-0000-000082150000}"/>
    <cellStyle name="shade 12" xfId="4798" xr:uid="{00000000-0005-0000-0000-000083150000}"/>
    <cellStyle name="shade 13" xfId="4799" xr:uid="{00000000-0005-0000-0000-000084150000}"/>
    <cellStyle name="shade 14" xfId="4800" xr:uid="{00000000-0005-0000-0000-000085150000}"/>
    <cellStyle name="shade 15" xfId="4801" xr:uid="{00000000-0005-0000-0000-000086150000}"/>
    <cellStyle name="shade 16" xfId="4802" xr:uid="{00000000-0005-0000-0000-000087150000}"/>
    <cellStyle name="shade 17" xfId="4803" xr:uid="{00000000-0005-0000-0000-000088150000}"/>
    <cellStyle name="shade 18" xfId="4804" xr:uid="{00000000-0005-0000-0000-000089150000}"/>
    <cellStyle name="shade 19" xfId="4805" xr:uid="{00000000-0005-0000-0000-00008A150000}"/>
    <cellStyle name="shade 2" xfId="4806" xr:uid="{00000000-0005-0000-0000-00008B150000}"/>
    <cellStyle name="shade 2 2" xfId="4807" xr:uid="{00000000-0005-0000-0000-00008C150000}"/>
    <cellStyle name="shade 20" xfId="4808" xr:uid="{00000000-0005-0000-0000-00008D150000}"/>
    <cellStyle name="shade 21" xfId="4809" xr:uid="{00000000-0005-0000-0000-00008E150000}"/>
    <cellStyle name="shade 22" xfId="4810" xr:uid="{00000000-0005-0000-0000-00008F150000}"/>
    <cellStyle name="shade 23" xfId="4811" xr:uid="{00000000-0005-0000-0000-000090150000}"/>
    <cellStyle name="shade 24" xfId="4812" xr:uid="{00000000-0005-0000-0000-000091150000}"/>
    <cellStyle name="shade 25" xfId="4813" xr:uid="{00000000-0005-0000-0000-000092150000}"/>
    <cellStyle name="shade 26" xfId="4814" xr:uid="{00000000-0005-0000-0000-000093150000}"/>
    <cellStyle name="shade 27" xfId="4815" xr:uid="{00000000-0005-0000-0000-000094150000}"/>
    <cellStyle name="shade 28" xfId="4816" xr:uid="{00000000-0005-0000-0000-000095150000}"/>
    <cellStyle name="shade 29" xfId="4817" xr:uid="{00000000-0005-0000-0000-000096150000}"/>
    <cellStyle name="shade 3" xfId="4818" xr:uid="{00000000-0005-0000-0000-000097150000}"/>
    <cellStyle name="Shade 30" xfId="5765" xr:uid="{00000000-0005-0000-0000-000098150000}"/>
    <cellStyle name="Shade 30 2" xfId="6498" xr:uid="{E0A6281A-CD37-4225-8F5C-727B33AF81CC}"/>
    <cellStyle name="Shade 31" xfId="5835" xr:uid="{00000000-0005-0000-0000-000099150000}"/>
    <cellStyle name="Shade 31 2" xfId="6541" xr:uid="{F0C306ED-F80F-479D-84CC-E3CA69A6E4E2}"/>
    <cellStyle name="shade 4" xfId="4819" xr:uid="{00000000-0005-0000-0000-00009A150000}"/>
    <cellStyle name="shade 5" xfId="4820" xr:uid="{00000000-0005-0000-0000-00009B150000}"/>
    <cellStyle name="shade 6" xfId="4821" xr:uid="{00000000-0005-0000-0000-00009C150000}"/>
    <cellStyle name="shade 7" xfId="4822" xr:uid="{00000000-0005-0000-0000-00009D150000}"/>
    <cellStyle name="shade 8" xfId="4823" xr:uid="{00000000-0005-0000-0000-00009E150000}"/>
    <cellStyle name="shade 9" xfId="4824" xr:uid="{00000000-0005-0000-0000-00009F150000}"/>
    <cellStyle name="shade_Input 2 - Sources of Funds" xfId="5846" xr:uid="{00000000-0005-0000-0000-0000A0150000}"/>
    <cellStyle name="Shaded" xfId="2815" xr:uid="{00000000-0005-0000-0000-0000A1150000}"/>
    <cellStyle name="SHADEDSTORES" xfId="2816" xr:uid="{00000000-0005-0000-0000-0000A2150000}"/>
    <cellStyle name="SHADEDSTORES 2" xfId="3695" xr:uid="{00000000-0005-0000-0000-0000A3150000}"/>
    <cellStyle name="SHADEDSTORES 2 2" xfId="3962" xr:uid="{00000000-0005-0000-0000-0000A4150000}"/>
    <cellStyle name="SHADEDSTORES 2 2 2" xfId="6222" xr:uid="{72D8D53F-070A-4E9B-A43A-BA4CC9C81363}"/>
    <cellStyle name="SHADEDSTORES 2 3" xfId="6125" xr:uid="{72BD33E9-B489-402F-BB11-788FF2E1F973}"/>
    <cellStyle name="SHADEDSTORES 3" xfId="5954" xr:uid="{3D070423-B550-46D3-B1C7-CC696C786849}"/>
    <cellStyle name="Shading" xfId="2817" xr:uid="{00000000-0005-0000-0000-0000A5150000}"/>
    <cellStyle name="Shares" xfId="5766" xr:uid="{00000000-0005-0000-0000-0000A6150000}"/>
    <cellStyle name="Sheet 0 Background" xfId="2818" xr:uid="{00000000-0005-0000-0000-0000A7150000}"/>
    <cellStyle name="Sheet_0_ 2 Table Border" xfId="2819" xr:uid="{00000000-0005-0000-0000-0000A8150000}"/>
    <cellStyle name="ShOut" xfId="2820" xr:uid="{00000000-0005-0000-0000-0000A9150000}"/>
    <cellStyle name="ShOut 2" xfId="2821" xr:uid="{00000000-0005-0000-0000-0000AA150000}"/>
    <cellStyle name="ShOut 2 2" xfId="2822" xr:uid="{00000000-0005-0000-0000-0000AB150000}"/>
    <cellStyle name="ShOut 2 2 2" xfId="2823" xr:uid="{00000000-0005-0000-0000-0000AC150000}"/>
    <cellStyle name="ShOut 2 3" xfId="2824" xr:uid="{00000000-0005-0000-0000-0000AD150000}"/>
    <cellStyle name="ShOut 2_120403-Utica-3rd Flr Gym" xfId="2825" xr:uid="{00000000-0005-0000-0000-0000AE150000}"/>
    <cellStyle name="ShOut 3" xfId="2826" xr:uid="{00000000-0005-0000-0000-0000AF150000}"/>
    <cellStyle name="ShOut_120403-Utica-3rd Flr Gym" xfId="2827" xr:uid="{00000000-0005-0000-0000-0000B0150000}"/>
    <cellStyle name="Single Accounting" xfId="2828" xr:uid="{00000000-0005-0000-0000-0000B1150000}"/>
    <cellStyle name="Single Accounting 2" xfId="4825" xr:uid="{00000000-0005-0000-0000-0000B2150000}"/>
    <cellStyle name="SingleLineAcctgn" xfId="5767" xr:uid="{00000000-0005-0000-0000-0000B3150000}"/>
    <cellStyle name="SingleLinePercent" xfId="5768" xr:uid="{00000000-0005-0000-0000-0000B4150000}"/>
    <cellStyle name="specstores" xfId="2829" xr:uid="{00000000-0005-0000-0000-0000B5150000}"/>
    <cellStyle name="Standaard_BINV" xfId="2830" xr:uid="{00000000-0005-0000-0000-0000B6150000}"/>
    <cellStyle name="Standard_Anpassen der Amortisation" xfId="104" xr:uid="{00000000-0005-0000-0000-0000B7150000}"/>
    <cellStyle name="Stock Comma" xfId="5770" xr:uid="{00000000-0005-0000-0000-0000B8150000}"/>
    <cellStyle name="Stock Price" xfId="5771" xr:uid="{00000000-0005-0000-0000-0000B9150000}"/>
    <cellStyle name="STYL1 - Style1" xfId="3371" xr:uid="{00000000-0005-0000-0000-0000BA150000}"/>
    <cellStyle name="STYL1 - Style1 2" xfId="3545" xr:uid="{00000000-0005-0000-0000-0000BB150000}"/>
    <cellStyle name="STYL1 - Style1 3" xfId="4826" xr:uid="{00000000-0005-0000-0000-0000BC150000}"/>
    <cellStyle name="STYL1 - Style1 4" xfId="4827" xr:uid="{00000000-0005-0000-0000-0000BD150000}"/>
    <cellStyle name="Style 1" xfId="2831" xr:uid="{00000000-0005-0000-0000-0000BE150000}"/>
    <cellStyle name="Style 1 2" xfId="2832" xr:uid="{00000000-0005-0000-0000-0000BF150000}"/>
    <cellStyle name="Style 1 2 2" xfId="2833" xr:uid="{00000000-0005-0000-0000-0000C0150000}"/>
    <cellStyle name="Style 1 2 2 2" xfId="2834" xr:uid="{00000000-0005-0000-0000-0000C1150000}"/>
    <cellStyle name="Style 1 2 3" xfId="2835" xr:uid="{00000000-0005-0000-0000-0000C2150000}"/>
    <cellStyle name="Style 1 3" xfId="2836" xr:uid="{00000000-0005-0000-0000-0000C3150000}"/>
    <cellStyle name="Style 1 4" xfId="5772" xr:uid="{00000000-0005-0000-0000-0000C4150000}"/>
    <cellStyle name="Style 1_88 Richardson 80-20 1-31-12 Invest Memo" xfId="2837" xr:uid="{00000000-0005-0000-0000-0000C5150000}"/>
    <cellStyle name="Style 2" xfId="2838" xr:uid="{00000000-0005-0000-0000-0000C6150000}"/>
    <cellStyle name="Style 2 2" xfId="2839" xr:uid="{00000000-0005-0000-0000-0000C7150000}"/>
    <cellStyle name="Style 2 2 2" xfId="2840" xr:uid="{00000000-0005-0000-0000-0000C8150000}"/>
    <cellStyle name="Style 2 2 2 2" xfId="2841" xr:uid="{00000000-0005-0000-0000-0000C9150000}"/>
    <cellStyle name="Style 2 2 3" xfId="2842" xr:uid="{00000000-0005-0000-0000-0000CA150000}"/>
    <cellStyle name="Style 2 2_120403-Utica-3rd Flr Gym" xfId="2843" xr:uid="{00000000-0005-0000-0000-0000CB150000}"/>
    <cellStyle name="Style 2 3" xfId="2844" xr:uid="{00000000-0005-0000-0000-0000CC150000}"/>
    <cellStyle name="Style 2_120403-Utica-3rd Flr Gym" xfId="2845" xr:uid="{00000000-0005-0000-0000-0000CD150000}"/>
    <cellStyle name="Style１" xfId="2846" xr:uid="{00000000-0005-0000-0000-0000CE150000}"/>
    <cellStyle name="STYLE1 - Style1" xfId="2847" xr:uid="{00000000-0005-0000-0000-0000CF150000}"/>
    <cellStyle name="STYLE2 - Style2" xfId="2848" xr:uid="{00000000-0005-0000-0000-0000D0150000}"/>
    <cellStyle name="STYLE3 - Style3" xfId="2849" xr:uid="{00000000-0005-0000-0000-0000D1150000}"/>
    <cellStyle name="STYLE4 - Style4" xfId="2850" xr:uid="{00000000-0005-0000-0000-0000D2150000}"/>
    <cellStyle name="Subhead" xfId="92" xr:uid="{00000000-0005-0000-0000-0000D3150000}"/>
    <cellStyle name="Subhead 2" xfId="3761" xr:uid="{00000000-0005-0000-0000-0000D4150000}"/>
    <cellStyle name="Subhead 3" xfId="3581" xr:uid="{00000000-0005-0000-0000-0000D5150000}"/>
    <cellStyle name="Subhead 4" xfId="3113" xr:uid="{00000000-0005-0000-0000-0000D6150000}"/>
    <cellStyle name="Subheader" xfId="93" xr:uid="{00000000-0005-0000-0000-0000D7150000}"/>
    <cellStyle name="Subheader 2" xfId="4880" xr:uid="{00000000-0005-0000-0000-0000D8150000}"/>
    <cellStyle name="Subtitle" xfId="2851" xr:uid="{00000000-0005-0000-0000-0000D9150000}"/>
    <cellStyle name="Subtitle - No ScotchRule" xfId="5773" xr:uid="{00000000-0005-0000-0000-0000DA150000}"/>
    <cellStyle name="Subtotal" xfId="94" xr:uid="{00000000-0005-0000-0000-0000DB150000}"/>
    <cellStyle name="Subtotal 10" xfId="5855" xr:uid="{27B90125-0B11-4A4C-8B7B-E4A3D47E0801}"/>
    <cellStyle name="Subtotal 2" xfId="3029" xr:uid="{00000000-0005-0000-0000-0000DC150000}"/>
    <cellStyle name="Subtotal 2 2" xfId="3725" xr:uid="{00000000-0005-0000-0000-0000DD150000}"/>
    <cellStyle name="Subtotal 2 2 2" xfId="3971" xr:uid="{00000000-0005-0000-0000-0000DE150000}"/>
    <cellStyle name="Subtotal 2 2 2 2" xfId="6231" xr:uid="{AB3B0583-0584-4D1B-B5D6-FF0F2B48BA78}"/>
    <cellStyle name="Subtotal 2 2 3" xfId="6140" xr:uid="{19B096AD-F3D4-4C64-8042-E7B4546B8694}"/>
    <cellStyle name="Subtotal 2 3" xfId="5975" xr:uid="{81607B2C-1F94-46D3-8504-7A328B700092}"/>
    <cellStyle name="SubTotal 3" xfId="2852" xr:uid="{00000000-0005-0000-0000-0000DF150000}"/>
    <cellStyle name="SubTotal 3 2" xfId="3698" xr:uid="{00000000-0005-0000-0000-0000E0150000}"/>
    <cellStyle name="SubTotal 3 2 2" xfId="6128" xr:uid="{934EBB94-4862-4E92-9133-D4866CE81342}"/>
    <cellStyle name="SubTotal 3 3" xfId="3800" xr:uid="{00000000-0005-0000-0000-0000E1150000}"/>
    <cellStyle name="SubTotal 3 3 2" xfId="3983" xr:uid="{00000000-0005-0000-0000-0000E2150000}"/>
    <cellStyle name="SubTotal 3 3 2 2" xfId="6243" xr:uid="{37E506AA-2D46-4B71-9B61-CEADD8C7E5C7}"/>
    <cellStyle name="SubTotal 3 3 3" xfId="6163" xr:uid="{CCA459EE-7E2E-49CC-8B4D-59DE513DAFE4}"/>
    <cellStyle name="SubTotal 3 4" xfId="5955" xr:uid="{DB95FE20-2B7C-4744-B2FF-6192B34F7E7C}"/>
    <cellStyle name="Subtotal 4" xfId="3064" xr:uid="{00000000-0005-0000-0000-0000E3150000}"/>
    <cellStyle name="Subtotal 4 2" xfId="3737" xr:uid="{00000000-0005-0000-0000-0000E4150000}"/>
    <cellStyle name="Subtotal 4 2 2" xfId="3972" xr:uid="{00000000-0005-0000-0000-0000E5150000}"/>
    <cellStyle name="Subtotal 4 2 2 2" xfId="6232" xr:uid="{6936FC27-2A0A-4726-B2A1-BA8710466E86}"/>
    <cellStyle name="Subtotal 4 2 3" xfId="6141" xr:uid="{CD4187C4-34E6-41D7-9720-2F7D22B99380}"/>
    <cellStyle name="Subtotal 4 3" xfId="3325" xr:uid="{00000000-0005-0000-0000-0000E6150000}"/>
    <cellStyle name="Subtotal 4 3 2" xfId="6060" xr:uid="{59E3B3E6-D32D-4F5A-A7CE-70A1CE872038}"/>
    <cellStyle name="Subtotal 4 4" xfId="5976" xr:uid="{EE7D9969-2EF2-4E73-A420-1285A6BB531D}"/>
    <cellStyle name="Subtotal 5" xfId="3073" xr:uid="{00000000-0005-0000-0000-0000E7150000}"/>
    <cellStyle name="Subtotal 5 2" xfId="3741" xr:uid="{00000000-0005-0000-0000-0000E8150000}"/>
    <cellStyle name="Subtotal 5 2 2" xfId="3975" xr:uid="{00000000-0005-0000-0000-0000E9150000}"/>
    <cellStyle name="Subtotal 5 2 2 2" xfId="6235" xr:uid="{2A094A44-B63B-4DE5-AA4E-FF172284B422}"/>
    <cellStyle name="Subtotal 5 2 3" xfId="6145" xr:uid="{7CA4569E-E1B1-456C-9417-BF202AAF6839}"/>
    <cellStyle name="Subtotal 5 3" xfId="3331" xr:uid="{00000000-0005-0000-0000-0000EA150000}"/>
    <cellStyle name="Subtotal 5 3 2" xfId="6066" xr:uid="{EABECF0B-BDD9-446A-8DE8-BC66C67E784F}"/>
    <cellStyle name="Subtotal 5 4" xfId="5982" xr:uid="{A3C2EBCD-2DDE-4533-BD63-23CCD73E6C04}"/>
    <cellStyle name="Subtotal 6" xfId="3582" xr:uid="{00000000-0005-0000-0000-0000EB150000}"/>
    <cellStyle name="Subtotal 6 2" xfId="3932" xr:uid="{00000000-0005-0000-0000-0000EC150000}"/>
    <cellStyle name="Subtotal 6 2 2" xfId="6192" xr:uid="{D44BA860-5413-445F-B776-074EEEB01F06}"/>
    <cellStyle name="Subtotal 6 3" xfId="6083" xr:uid="{7327D21D-62D9-4DE7-B18D-3522DF2B61E8}"/>
    <cellStyle name="Subtotal 7" xfId="220" xr:uid="{00000000-0005-0000-0000-0000ED150000}"/>
    <cellStyle name="Subtotal 7 2" xfId="5861" xr:uid="{C744278A-08B0-40C3-B402-1416B338A52F}"/>
    <cellStyle name="Subtotal 8" xfId="5696" xr:uid="{00000000-0005-0000-0000-0000EE150000}"/>
    <cellStyle name="Subtotal 8 2" xfId="6462" xr:uid="{46128248-5554-4339-8DAC-3768974D912F}"/>
    <cellStyle name="Subtotal 9" xfId="5801" xr:uid="{00000000-0005-0000-0000-0000EF150000}"/>
    <cellStyle name="Subtotal 9 2" xfId="6507" xr:uid="{992F1CCD-B4BB-4958-B80F-14BD64391768}"/>
    <cellStyle name="summary" xfId="95" xr:uid="{00000000-0005-0000-0000-0000F0150000}"/>
    <cellStyle name="summary 2" xfId="3762" xr:uid="{00000000-0005-0000-0000-0000F1150000}"/>
    <cellStyle name="summary 3" xfId="3583" xr:uid="{00000000-0005-0000-0000-0000F2150000}"/>
    <cellStyle name="summary 4" xfId="3114" xr:uid="{00000000-0005-0000-0000-0000F3150000}"/>
    <cellStyle name="Superscript" xfId="2853" xr:uid="{00000000-0005-0000-0000-0000F4150000}"/>
    <cellStyle name="T MART" xfId="2854" xr:uid="{00000000-0005-0000-0000-0000F5150000}"/>
    <cellStyle name="T MART 2" xfId="2855" xr:uid="{00000000-0005-0000-0000-0000F6150000}"/>
    <cellStyle name="T MART CORE" xfId="2856" xr:uid="{00000000-0005-0000-0000-0000F7150000}"/>
    <cellStyle name="T MART CORE 2" xfId="2857" xr:uid="{00000000-0005-0000-0000-0000F8150000}"/>
    <cellStyle name="T MART PERIMETER" xfId="2858" xr:uid="{00000000-0005-0000-0000-0000F9150000}"/>
    <cellStyle name="T MART PERIMETER 2" xfId="2859" xr:uid="{00000000-0005-0000-0000-0000FA150000}"/>
    <cellStyle name="T10" xfId="2860" xr:uid="{00000000-0005-0000-0000-0000FB150000}"/>
    <cellStyle name="Table Col Head" xfId="2861" xr:uid="{00000000-0005-0000-0000-0000FC150000}"/>
    <cellStyle name="Table Head" xfId="2862" xr:uid="{00000000-0005-0000-0000-0000FD150000}"/>
    <cellStyle name="Table Head Aligned" xfId="2863" xr:uid="{00000000-0005-0000-0000-0000FE150000}"/>
    <cellStyle name="Table Head Aligned 2" xfId="3699" xr:uid="{00000000-0005-0000-0000-0000FF150000}"/>
    <cellStyle name="Table Head Aligned 2 2" xfId="6129" xr:uid="{CF2E45AD-045F-40F0-BD2E-BC2370361F9C}"/>
    <cellStyle name="Table Head Aligned 3" xfId="3801" xr:uid="{00000000-0005-0000-0000-000000160000}"/>
    <cellStyle name="Table Head Aligned 3 2" xfId="6164" xr:uid="{E3AB3FC9-1424-4DF8-869D-7BB62D7DA71A}"/>
    <cellStyle name="Table Head Aligned 4" xfId="3309" xr:uid="{00000000-0005-0000-0000-000001160000}"/>
    <cellStyle name="Table Head Aligned 4 2" xfId="6055" xr:uid="{60F4EEBE-E08D-4A19-8B71-559D0BE56DD2}"/>
    <cellStyle name="Table Head Aligned 5" xfId="5956" xr:uid="{B2521D3B-3C4A-4E9A-B021-F331A913B1E7}"/>
    <cellStyle name="Table Head Blue" xfId="2864" xr:uid="{00000000-0005-0000-0000-000002160000}"/>
    <cellStyle name="Table Head Green" xfId="2865" xr:uid="{00000000-0005-0000-0000-000003160000}"/>
    <cellStyle name="Table Head Green 2" xfId="3700" xr:uid="{00000000-0005-0000-0000-000004160000}"/>
    <cellStyle name="Table Head Green 2 2" xfId="6130" xr:uid="{47BE936A-6209-472D-A73D-1F12597A2088}"/>
    <cellStyle name="Table Head Green 3" xfId="3802" xr:uid="{00000000-0005-0000-0000-000005160000}"/>
    <cellStyle name="Table Head Green 3 2" xfId="6165" xr:uid="{5DB2CDB7-D74E-41E2-A4B7-5B3E0370E38B}"/>
    <cellStyle name="Table Head Green 4" xfId="3310" xr:uid="{00000000-0005-0000-0000-000006160000}"/>
    <cellStyle name="Table Head Green 4 2" xfId="6056" xr:uid="{DFBC9356-1EDD-484A-A0B8-ED0DDD3A79A0}"/>
    <cellStyle name="Table Head Green 5" xfId="5957" xr:uid="{FE3BC57C-727A-4571-A85A-C14648A39757}"/>
    <cellStyle name="Table Label" xfId="2866" xr:uid="{00000000-0005-0000-0000-000007160000}"/>
    <cellStyle name="Table Label 2" xfId="3701" xr:uid="{00000000-0005-0000-0000-000008160000}"/>
    <cellStyle name="Table Label 2 2" xfId="3963" xr:uid="{00000000-0005-0000-0000-000009160000}"/>
    <cellStyle name="Table Label 2 2 2" xfId="6223" xr:uid="{5B9CA31E-4F8D-4FE9-83CD-9059BA0BC36F}"/>
    <cellStyle name="Table Label 2 3" xfId="6131" xr:uid="{B6100FFD-E8B7-4C6A-8687-10AD35AF664C}"/>
    <cellStyle name="Table Label 3" xfId="3311" xr:uid="{00000000-0005-0000-0000-00000A160000}"/>
    <cellStyle name="Table Label 3 2" xfId="6057" xr:uid="{06DFDE68-75FA-4447-B982-6FD0F75B11FC}"/>
    <cellStyle name="Table Label 4" xfId="3138" xr:uid="{00000000-0005-0000-0000-00000B160000}"/>
    <cellStyle name="Table Label 4 2" xfId="6003" xr:uid="{AE5AC445-ACD0-4E95-A27D-A7B96398B200}"/>
    <cellStyle name="Table Label 5" xfId="5958" xr:uid="{A45AC6F5-BBFD-44CD-AEC6-77F5CA64CBC7}"/>
    <cellStyle name="Table Sub Head" xfId="2867" xr:uid="{00000000-0005-0000-0000-00000C160000}"/>
    <cellStyle name="Table Title" xfId="2868" xr:uid="{00000000-0005-0000-0000-00000D160000}"/>
    <cellStyle name="Table Title 2" xfId="5774" xr:uid="{00000000-0005-0000-0000-00000E160000}"/>
    <cellStyle name="Table Units" xfId="2869" xr:uid="{00000000-0005-0000-0000-00000F160000}"/>
    <cellStyle name="Table Units 2" xfId="3883" xr:uid="{00000000-0005-0000-0000-000010160000}"/>
    <cellStyle name="Table Units 2 2" xfId="6175" xr:uid="{0484B7BA-C65B-4C21-B216-0A0A181845A9}"/>
    <cellStyle name="Table Units 3" xfId="5440" xr:uid="{00000000-0005-0000-0000-000011160000}"/>
    <cellStyle name="Table Units 4" xfId="5959" xr:uid="{A7ADBA64-3DC6-48B7-A90D-7A041AE93FE5}"/>
    <cellStyle name="tbcNumberInput" xfId="4858" xr:uid="{00000000-0005-0000-0000-000012160000}"/>
    <cellStyle name="tbcNumberInput 2" xfId="4859" xr:uid="{00000000-0005-0000-0000-000013160000}"/>
    <cellStyle name="tbcNumberInput 3" xfId="4860" xr:uid="{00000000-0005-0000-0000-000014160000}"/>
    <cellStyle name="tcbAccount" xfId="4861" xr:uid="{00000000-0005-0000-0000-000015160000}"/>
    <cellStyle name="tcbLinkedToOtherSheet" xfId="4862" xr:uid="{00000000-0005-0000-0000-000016160000}"/>
    <cellStyle name="tcbManualInput" xfId="4863" xr:uid="{00000000-0005-0000-0000-000017160000}"/>
    <cellStyle name="tcbManualInput 2" xfId="4864" xr:uid="{00000000-0005-0000-0000-000018160000}"/>
    <cellStyle name="tcbMonthYr" xfId="4865" xr:uid="{00000000-0005-0000-0000-000019160000}"/>
    <cellStyle name="tcbPercentInput" xfId="4866" xr:uid="{00000000-0005-0000-0000-00001A160000}"/>
    <cellStyle name="tcbPFSummaryTitles" xfId="4867" xr:uid="{00000000-0005-0000-0000-00001B160000}"/>
    <cellStyle name="tcbPFSummaryTitles 2" xfId="4868" xr:uid="{00000000-0005-0000-0000-00001C160000}"/>
    <cellStyle name="tcbPFSummaryTitles 2 2" xfId="4954" xr:uid="{00000000-0005-0000-0000-00001D160000}"/>
    <cellStyle name="tcbPFSummaryTitles 2 2 2" xfId="6289" xr:uid="{57518BA7-221B-4DB4-84CC-5DABEE12D00E}"/>
    <cellStyle name="tcbPFSummaryTitles 2 3" xfId="4959" xr:uid="{00000000-0005-0000-0000-00001E160000}"/>
    <cellStyle name="tcbPFSummaryTitles 2 3 2" xfId="6292" xr:uid="{A3E43664-7307-4CD8-9E6E-B992B27666AA}"/>
    <cellStyle name="tcbPFSummaryTitles 2 4" xfId="6286" xr:uid="{F504A39E-F999-4853-8303-6FF3E978D29C}"/>
    <cellStyle name="tcbPFSummaryTitles 3" xfId="4869" xr:uid="{00000000-0005-0000-0000-00001F160000}"/>
    <cellStyle name="tcbPFSummaryTitles 3 2" xfId="4955" xr:uid="{00000000-0005-0000-0000-000020160000}"/>
    <cellStyle name="tcbPFSummaryTitles 3 2 2" xfId="6290" xr:uid="{9FA20287-391F-4A46-9EE7-41872813C6B8}"/>
    <cellStyle name="tcbPFSummaryTitles 3 3" xfId="4960" xr:uid="{00000000-0005-0000-0000-000021160000}"/>
    <cellStyle name="tcbPFSummaryTitles 3 3 2" xfId="6293" xr:uid="{17F18A09-829B-4A12-9B80-83EA0F01CA6A}"/>
    <cellStyle name="tcbPFSummaryTitles 3 4" xfId="6287" xr:uid="{61D5D6E0-E52E-4030-927B-106495D49E72}"/>
    <cellStyle name="tcbPFSummaryTitles 4" xfId="4953" xr:uid="{00000000-0005-0000-0000-000022160000}"/>
    <cellStyle name="tcbPFSummaryTitles 4 2" xfId="6288" xr:uid="{3EEAE72F-0B32-4EFA-BEA3-0B6827A20AF4}"/>
    <cellStyle name="tcbPFSummaryTitles 5" xfId="4958" xr:uid="{00000000-0005-0000-0000-000023160000}"/>
    <cellStyle name="tcbPFSummaryTitles 5 2" xfId="6291" xr:uid="{F8201CCC-6259-461D-947A-61BDC2C9EE63}"/>
    <cellStyle name="tcbPFSummaryTitles 6" xfId="6285" xr:uid="{F18A511C-EB44-41AB-897A-BB9BB1E06705}"/>
    <cellStyle name="tcbTextInput" xfId="4870" xr:uid="{00000000-0005-0000-0000-000024160000}"/>
    <cellStyle name="tcbTextInput 2" xfId="4871" xr:uid="{00000000-0005-0000-0000-000025160000}"/>
    <cellStyle name="test" xfId="5775" xr:uid="{00000000-0005-0000-0000-000026160000}"/>
    <cellStyle name="Text" xfId="96" xr:uid="{00000000-0005-0000-0000-000027160000}"/>
    <cellStyle name="Text 2" xfId="3030" xr:uid="{00000000-0005-0000-0000-000028160000}"/>
    <cellStyle name="Text 3" xfId="2870" xr:uid="{00000000-0005-0000-0000-000029160000}"/>
    <cellStyle name="Text 8" xfId="2871" xr:uid="{00000000-0005-0000-0000-00002A160000}"/>
    <cellStyle name="text cells" xfId="97" xr:uid="{00000000-0005-0000-0000-00002B160000}"/>
    <cellStyle name="Text Indent A" xfId="2872" xr:uid="{00000000-0005-0000-0000-00002C160000}"/>
    <cellStyle name="Text Indent B" xfId="2873" xr:uid="{00000000-0005-0000-0000-00002D160000}"/>
    <cellStyle name="Text Indent B 2" xfId="2874" xr:uid="{00000000-0005-0000-0000-00002E160000}"/>
    <cellStyle name="Text Indent C" xfId="2875" xr:uid="{00000000-0005-0000-0000-00002F160000}"/>
    <cellStyle name="Text Indent C 2" xfId="2876" xr:uid="{00000000-0005-0000-0000-000030160000}"/>
    <cellStyle name="Thous" xfId="2877" xr:uid="{00000000-0005-0000-0000-000031160000}"/>
    <cellStyle name="Times 10" xfId="2878" xr:uid="{00000000-0005-0000-0000-000032160000}"/>
    <cellStyle name="Times 12" xfId="2879" xr:uid="{00000000-0005-0000-0000-000033160000}"/>
    <cellStyle name="Times New Roman" xfId="2880" xr:uid="{00000000-0005-0000-0000-000034160000}"/>
    <cellStyle name="times roman" xfId="2881" xr:uid="{00000000-0005-0000-0000-000035160000}"/>
    <cellStyle name="Title - No ScotchRule" xfId="5777" xr:uid="{00000000-0005-0000-0000-000036160000}"/>
    <cellStyle name="Title 2" xfId="2883" xr:uid="{00000000-0005-0000-0000-000037160000}"/>
    <cellStyle name="Title 2 2" xfId="3529" xr:uid="{00000000-0005-0000-0000-000038160000}"/>
    <cellStyle name="Title 2 3" xfId="3528" xr:uid="{00000000-0005-0000-0000-000039160000}"/>
    <cellStyle name="title 2 4" xfId="4828" xr:uid="{00000000-0005-0000-0000-00003A160000}"/>
    <cellStyle name="Title 3" xfId="2884" xr:uid="{00000000-0005-0000-0000-00003B160000}"/>
    <cellStyle name="title 3 2" xfId="4829" xr:uid="{00000000-0005-0000-0000-00003C160000}"/>
    <cellStyle name="Title 4" xfId="2885" xr:uid="{00000000-0005-0000-0000-00003D160000}"/>
    <cellStyle name="title 4 2" xfId="4830" xr:uid="{00000000-0005-0000-0000-00003E160000}"/>
    <cellStyle name="Title 5" xfId="2886" xr:uid="{00000000-0005-0000-0000-00003F160000}"/>
    <cellStyle name="title 5 2" xfId="4831" xr:uid="{00000000-0005-0000-0000-000040160000}"/>
    <cellStyle name="Title 6" xfId="2882" xr:uid="{00000000-0005-0000-0000-000041160000}"/>
    <cellStyle name="title 6 2" xfId="4832" xr:uid="{00000000-0005-0000-0000-000042160000}"/>
    <cellStyle name="title 7" xfId="4833" xr:uid="{00000000-0005-0000-0000-000043160000}"/>
    <cellStyle name="title 8" xfId="4834" xr:uid="{00000000-0005-0000-0000-000044160000}"/>
    <cellStyle name="title 9" xfId="4835" xr:uid="{00000000-0005-0000-0000-000045160000}"/>
    <cellStyle name="Title1" xfId="2887" xr:uid="{00000000-0005-0000-0000-000046160000}"/>
    <cellStyle name="Title1 2" xfId="5778" xr:uid="{00000000-0005-0000-0000-000047160000}"/>
    <cellStyle name="Title10" xfId="2888" xr:uid="{00000000-0005-0000-0000-000048160000}"/>
    <cellStyle name="Title2" xfId="2889" xr:uid="{00000000-0005-0000-0000-000049160000}"/>
    <cellStyle name="Title2 2" xfId="3703" xr:uid="{00000000-0005-0000-0000-00004A160000}"/>
    <cellStyle name="Title2 2 2" xfId="3964" xr:uid="{00000000-0005-0000-0000-00004B160000}"/>
    <cellStyle name="Title2 2 2 2" xfId="6224" xr:uid="{1A8824B7-8D34-4190-967F-F0BAF5473A6F}"/>
    <cellStyle name="Title2 2 3" xfId="6132" xr:uid="{4F668F94-EBF7-4F95-931E-8DE7C88A211C}"/>
    <cellStyle name="Title2 3" xfId="3312" xr:uid="{00000000-0005-0000-0000-00004C160000}"/>
    <cellStyle name="Title2 3 2" xfId="6058" xr:uid="{EE727983-8E09-4D4A-AB8A-0BE51C25F043}"/>
    <cellStyle name="Title2 4" xfId="3121" xr:uid="{00000000-0005-0000-0000-00004D160000}"/>
    <cellStyle name="Title2 4 2" xfId="5987" xr:uid="{08E6D479-8122-4195-86E0-318A36C0FFE1}"/>
    <cellStyle name="Title2 5" xfId="5779" xr:uid="{00000000-0005-0000-0000-00004E160000}"/>
    <cellStyle name="Title2 6" xfId="5960" xr:uid="{DC492E10-B585-4159-A89C-9AEDCDDA038D}"/>
    <cellStyle name="Title8" xfId="2890" xr:uid="{00000000-0005-0000-0000-00004F160000}"/>
    <cellStyle name="Title8Left" xfId="2891" xr:uid="{00000000-0005-0000-0000-000050160000}"/>
    <cellStyle name="TitleCenter" xfId="2892" xr:uid="{00000000-0005-0000-0000-000051160000}"/>
    <cellStyle name="TitleII" xfId="5780" xr:uid="{00000000-0005-0000-0000-000052160000}"/>
    <cellStyle name="TitleLeft" xfId="2893" xr:uid="{00000000-0005-0000-0000-000053160000}"/>
    <cellStyle name="Titolo1" xfId="2894" xr:uid="{00000000-0005-0000-0000-000054160000}"/>
    <cellStyle name="Titolo2" xfId="2895" xr:uid="{00000000-0005-0000-0000-000055160000}"/>
    <cellStyle name="Titolo3" xfId="2896" xr:uid="{00000000-0005-0000-0000-000056160000}"/>
    <cellStyle name="tom" xfId="5362" xr:uid="{00000000-0005-0000-0000-000057160000}"/>
    <cellStyle name="tom 2" xfId="5674" xr:uid="{00000000-0005-0000-0000-000058160000}"/>
    <cellStyle name="tom 2 2" xfId="6461" xr:uid="{29070852-5F0C-4567-9CDF-A79E3D6DAF3C}"/>
    <cellStyle name="Top and Bottom Border" xfId="2897" xr:uid="{00000000-0005-0000-0000-000059160000}"/>
    <cellStyle name="Top and Bottom Border 2" xfId="3705" xr:uid="{00000000-0005-0000-0000-00005A160000}"/>
    <cellStyle name="Top and Bottom Border 2 2" xfId="3965" xr:uid="{00000000-0005-0000-0000-00005B160000}"/>
    <cellStyle name="Top and Bottom Border 2 2 2" xfId="6225" xr:uid="{7B66794B-4F4E-44D5-92D5-2C9278DD9FDA}"/>
    <cellStyle name="Top and Bottom Border 2 3" xfId="6133" xr:uid="{65D0DA67-4B10-4AC6-B7B4-33D83BD5937D}"/>
    <cellStyle name="Top and Bottom Border 3" xfId="3313" xr:uid="{00000000-0005-0000-0000-00005C160000}"/>
    <cellStyle name="Top and Bottom Border 3 2" xfId="6059" xr:uid="{26FAF533-6370-4A6F-AB3E-B152354926FE}"/>
    <cellStyle name="Top and Bottom Border 4" xfId="3915" xr:uid="{00000000-0005-0000-0000-00005D160000}"/>
    <cellStyle name="Top and Bottom Border 4 2" xfId="6181" xr:uid="{616D72AF-D7B5-4044-9243-24822093A9ED}"/>
    <cellStyle name="Top and Bottom Border 5" xfId="5961" xr:uid="{BC895328-BFEA-44D7-A75A-FA8EFB99A245}"/>
    <cellStyle name="Top Edge" xfId="5781" xr:uid="{00000000-0005-0000-0000-00005E160000}"/>
    <cellStyle name="Top Line" xfId="98" xr:uid="{00000000-0005-0000-0000-00005F160000}"/>
    <cellStyle name="Top Line 2" xfId="3115" xr:uid="{00000000-0005-0000-0000-000060160000}"/>
    <cellStyle name="Top Line_less complicated amort model(1)" xfId="5147" xr:uid="{00000000-0005-0000-0000-000061160000}"/>
    <cellStyle name="topline" xfId="2898" xr:uid="{00000000-0005-0000-0000-000062160000}"/>
    <cellStyle name="TopThick" xfId="2899" xr:uid="{00000000-0005-0000-0000-000063160000}"/>
    <cellStyle name="Total 10" xfId="2956" xr:uid="{00000000-0005-0000-0000-000064160000}"/>
    <cellStyle name="Total 10 2" xfId="5966" xr:uid="{A89D13CE-0E6A-4619-8137-310C1CF892E5}"/>
    <cellStyle name="TOTAL 2" xfId="2901" xr:uid="{00000000-0005-0000-0000-000065160000}"/>
    <cellStyle name="Total 2 10" xfId="3772" xr:uid="{00000000-0005-0000-0000-000066160000}"/>
    <cellStyle name="Total 2 10 2" xfId="3978" xr:uid="{00000000-0005-0000-0000-000067160000}"/>
    <cellStyle name="Total 2 10 2 2" xfId="6238" xr:uid="{10AEEA31-6F2A-40F0-B763-3880E60B13B5}"/>
    <cellStyle name="Total 2 10 3" xfId="6148" xr:uid="{436E579D-DFA2-453A-BAC6-9B73D24E3EC5}"/>
    <cellStyle name="Total 2 11" xfId="5060" xr:uid="{00000000-0005-0000-0000-000068160000}"/>
    <cellStyle name="Total 2 11 2" xfId="6305" xr:uid="{07B839E0-7B8B-4755-8179-FF3931AE5035}"/>
    <cellStyle name="Total 2 12" xfId="5157" xr:uid="{00000000-0005-0000-0000-000069160000}"/>
    <cellStyle name="Total 2 12 2" xfId="6368" xr:uid="{B20377B7-5DA2-48BC-B4A2-ED5A66D44112}"/>
    <cellStyle name="Total 2 13" xfId="5782" xr:uid="{00000000-0005-0000-0000-00006A160000}"/>
    <cellStyle name="Total 2 13 2" xfId="6499" xr:uid="{8AD78EC4-A783-4BFF-93E1-67A073BF7B18}"/>
    <cellStyle name="Total 2 14" xfId="5836" xr:uid="{00000000-0005-0000-0000-00006B160000}"/>
    <cellStyle name="Total 2 14 2" xfId="6542" xr:uid="{904BE9F5-9DED-40F6-9C9A-D644D04A3025}"/>
    <cellStyle name="Total 2 2" xfId="3531" xr:uid="{00000000-0005-0000-0000-00006C160000}"/>
    <cellStyle name="Total 2 2 2" xfId="5089" xr:uid="{00000000-0005-0000-0000-00006D160000}"/>
    <cellStyle name="Total 2 2 2 2" xfId="5141" xr:uid="{00000000-0005-0000-0000-00006E160000}"/>
    <cellStyle name="Total 2 2 2 2 2" xfId="5225" xr:uid="{00000000-0005-0000-0000-00006F160000}"/>
    <cellStyle name="Total 2 2 2 2 2 2" xfId="6434" xr:uid="{26087889-115F-4485-9A21-00EC3B58949D}"/>
    <cellStyle name="Total 2 2 2 2 3" xfId="6360" xr:uid="{7BFFA57E-68F6-4E98-A6B3-069E7833E2F1}"/>
    <cellStyle name="Total 2 2 2 3" xfId="5182" xr:uid="{00000000-0005-0000-0000-000070160000}"/>
    <cellStyle name="Total 2 2 2 3 2" xfId="6393" xr:uid="{F93A59E0-A748-4761-B6D3-FED92DCAAE1F}"/>
    <cellStyle name="Total 2 2 2 4" xfId="6320" xr:uid="{A189A8C3-51F3-46C3-8219-B5ABA21A0002}"/>
    <cellStyle name="Total 2 2 3" xfId="5062" xr:uid="{00000000-0005-0000-0000-000071160000}"/>
    <cellStyle name="Total 2 2 3 2" xfId="5118" xr:uid="{00000000-0005-0000-0000-000072160000}"/>
    <cellStyle name="Total 2 2 3 2 2" xfId="5202" xr:uid="{00000000-0005-0000-0000-000073160000}"/>
    <cellStyle name="Total 2 2 3 2 2 2" xfId="6411" xr:uid="{3D848545-05C7-44B3-A504-337D5F0B18AC}"/>
    <cellStyle name="Total 2 2 3 2 3" xfId="6337" xr:uid="{0CE61E55-B069-495B-943E-261D66F445B5}"/>
    <cellStyle name="Total 2 2 3 3" xfId="5159" xr:uid="{00000000-0005-0000-0000-000074160000}"/>
    <cellStyle name="Total 2 2 3 3 2" xfId="6370" xr:uid="{193E6D44-B74F-41ED-868E-019BF7858BB7}"/>
    <cellStyle name="Total 2 2 3 4" xfId="6307" xr:uid="{C8853F6A-A0EF-4A1A-B90F-FDF56F8D4C2F}"/>
    <cellStyle name="Total 2 2 4" xfId="5117" xr:uid="{00000000-0005-0000-0000-000075160000}"/>
    <cellStyle name="Total 2 2 4 2" xfId="5201" xr:uid="{00000000-0005-0000-0000-000076160000}"/>
    <cellStyle name="Total 2 2 4 2 2" xfId="6410" xr:uid="{B24353CB-E6AB-4BB5-B756-6E596DBFBCE7}"/>
    <cellStyle name="Total 2 2 4 3" xfId="6336" xr:uid="{17BAB4A8-3AA5-4A6C-BB30-FC468F999407}"/>
    <cellStyle name="Total 2 2 5" xfId="5158" xr:uid="{00000000-0005-0000-0000-000077160000}"/>
    <cellStyle name="Total 2 2 5 2" xfId="6369" xr:uid="{F3DAF7BC-7D84-42FF-A3D1-D33AA0FEA00C}"/>
    <cellStyle name="Total 2 2 6" xfId="6080" xr:uid="{DA335C38-EF63-4F13-9067-A8B814FAAE1C}"/>
    <cellStyle name="TOTAL 2 3" xfId="3706" xr:uid="{00000000-0005-0000-0000-000078160000}"/>
    <cellStyle name="Total 2 3 2" xfId="5144" xr:uid="{00000000-0005-0000-0000-000079160000}"/>
    <cellStyle name="Total 2 3 2 2" xfId="5228" xr:uid="{00000000-0005-0000-0000-00007A160000}"/>
    <cellStyle name="Total 2 3 2 2 2" xfId="6437" xr:uid="{BF562D1E-625C-446F-A2DC-8AE938F9B768}"/>
    <cellStyle name="Total 2 3 2 3" xfId="6363" xr:uid="{D763DB26-EF9C-4318-9594-AA0A3D3424E3}"/>
    <cellStyle name="Total 2 3 3" xfId="5091" xr:uid="{00000000-0005-0000-0000-00007B160000}"/>
    <cellStyle name="Total 2 3 3 2" xfId="6322" xr:uid="{621FEB6F-0750-47C7-998D-8D529042BA8C}"/>
    <cellStyle name="Total 2 3 4" xfId="5185" xr:uid="{00000000-0005-0000-0000-00007C160000}"/>
    <cellStyle name="Total 2 3 4 2" xfId="6396" xr:uid="{4E6FC817-554D-4A66-B92A-02CB6CCD2B46}"/>
    <cellStyle name="TOTAL 2 4" xfId="3770" xr:uid="{00000000-0005-0000-0000-00007D160000}"/>
    <cellStyle name="Total 2 4 2" xfId="5116" xr:uid="{00000000-0005-0000-0000-00007E160000}"/>
    <cellStyle name="Total 2 4 2 2" xfId="6335" xr:uid="{953AD7FC-DDDC-45FA-9D21-013FB5720B59}"/>
    <cellStyle name="Total 2 4 3" xfId="5200" xr:uid="{00000000-0005-0000-0000-00007F160000}"/>
    <cellStyle name="Total 2 4 3 2" xfId="6409" xr:uid="{1C977130-882D-40A3-8D2C-B319968D20A4}"/>
    <cellStyle name="TOTAL 2 5" xfId="3764" xr:uid="{00000000-0005-0000-0000-000080160000}"/>
    <cellStyle name="TOTAL 2 6" xfId="3768" xr:uid="{00000000-0005-0000-0000-000081160000}"/>
    <cellStyle name="Total 2 7" xfId="3530" xr:uid="{00000000-0005-0000-0000-000082160000}"/>
    <cellStyle name="Total 2 7 2" xfId="3929" xr:uid="{00000000-0005-0000-0000-000083160000}"/>
    <cellStyle name="Total 2 7 2 2" xfId="6189" xr:uid="{EB5D258D-72C2-4F29-AF42-79E181933530}"/>
    <cellStyle name="Total 2 7 3" xfId="6079" xr:uid="{E8B763C9-DC0F-4A8B-96E5-FB21931BBEFE}"/>
    <cellStyle name="Total 2 8" xfId="3690" xr:uid="{00000000-0005-0000-0000-000084160000}"/>
    <cellStyle name="Total 2 8 2" xfId="3961" xr:uid="{00000000-0005-0000-0000-000085160000}"/>
    <cellStyle name="Total 2 8 2 2" xfId="6221" xr:uid="{1BDAE810-CDAE-4A3A-B69D-C075AEB0E8A3}"/>
    <cellStyle name="Total 2 8 3" xfId="6123" xr:uid="{077DCD47-7A09-49E6-9C43-AC8C95B2041F}"/>
    <cellStyle name="Total 2 9" xfId="3777" xr:uid="{00000000-0005-0000-0000-000086160000}"/>
    <cellStyle name="Total 2 9 2" xfId="3979" xr:uid="{00000000-0005-0000-0000-000087160000}"/>
    <cellStyle name="Total 2 9 2 2" xfId="6239" xr:uid="{4B7AF791-CF3D-4247-93A6-FDA2669EC22F}"/>
    <cellStyle name="Total 2 9 3" xfId="6150" xr:uid="{56DF4C21-B427-4F3A-8A53-5771B55A76E0}"/>
    <cellStyle name="TOTAL 3" xfId="2902" xr:uid="{00000000-0005-0000-0000-000088160000}"/>
    <cellStyle name="Total 3 2" xfId="5131" xr:uid="{00000000-0005-0000-0000-000089160000}"/>
    <cellStyle name="Total 3 2 2" xfId="5215" xr:uid="{00000000-0005-0000-0000-00008A160000}"/>
    <cellStyle name="Total 3 2 2 2" xfId="6424" xr:uid="{BEACBA11-64BB-4F50-A31B-79E8781F6B96}"/>
    <cellStyle name="Total 3 2 3" xfId="6350" xr:uid="{D691CDA0-1A7F-4F8C-BC88-B071120D240F}"/>
    <cellStyle name="Total 3 3" xfId="5079" xr:uid="{00000000-0005-0000-0000-00008B160000}"/>
    <cellStyle name="Total 3 3 2" xfId="6313" xr:uid="{64193AAD-A4EA-4159-B0B5-DDEB263D3E28}"/>
    <cellStyle name="Total 3 4" xfId="5172" xr:uid="{00000000-0005-0000-0000-00008C160000}"/>
    <cellStyle name="Total 3 4 2" xfId="6383" xr:uid="{B34C6090-5644-4B5C-A4BE-37DB9D905A47}"/>
    <cellStyle name="Total 4" xfId="2903" xr:uid="{00000000-0005-0000-0000-00008D160000}"/>
    <cellStyle name="Total 4 2" xfId="5128" xr:uid="{00000000-0005-0000-0000-00008E160000}"/>
    <cellStyle name="Total 4 2 2" xfId="5212" xr:uid="{00000000-0005-0000-0000-00008F160000}"/>
    <cellStyle name="Total 4 2 2 2" xfId="6421" xr:uid="{8B72ADB9-B72F-4435-8ACE-BD0DC5C6E1FC}"/>
    <cellStyle name="Total 4 2 3" xfId="6347" xr:uid="{DF74D7AD-3F59-43F0-91F4-97C6E9E09BB9}"/>
    <cellStyle name="Total 4 3" xfId="5169" xr:uid="{00000000-0005-0000-0000-000090160000}"/>
    <cellStyle name="Total 4 3 2" xfId="6380" xr:uid="{048880DA-F26B-4F7B-97A3-DD88010591F0}"/>
    <cellStyle name="Total 4 4" xfId="5963" xr:uid="{67473D27-139B-4154-96C7-AC97737E018F}"/>
    <cellStyle name="Total 5" xfId="2904" xr:uid="{00000000-0005-0000-0000-000091160000}"/>
    <cellStyle name="Total 5 2" xfId="5108" xr:uid="{00000000-0005-0000-0000-000092160000}"/>
    <cellStyle name="Total 5 2 2" xfId="5192" xr:uid="{00000000-0005-0000-0000-000093160000}"/>
    <cellStyle name="Total 5 2 2 2" xfId="6401" xr:uid="{63BF0A26-84FA-4C04-8E53-4E5D251AC2A3}"/>
    <cellStyle name="Total 5 2 3" xfId="6327" xr:uid="{B0E065EF-F02B-42BE-8FE8-A74FBC935E7F}"/>
    <cellStyle name="Total 5 3" xfId="5061" xr:uid="{00000000-0005-0000-0000-000094160000}"/>
    <cellStyle name="Total 5 3 2" xfId="6306" xr:uid="{1FDAEECA-611E-4AF9-8B71-07171F54505D}"/>
    <cellStyle name="Total 5 4" xfId="5964" xr:uid="{ED0A1E96-CF76-4579-B5FD-00135A23D96A}"/>
    <cellStyle name="Total 6" xfId="2900" xr:uid="{00000000-0005-0000-0000-000095160000}"/>
    <cellStyle name="Total 6 2" xfId="5962" xr:uid="{384A75FD-CAA8-401A-AAD2-7F9016480C8C}"/>
    <cellStyle name="Total 7" xfId="2975" xr:uid="{00000000-0005-0000-0000-000096160000}"/>
    <cellStyle name="Total 7 2" xfId="5973" xr:uid="{B663514B-30CC-417D-9230-D6D523602E34}"/>
    <cellStyle name="Total 8" xfId="2957" xr:uid="{00000000-0005-0000-0000-000097160000}"/>
    <cellStyle name="Total 8 2" xfId="5967" xr:uid="{09D324A6-8B3A-4D9B-A307-B65CE8FA30E1}"/>
    <cellStyle name="Total 9" xfId="2974" xr:uid="{00000000-0005-0000-0000-000098160000}"/>
    <cellStyle name="Total 9 2" xfId="5972" xr:uid="{BB262E6C-28AA-46E3-8BDE-AEBD2FEABA62}"/>
    <cellStyle name="TOTAL AREA" xfId="2905" xr:uid="{00000000-0005-0000-0000-000099160000}"/>
    <cellStyle name="Totals" xfId="2906" xr:uid="{00000000-0005-0000-0000-00009A160000}"/>
    <cellStyle name="TotalsCells" xfId="5783" xr:uid="{00000000-0005-0000-0000-00009B160000}"/>
    <cellStyle name="TotalsCells 2" xfId="5837" xr:uid="{00000000-0005-0000-0000-00009C160000}"/>
    <cellStyle name="TotalsCells 2 2" xfId="6543" xr:uid="{24797D2B-46D1-4F69-94F1-0D3337A6A0FF}"/>
    <cellStyle name="TotalsCells 3" xfId="6500" xr:uid="{AF147C4F-2C6D-4ED7-B164-DC9EC5C4AB33}"/>
    <cellStyle name="TotalsComma" xfId="2907" xr:uid="{00000000-0005-0000-0000-00009D160000}"/>
    <cellStyle name="TotShade" xfId="2908" xr:uid="{00000000-0005-0000-0000-00009E160000}"/>
    <cellStyle name="TransVal" xfId="2909" xr:uid="{00000000-0005-0000-0000-00009F160000}"/>
    <cellStyle name="ubordinated Debt" xfId="2910" xr:uid="{00000000-0005-0000-0000-0000A0160000}"/>
    <cellStyle name="ubordinated Debt 2" xfId="5784" xr:uid="{00000000-0005-0000-0000-0000A1160000}"/>
    <cellStyle name="Undefiniert" xfId="2911" xr:uid="{00000000-0005-0000-0000-0000A2160000}"/>
    <cellStyle name="underline 1 decimal" xfId="2912" xr:uid="{00000000-0005-0000-0000-0000A3160000}"/>
    <cellStyle name="underline 2 decimals" xfId="2913" xr:uid="{00000000-0005-0000-0000-0000A4160000}"/>
    <cellStyle name="underline flush left" xfId="2914" xr:uid="{00000000-0005-0000-0000-0000A5160000}"/>
    <cellStyle name="underline no decimals" xfId="2915" xr:uid="{00000000-0005-0000-0000-0000A6160000}"/>
    <cellStyle name="UnlockedCell" xfId="5663" xr:uid="{00000000-0005-0000-0000-0000A7160000}"/>
    <cellStyle name="UnlockedCell 2" xfId="6460" xr:uid="{EF30D1DE-2D53-4799-A5A9-F91E5B88626F}"/>
    <cellStyle name="Unprot" xfId="4836" xr:uid="{00000000-0005-0000-0000-0000A8160000}"/>
    <cellStyle name="Unprot$" xfId="4837" xr:uid="{00000000-0005-0000-0000-0000A9160000}"/>
    <cellStyle name="Unprotect" xfId="4838" xr:uid="{00000000-0005-0000-0000-0000AA160000}"/>
    <cellStyle name="User_Defined_A" xfId="5785" xr:uid="{00000000-0005-0000-0000-0000AB160000}"/>
    <cellStyle name="UserInputedText" xfId="5786" xr:uid="{00000000-0005-0000-0000-0000AC160000}"/>
    <cellStyle name="Valuta (0)_Foglio1 (2)" xfId="2916" xr:uid="{00000000-0005-0000-0000-0000AD160000}"/>
    <cellStyle name="Valuta [0]_BINV" xfId="2917" xr:uid="{00000000-0005-0000-0000-0000AE160000}"/>
    <cellStyle name="Valuta_BINV" xfId="2918" xr:uid="{00000000-0005-0000-0000-0000AF160000}"/>
    <cellStyle name="Vírgula_Arrendamiraflores" xfId="2919" xr:uid="{00000000-0005-0000-0000-0000B0160000}"/>
    <cellStyle name="w12" xfId="2920" xr:uid="{00000000-0005-0000-0000-0000B1160000}"/>
    <cellStyle name="Währung [0]_Compiling Utility Macros" xfId="105" xr:uid="{00000000-0005-0000-0000-0000B2160000}"/>
    <cellStyle name="Währung_Compiling Utility Macros" xfId="106" xr:uid="{00000000-0005-0000-0000-0000B3160000}"/>
    <cellStyle name="Walutowy [0]_Arkusz1" xfId="2921" xr:uid="{00000000-0005-0000-0000-0000B4160000}"/>
    <cellStyle name="Walutowy_Arkusz1" xfId="2922" xr:uid="{00000000-0005-0000-0000-0000B5160000}"/>
    <cellStyle name="Warning Text 2" xfId="2924" xr:uid="{00000000-0005-0000-0000-0000B6160000}"/>
    <cellStyle name="Warning Text 3" xfId="2925" xr:uid="{00000000-0005-0000-0000-0000B7160000}"/>
    <cellStyle name="Warning Text 4" xfId="2926" xr:uid="{00000000-0005-0000-0000-0000B8160000}"/>
    <cellStyle name="Warning Text 5" xfId="2927" xr:uid="{00000000-0005-0000-0000-0000B9160000}"/>
    <cellStyle name="Warning Text 6" xfId="2923" xr:uid="{00000000-0005-0000-0000-0000BA160000}"/>
    <cellStyle name="White" xfId="2928" xr:uid="{00000000-0005-0000-0000-0000BB160000}"/>
    <cellStyle name="WholeNumber" xfId="5788" xr:uid="{00000000-0005-0000-0000-0000BC160000}"/>
    <cellStyle name="x" xfId="2929" xr:uid="{00000000-0005-0000-0000-0000BD160000}"/>
    <cellStyle name="y" xfId="2930" xr:uid="{00000000-0005-0000-0000-0000BE160000}"/>
    <cellStyle name="y_Cash Flow for Tener 072210" xfId="2931" xr:uid="{00000000-0005-0000-0000-0000BF160000}"/>
    <cellStyle name="y_Citrix_2pgr2" xfId="2932" xr:uid="{00000000-0005-0000-0000-0000C0160000}"/>
    <cellStyle name="y_Citrix_2pgr2_Cash Flow for Tener 072210" xfId="2933" xr:uid="{00000000-0005-0000-0000-0000C1160000}"/>
    <cellStyle name="y_Iron-Steel" xfId="2934" xr:uid="{00000000-0005-0000-0000-0000C2160000}"/>
    <cellStyle name="y_Iron-Steel_Cash Flow for Tener 072210" xfId="2935" xr:uid="{00000000-0005-0000-0000-0000C3160000}"/>
    <cellStyle name="y_MERQ_6-14_V8" xfId="2936" xr:uid="{00000000-0005-0000-0000-0000C4160000}"/>
    <cellStyle name="y_MERQ_6-14_V8_Cash Flow for Tener 072210" xfId="2937" xr:uid="{00000000-0005-0000-0000-0000C5160000}"/>
    <cellStyle name="y_RATL_SRNA synergies" xfId="2938" xr:uid="{00000000-0005-0000-0000-0000C6160000}"/>
    <cellStyle name="y_RATL_SRNA synergies_Cash Flow for Tener 072210" xfId="2939" xr:uid="{00000000-0005-0000-0000-0000C7160000}"/>
    <cellStyle name="y_Valuation_Jan2" xfId="2940" xr:uid="{00000000-0005-0000-0000-0000C8160000}"/>
    <cellStyle name="y_Valuation_Jan2_Cash Flow for Tener 072210" xfId="2941" xr:uid="{00000000-0005-0000-0000-0000C9160000}"/>
    <cellStyle name="Year" xfId="2942" xr:uid="{00000000-0005-0000-0000-0000CA160000}"/>
    <cellStyle name="Year only" xfId="2943" xr:uid="{00000000-0005-0000-0000-0000CB160000}"/>
    <cellStyle name="Year only 2" xfId="5965" xr:uid="{A1CE97E7-C72B-42E8-A78B-517AE9D232DD}"/>
    <cellStyle name="Year_88 Richardson 80-20 1-31-12 Invest Memo" xfId="2944" xr:uid="{00000000-0005-0000-0000-0000CC160000}"/>
    <cellStyle name="Years" xfId="2945" xr:uid="{00000000-0005-0000-0000-0000CD160000}"/>
    <cellStyle name="Years 2" xfId="3887" xr:uid="{00000000-0005-0000-0000-0000CE160000}"/>
    <cellStyle name="Yen" xfId="2946" xr:uid="{00000000-0005-0000-0000-0000CF160000}"/>
    <cellStyle name="Yen 2" xfId="4840" xr:uid="{00000000-0005-0000-0000-0000D0160000}"/>
    <cellStyle name="Yen 3" xfId="4839" xr:uid="{00000000-0005-0000-0000-0000D1160000}"/>
    <cellStyle name="YES NO" xfId="2947" xr:uid="{00000000-0005-0000-0000-0000D2160000}"/>
    <cellStyle name="YES NO 2" xfId="3888" xr:uid="{00000000-0005-0000-0000-0000D3160000}"/>
    <cellStyle name="Zaph Call 11pt" xfId="2948" xr:uid="{00000000-0005-0000-0000-0000D4160000}"/>
    <cellStyle name="型番" xfId="2949" xr:uid="{00000000-0005-0000-0000-0000D5160000}"/>
    <cellStyle name="桁区切り [0.00]_Book2" xfId="2950" xr:uid="{00000000-0005-0000-0000-0000D6160000}"/>
    <cellStyle name="桁区切り_AssetBalance Template" xfId="2951" xr:uid="{00000000-0005-0000-0000-0000D7160000}"/>
    <cellStyle name="標準_1Q01SS-backup_Megalon 3Q2" xfId="2952" xr:uid="{00000000-0005-0000-0000-0000D8160000}"/>
    <cellStyle name="通貨 [0.00]_Book2" xfId="2953" xr:uid="{00000000-0005-0000-0000-0000D9160000}"/>
    <cellStyle name="通貨_Book2" xfId="2954" xr:uid="{00000000-0005-0000-0000-0000DA160000}"/>
  </cellStyles>
  <dxfs count="8">
    <dxf>
      <font>
        <color rgb="FFFF0000"/>
      </font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condense val="0"/>
        <extend val="0"/>
        <color indexed="10"/>
      </font>
    </dxf>
  </dxfs>
  <tableStyles count="1" defaultTableStyle="TableStyleMedium2" defaultPivotStyle="PivotStyleLight16">
    <tableStyle name="Table Style 1" pivot="0" count="0" xr9:uid="{00000000-0011-0000-FFFF-FFFF00000000}"/>
  </tableStyles>
  <colors>
    <mruColors>
      <color rgb="FF0013C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29</xdr:row>
      <xdr:rowOff>85725</xdr:rowOff>
    </xdr:from>
    <xdr:to>
      <xdr:col>2</xdr:col>
      <xdr:colOff>609601</xdr:colOff>
      <xdr:row>32</xdr:row>
      <xdr:rowOff>152401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38101" y="4400550"/>
          <a:ext cx="3124200" cy="5524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*SOURCES</a:t>
          </a:r>
        </a:p>
        <a:p>
          <a:r>
            <a:rPr lang="en-US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AHC:</a:t>
          </a:r>
          <a:r>
            <a:rPr lang="en-US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post-construction: 9 months</a:t>
          </a:r>
        </a:p>
        <a:p>
          <a:r>
            <a:rPr lang="en-US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Developer Fee: after construction loan payoff</a:t>
          </a:r>
          <a:endParaRPr lang="en-US" sz="10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1200150</xdr:colOff>
      <xdr:row>11</xdr:row>
      <xdr:rowOff>0</xdr:rowOff>
    </xdr:from>
    <xdr:to>
      <xdr:col>8</xdr:col>
      <xdr:colOff>890587</xdr:colOff>
      <xdr:row>12</xdr:row>
      <xdr:rowOff>9524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2182475" y="2076450"/>
          <a:ext cx="938212" cy="200024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zoomScaleNormal="100" zoomScaleSheetLayoutView="85" workbookViewId="0">
      <selection activeCell="B14" sqref="B14"/>
    </sheetView>
  </sheetViews>
  <sheetFormatPr defaultColWidth="11.453125" defaultRowHeight="14"/>
  <cols>
    <col min="1" max="1" width="26.90625" style="58" customWidth="1"/>
    <col min="2" max="2" width="19.90625" style="58" customWidth="1"/>
    <col min="3" max="3" width="15.453125" style="58" customWidth="1"/>
    <col min="4" max="4" width="15.90625" style="58" customWidth="1"/>
    <col min="5" max="5" width="17" style="58" customWidth="1"/>
    <col min="6" max="8" width="11.453125" style="58"/>
    <col min="9" max="9" width="16.453125" style="58" customWidth="1"/>
    <col min="10" max="16384" width="11.453125" style="58"/>
  </cols>
  <sheetData>
    <row r="1" spans="1:8" s="101" customFormat="1" ht="14.5">
      <c r="A1" s="250" t="s">
        <v>0</v>
      </c>
      <c r="B1" s="504"/>
      <c r="C1" s="332"/>
      <c r="D1" s="505"/>
      <c r="E1" s="250"/>
      <c r="F1" s="328"/>
    </row>
    <row r="2" spans="1:8" s="101" customFormat="1" ht="14.5">
      <c r="A2" s="438" t="s">
        <v>1</v>
      </c>
      <c r="B2" s="504"/>
      <c r="C2" s="332"/>
      <c r="D2" s="505"/>
      <c r="E2" s="250"/>
      <c r="F2" s="328"/>
    </row>
    <row r="3" spans="1:8" s="101" customFormat="1" ht="15.5">
      <c r="A3" s="332" t="s">
        <v>2</v>
      </c>
      <c r="B3" s="504"/>
      <c r="C3" s="332"/>
      <c r="D3" s="506" t="s">
        <v>3</v>
      </c>
      <c r="E3" s="504">
        <v>50</v>
      </c>
      <c r="F3" s="328"/>
    </row>
    <row r="4" spans="1:8" s="101" customFormat="1" ht="14.5">
      <c r="A4" s="289" t="s">
        <v>4</v>
      </c>
      <c r="B4" s="504"/>
      <c r="C4" s="507"/>
      <c r="D4" s="508"/>
      <c r="E4" s="509"/>
      <c r="F4" s="328"/>
    </row>
    <row r="5" spans="1:8" s="101" customFormat="1" ht="14.5">
      <c r="A5" s="289"/>
      <c r="B5" s="509"/>
      <c r="C5" s="507"/>
      <c r="D5" s="508"/>
      <c r="E5" s="509"/>
      <c r="F5" s="328">
        <f>TOTALDU</f>
        <v>50</v>
      </c>
    </row>
    <row r="6" spans="1:8" s="101" customFormat="1" ht="14.5">
      <c r="A6" s="289" t="s">
        <v>5</v>
      </c>
      <c r="B6" s="509"/>
      <c r="C6" s="507"/>
      <c r="D6" s="508"/>
      <c r="E6" s="509"/>
      <c r="F6" s="328"/>
    </row>
    <row r="7" spans="1:8" s="101" customFormat="1" ht="15" thickBot="1">
      <c r="A7" s="389"/>
      <c r="B7" s="328"/>
      <c r="C7" s="510"/>
      <c r="D7" s="511"/>
      <c r="E7" s="328"/>
      <c r="F7" s="328"/>
    </row>
    <row r="8" spans="1:8" s="101" customFormat="1" ht="14.5">
      <c r="A8" s="512" t="s">
        <v>6</v>
      </c>
      <c r="B8" s="513" t="s">
        <v>7</v>
      </c>
      <c r="C8" s="514" t="s">
        <v>8</v>
      </c>
      <c r="D8" s="515"/>
      <c r="E8" s="539"/>
      <c r="F8" s="328"/>
    </row>
    <row r="9" spans="1:8" s="101" customFormat="1" ht="14.5">
      <c r="A9" s="516">
        <f>B9/$B$13</f>
        <v>0.4375</v>
      </c>
      <c r="B9" s="517">
        <f>'Sale Proceeds'!E79/D9</f>
        <v>23.333333333333336</v>
      </c>
      <c r="C9" s="518" t="s">
        <v>9</v>
      </c>
      <c r="D9" s="504">
        <v>0.3</v>
      </c>
      <c r="E9" s="519" t="s">
        <v>10</v>
      </c>
      <c r="F9" s="328"/>
    </row>
    <row r="10" spans="1:8" s="101" customFormat="1" ht="14.5">
      <c r="A10" s="516">
        <f>B10/$B$13</f>
        <v>0.1875</v>
      </c>
      <c r="B10" s="504">
        <v>10</v>
      </c>
      <c r="C10" s="518" t="s">
        <v>11</v>
      </c>
      <c r="D10" s="520"/>
      <c r="E10" s="521"/>
      <c r="F10" s="328"/>
    </row>
    <row r="11" spans="1:8" s="101" customFormat="1" ht="14.5">
      <c r="A11" s="516">
        <f>B11/$B$13</f>
        <v>0.1875</v>
      </c>
      <c r="B11" s="504">
        <v>10</v>
      </c>
      <c r="C11" s="518" t="s">
        <v>12</v>
      </c>
      <c r="D11" s="520"/>
      <c r="E11" s="521"/>
      <c r="F11" s="328"/>
    </row>
    <row r="12" spans="1:8" s="101" customFormat="1" ht="14.5">
      <c r="A12" s="516">
        <f>B12/$B$13</f>
        <v>0.1875</v>
      </c>
      <c r="B12" s="504">
        <v>10</v>
      </c>
      <c r="C12" s="518" t="s">
        <v>13</v>
      </c>
      <c r="D12" s="504"/>
      <c r="E12" s="522" t="s">
        <v>14</v>
      </c>
      <c r="F12" s="328"/>
    </row>
    <row r="13" spans="1:8" s="101" customFormat="1" ht="15" thickBot="1">
      <c r="A13" s="540">
        <f>SUM(A9:A12)</f>
        <v>1</v>
      </c>
      <c r="B13" s="719">
        <f>SUM(B9:B12)</f>
        <v>53.333333333333336</v>
      </c>
      <c r="C13" s="720" t="s">
        <v>15</v>
      </c>
      <c r="D13" s="721"/>
      <c r="E13" s="665"/>
      <c r="F13" s="328"/>
    </row>
    <row r="14" spans="1:8" s="101" customFormat="1" ht="15" thickBot="1">
      <c r="A14" s="523"/>
      <c r="B14" s="524"/>
      <c r="C14" s="525"/>
      <c r="D14" s="520"/>
      <c r="E14" s="250"/>
      <c r="F14" s="328"/>
    </row>
    <row r="15" spans="1:8" ht="29">
      <c r="A15" s="526" t="s">
        <v>16</v>
      </c>
      <c r="B15" s="527" t="s">
        <v>17</v>
      </c>
      <c r="C15" s="528" t="s">
        <v>18</v>
      </c>
      <c r="D15" s="529" t="s">
        <v>19</v>
      </c>
      <c r="E15" s="541" t="s">
        <v>20</v>
      </c>
      <c r="F15" s="530"/>
      <c r="H15" s="225"/>
    </row>
    <row r="16" spans="1:8" ht="14.5">
      <c r="A16" s="416" t="s">
        <v>21</v>
      </c>
      <c r="B16" s="517">
        <f>COUNTIF('Sale Proceeds'!B:B, "0BR")</f>
        <v>0</v>
      </c>
      <c r="C16" s="531">
        <f t="shared" ref="C16:C21" si="0">B16/TOTALDU</f>
        <v>0</v>
      </c>
      <c r="D16" s="446">
        <v>2</v>
      </c>
      <c r="E16" s="532">
        <f>B16*D16</f>
        <v>0</v>
      </c>
      <c r="F16" s="530"/>
    </row>
    <row r="17" spans="1:6" ht="14.5">
      <c r="A17" s="416" t="s">
        <v>22</v>
      </c>
      <c r="B17" s="517">
        <f>COUNTIF('Sale Proceeds'!B:B, "1BR")</f>
        <v>0</v>
      </c>
      <c r="C17" s="531">
        <f t="shared" si="0"/>
        <v>0</v>
      </c>
      <c r="D17" s="446">
        <v>3</v>
      </c>
      <c r="E17" s="532">
        <f t="shared" ref="E17:E20" si="1">B17*D17</f>
        <v>0</v>
      </c>
      <c r="F17" s="530"/>
    </row>
    <row r="18" spans="1:6" ht="14.5">
      <c r="A18" s="416" t="s">
        <v>23</v>
      </c>
      <c r="B18" s="517">
        <f>COUNTIF('Sale Proceeds'!B:B, "2BR")</f>
        <v>0</v>
      </c>
      <c r="C18" s="531">
        <f t="shared" si="0"/>
        <v>0</v>
      </c>
      <c r="D18" s="446">
        <v>4</v>
      </c>
      <c r="E18" s="532">
        <f t="shared" si="1"/>
        <v>0</v>
      </c>
      <c r="F18" s="530"/>
    </row>
    <row r="19" spans="1:6" ht="14.5">
      <c r="A19" s="416" t="s">
        <v>24</v>
      </c>
      <c r="B19" s="517">
        <f>COUNTIF('Sale Proceeds'!B:B, "3BR")</f>
        <v>0</v>
      </c>
      <c r="C19" s="531">
        <f t="shared" si="0"/>
        <v>0</v>
      </c>
      <c r="D19" s="446">
        <v>5</v>
      </c>
      <c r="E19" s="532">
        <f t="shared" si="1"/>
        <v>0</v>
      </c>
      <c r="F19" s="530"/>
    </row>
    <row r="20" spans="1:6" ht="14.5">
      <c r="A20" s="416" t="s">
        <v>25</v>
      </c>
      <c r="B20" s="517">
        <f>COUNTIF('Sale Proceeds'!B:B, "4BR")</f>
        <v>0</v>
      </c>
      <c r="C20" s="531">
        <f t="shared" si="0"/>
        <v>0</v>
      </c>
      <c r="D20" s="446">
        <v>6</v>
      </c>
      <c r="E20" s="532">
        <f t="shared" si="1"/>
        <v>0</v>
      </c>
      <c r="F20" s="530"/>
    </row>
    <row r="21" spans="1:6" ht="14.5">
      <c r="A21" s="416" t="s">
        <v>26</v>
      </c>
      <c r="B21" s="504"/>
      <c r="C21" s="531">
        <f t="shared" si="0"/>
        <v>0</v>
      </c>
      <c r="D21" s="504"/>
      <c r="E21" s="532">
        <f t="shared" ref="E21" si="2">B21*D21</f>
        <v>0</v>
      </c>
      <c r="F21" s="530"/>
    </row>
    <row r="22" spans="1:6" ht="15" thickBot="1">
      <c r="A22" s="542" t="s">
        <v>27</v>
      </c>
      <c r="B22" s="722">
        <f>SUM(B16:B21)</f>
        <v>0</v>
      </c>
      <c r="C22" s="723"/>
      <c r="D22" s="722"/>
      <c r="E22" s="666">
        <f>SUM(E16:E21)</f>
        <v>0</v>
      </c>
      <c r="F22" s="530"/>
    </row>
    <row r="23" spans="1:6" s="101" customFormat="1" ht="14.5">
      <c r="A23" s="533"/>
      <c r="B23" s="533"/>
      <c r="C23" s="533"/>
      <c r="D23" s="533"/>
      <c r="E23" s="534"/>
      <c r="F23" s="535"/>
    </row>
    <row r="24" spans="1:6" s="101" customFormat="1" ht="14.5">
      <c r="A24" s="535"/>
      <c r="B24" s="535"/>
      <c r="C24" s="535"/>
      <c r="D24" s="536"/>
      <c r="E24" s="535"/>
      <c r="F24" s="535"/>
    </row>
    <row r="25" spans="1:6" s="101" customFormat="1" ht="14.5">
      <c r="A25" s="535"/>
      <c r="B25" s="535"/>
      <c r="C25" s="776" t="s">
        <v>28</v>
      </c>
      <c r="D25" s="777"/>
      <c r="E25" s="778"/>
      <c r="F25" s="535"/>
    </row>
    <row r="26" spans="1:6" s="101" customFormat="1" ht="14.5">
      <c r="A26" s="543" t="s">
        <v>16</v>
      </c>
      <c r="B26" s="543" t="s">
        <v>17</v>
      </c>
      <c r="C26" s="543" t="s">
        <v>29</v>
      </c>
      <c r="D26" s="544" t="s">
        <v>30</v>
      </c>
      <c r="E26" s="545" t="s">
        <v>31</v>
      </c>
      <c r="F26" s="535"/>
    </row>
    <row r="27" spans="1:6" s="101" customFormat="1" ht="14.5">
      <c r="A27" s="546" t="s">
        <v>32</v>
      </c>
      <c r="B27" s="547">
        <f>B16</f>
        <v>0</v>
      </c>
      <c r="C27" s="548">
        <f>COUNTIFS('Sale Proceeds'!B:B,"0BR",'Sale Proceeds'!K:K,"&lt;90%")</f>
        <v>0</v>
      </c>
      <c r="D27" s="548">
        <f>COUNTIFS('Sale Proceeds'!B:B,"0BR",'Sale Proceeds'!K:K,"&gt;=90%",'Sale Proceeds'!K:K,"&lt;110%")</f>
        <v>0</v>
      </c>
      <c r="E27" s="548">
        <f>COUNTIFS('Sale Proceeds'!B:B,"0BR",'Sale Proceeds'!K:K,"&gt;=110%",'Sale Proceeds'!K:K,"&lt;130%")</f>
        <v>0</v>
      </c>
      <c r="F27" s="535"/>
    </row>
    <row r="28" spans="1:6" s="101" customFormat="1" ht="14.5">
      <c r="A28" s="546" t="s">
        <v>22</v>
      </c>
      <c r="B28" s="547">
        <f>B17</f>
        <v>0</v>
      </c>
      <c r="C28" s="548">
        <f>COUNTIFS('Sale Proceeds'!B:B,"1BR",'Sale Proceeds'!K:K,"&lt;90%")</f>
        <v>0</v>
      </c>
      <c r="D28" s="548">
        <f>COUNTIFS('Sale Proceeds'!B:B,"1BR",'Sale Proceeds'!K:K,"&gt;=90%",'Sale Proceeds'!K:K,"&lt;110%")</f>
        <v>0</v>
      </c>
      <c r="E28" s="548">
        <f>COUNTIFS('Sale Proceeds'!B:B,"1BR",'Sale Proceeds'!K:K,"&gt;=110%",'Sale Proceeds'!K:K,"&lt;130%")</f>
        <v>0</v>
      </c>
      <c r="F28" s="535"/>
    </row>
    <row r="29" spans="1:6" s="101" customFormat="1" ht="14.5">
      <c r="A29" s="546" t="s">
        <v>23</v>
      </c>
      <c r="B29" s="547">
        <f>B18</f>
        <v>0</v>
      </c>
      <c r="C29" s="548">
        <f>COUNTIFS('Sale Proceeds'!B:B,"2BR",'Sale Proceeds'!K:K,"&lt;90%")</f>
        <v>0</v>
      </c>
      <c r="D29" s="548">
        <f>COUNTIFS('Sale Proceeds'!B:B,"2BR",'Sale Proceeds'!K:K,"&gt;=90%",'Sale Proceeds'!K:K,"&lt;110%")</f>
        <v>0</v>
      </c>
      <c r="E29" s="548">
        <f>COUNTIFS('Sale Proceeds'!B:B,"2BR",'Sale Proceeds'!K:K,"&gt;=110%",'Sale Proceeds'!K:K,"&lt;130%")</f>
        <v>0</v>
      </c>
      <c r="F29" s="535"/>
    </row>
    <row r="30" spans="1:6" s="101" customFormat="1" ht="14.5">
      <c r="A30" s="546" t="s">
        <v>24</v>
      </c>
      <c r="B30" s="547">
        <f>B19</f>
        <v>0</v>
      </c>
      <c r="C30" s="548">
        <f>COUNTIFS('Sale Proceeds'!B:B,"3BR",'Sale Proceeds'!K:K,"&lt;90%")</f>
        <v>0</v>
      </c>
      <c r="D30" s="548">
        <f>COUNTIFS('Sale Proceeds'!B:B,"3BR",'Sale Proceeds'!K:K,"&gt;=90%",'Sale Proceeds'!K:K,"&lt;110%")</f>
        <v>0</v>
      </c>
      <c r="E30" s="548">
        <f>COUNTIFS('Sale Proceeds'!B:B,"3BR",'Sale Proceeds'!K:K,"&gt;=110%",'Sale Proceeds'!K:K,"&lt;130%")</f>
        <v>0</v>
      </c>
      <c r="F30" s="535"/>
    </row>
    <row r="31" spans="1:6" s="101" customFormat="1" ht="14.5">
      <c r="A31" s="546" t="s">
        <v>25</v>
      </c>
      <c r="B31" s="547">
        <f>B20</f>
        <v>0</v>
      </c>
      <c r="C31" s="548">
        <f>COUNTIFS('Sale Proceeds'!B:B,"4BR",'Sale Proceeds'!K:K,"&lt;90%")</f>
        <v>0</v>
      </c>
      <c r="D31" s="548">
        <f>COUNTIFS('Sale Proceeds'!B:B,"4BR",'Sale Proceeds'!K:K,"&gt;=90%",'Sale Proceeds'!K:K,"&lt;110%")</f>
        <v>0</v>
      </c>
      <c r="E31" s="548">
        <f>COUNTIFS('Sale Proceeds'!B:B,"4BR",'Sale Proceeds'!K:K,"&gt;=110%",'Sale Proceeds'!K:K,"&lt;130%")</f>
        <v>0</v>
      </c>
      <c r="F31" s="535"/>
    </row>
    <row r="32" spans="1:6" s="101" customFormat="1" ht="14.5">
      <c r="A32" s="549" t="s">
        <v>27</v>
      </c>
      <c r="B32" s="550">
        <f>SUM(B27:B31)</f>
        <v>0</v>
      </c>
      <c r="C32" s="551">
        <f>SUM(C27:C31)</f>
        <v>0</v>
      </c>
      <c r="D32" s="551">
        <f>SUM(D27:D31)</f>
        <v>0</v>
      </c>
      <c r="E32" s="551">
        <f>SUM(E27:E31)</f>
        <v>0</v>
      </c>
      <c r="F32" s="535"/>
    </row>
    <row r="33" spans="1:6" s="101" customFormat="1" ht="14.5">
      <c r="A33" s="535"/>
      <c r="B33" s="535"/>
      <c r="C33" s="535"/>
      <c r="D33" s="536"/>
      <c r="E33" s="535"/>
      <c r="F33" s="535"/>
    </row>
    <row r="34" spans="1:6" ht="14.5">
      <c r="A34" s="552"/>
      <c r="B34" s="537"/>
      <c r="C34" s="537"/>
      <c r="D34" s="530"/>
      <c r="E34" s="530"/>
      <c r="F34" s="530"/>
    </row>
    <row r="35" spans="1:6" ht="14.5">
      <c r="A35" s="779" t="s">
        <v>33</v>
      </c>
      <c r="B35" s="779"/>
      <c r="C35" s="779"/>
      <c r="D35" s="779"/>
      <c r="E35" s="530"/>
      <c r="F35" s="530"/>
    </row>
    <row r="36" spans="1:6" ht="14.5">
      <c r="A36" s="553" t="s">
        <v>34</v>
      </c>
      <c r="B36" s="553" t="s">
        <v>35</v>
      </c>
      <c r="C36" s="553" t="s">
        <v>36</v>
      </c>
      <c r="D36" s="553" t="s">
        <v>37</v>
      </c>
      <c r="E36" s="530"/>
      <c r="F36" s="530"/>
    </row>
    <row r="37" spans="1:6" ht="14.5">
      <c r="A37" s="554">
        <v>40000</v>
      </c>
      <c r="B37" s="555">
        <v>0.9</v>
      </c>
      <c r="C37" s="556">
        <f>C32</f>
        <v>0</v>
      </c>
      <c r="D37" s="557">
        <f>C37*A37</f>
        <v>0</v>
      </c>
      <c r="E37" s="530"/>
      <c r="F37" s="530"/>
    </row>
    <row r="38" spans="1:6" ht="14.5">
      <c r="A38" s="554">
        <v>32500</v>
      </c>
      <c r="B38" s="555">
        <v>1.1000000000000001</v>
      </c>
      <c r="C38" s="556">
        <f>D32</f>
        <v>0</v>
      </c>
      <c r="D38" s="557">
        <f t="shared" ref="D38:D39" si="3">C38*A38</f>
        <v>0</v>
      </c>
      <c r="E38" s="530"/>
      <c r="F38" s="530"/>
    </row>
    <row r="39" spans="1:6" ht="14.5">
      <c r="A39" s="554">
        <v>25000</v>
      </c>
      <c r="B39" s="555">
        <v>1.3</v>
      </c>
      <c r="C39" s="556">
        <f>E32</f>
        <v>0</v>
      </c>
      <c r="D39" s="557">
        <f t="shared" si="3"/>
        <v>0</v>
      </c>
      <c r="E39" s="530"/>
      <c r="F39" s="530"/>
    </row>
    <row r="40" spans="1:6" ht="14.5">
      <c r="A40" s="281"/>
      <c r="B40" s="281"/>
      <c r="C40" s="281" t="s">
        <v>27</v>
      </c>
      <c r="D40" s="538">
        <f>SUM(D37:D39)</f>
        <v>0</v>
      </c>
      <c r="E40" s="281"/>
      <c r="F40" s="281"/>
    </row>
    <row r="41" spans="1:6" ht="14.5">
      <c r="A41" s="281"/>
      <c r="B41" s="281"/>
      <c r="C41" s="281"/>
      <c r="D41" s="281"/>
      <c r="E41" s="281"/>
      <c r="F41" s="281"/>
    </row>
  </sheetData>
  <mergeCells count="2">
    <mergeCell ref="C25:E25"/>
    <mergeCell ref="A35:D35"/>
  </mergeCells>
  <pageMargins left="0.7" right="0.7" top="0.75" bottom="0.75" header="0.3" footer="0.3"/>
  <pageSetup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>
    <pageSetUpPr fitToPage="1"/>
  </sheetPr>
  <dimension ref="A1:AL43"/>
  <sheetViews>
    <sheetView zoomScaleNormal="100" zoomScaleSheetLayoutView="85" workbookViewId="0">
      <selection activeCell="F30" sqref="F30"/>
    </sheetView>
  </sheetViews>
  <sheetFormatPr defaultColWidth="9.08984375" defaultRowHeight="14"/>
  <cols>
    <col min="1" max="1" width="50.08984375" style="101" customWidth="1"/>
    <col min="2" max="2" width="19.08984375" style="184" bestFit="1" customWidth="1"/>
    <col min="3" max="3" width="18.6328125" style="184" customWidth="1"/>
    <col min="4" max="4" width="20.6328125" style="184" bestFit="1" customWidth="1"/>
    <col min="5" max="17" width="18.6328125" style="101" customWidth="1"/>
    <col min="18" max="18" width="13.453125" style="101" bestFit="1" customWidth="1"/>
    <col min="19" max="30" width="13.08984375" style="101" bestFit="1" customWidth="1"/>
    <col min="31" max="16384" width="9.08984375" style="101"/>
  </cols>
  <sheetData>
    <row r="1" spans="1:38" ht="14.5">
      <c r="A1" s="250" t="str">
        <f>'Project Overview'!A1</f>
        <v>Project Name</v>
      </c>
      <c r="B1" s="325">
        <f>'Project Overview'!B1</f>
        <v>0</v>
      </c>
      <c r="C1" s="326" t="s">
        <v>266</v>
      </c>
      <c r="D1" s="327">
        <f>'Project Overview'!$E$3</f>
        <v>50</v>
      </c>
      <c r="E1" s="250"/>
      <c r="F1" s="328"/>
      <c r="G1" s="328"/>
      <c r="H1" s="329"/>
      <c r="I1" s="329"/>
      <c r="J1" s="329"/>
      <c r="K1" s="329"/>
      <c r="L1" s="329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</row>
    <row r="2" spans="1:38" ht="14.5">
      <c r="A2" s="250" t="str">
        <f>'Project Overview'!A2</f>
        <v>Developer</v>
      </c>
      <c r="B2" s="330">
        <f>'Project Overview'!B2</f>
        <v>0</v>
      </c>
      <c r="C2" s="331" t="s">
        <v>267</v>
      </c>
      <c r="D2" s="331">
        <f>'Project Overview'!$E$22</f>
        <v>0</v>
      </c>
      <c r="E2" s="332"/>
      <c r="F2" s="328"/>
      <c r="G2" s="328"/>
      <c r="H2" s="329"/>
      <c r="I2" s="329"/>
      <c r="J2" s="329"/>
      <c r="K2" s="329"/>
      <c r="L2" s="329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</row>
    <row r="3" spans="1:38" ht="14.5">
      <c r="A3" s="250" t="str">
        <f>'Project Overview'!A3</f>
        <v>Address</v>
      </c>
      <c r="B3" s="325">
        <f>'Project Overview'!B3</f>
        <v>0</v>
      </c>
      <c r="C3" s="331" t="s">
        <v>268</v>
      </c>
      <c r="D3" s="333"/>
      <c r="E3" s="663"/>
      <c r="F3" s="328"/>
      <c r="G3" s="328"/>
      <c r="H3" s="329"/>
      <c r="I3" s="329"/>
      <c r="J3" s="329"/>
      <c r="K3" s="329"/>
      <c r="L3" s="329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</row>
    <row r="4" spans="1:38" ht="14.5">
      <c r="A4" s="250" t="str">
        <f>'Project Overview'!A4</f>
        <v>BBL</v>
      </c>
      <c r="B4" s="325">
        <f>'Project Overview'!B4</f>
        <v>0</v>
      </c>
      <c r="C4" s="331" t="s">
        <v>269</v>
      </c>
      <c r="D4" s="333"/>
      <c r="E4" s="663"/>
      <c r="F4" s="328"/>
      <c r="G4" s="328"/>
      <c r="H4" s="329"/>
      <c r="I4" s="329"/>
      <c r="J4" s="329"/>
      <c r="K4" s="329"/>
      <c r="L4" s="329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</row>
    <row r="5" spans="1:38" ht="14.5">
      <c r="A5" s="328"/>
      <c r="B5" s="334"/>
      <c r="C5" s="334"/>
      <c r="D5" s="334"/>
      <c r="E5" s="328"/>
      <c r="F5" s="328"/>
      <c r="G5" s="328"/>
      <c r="H5" s="329"/>
      <c r="I5" s="329"/>
      <c r="J5" s="329"/>
      <c r="K5" s="329"/>
      <c r="L5" s="329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</row>
    <row r="6" spans="1:38" ht="14.5">
      <c r="A6" s="329"/>
      <c r="B6" s="360"/>
      <c r="C6" s="341"/>
      <c r="D6" s="360"/>
      <c r="E6" s="329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</row>
    <row r="7" spans="1:38" ht="14.5">
      <c r="A7" s="329"/>
      <c r="B7" s="360"/>
      <c r="C7" s="341"/>
      <c r="D7" s="360"/>
      <c r="E7" s="329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</row>
    <row r="8" spans="1:38" ht="14.5">
      <c r="A8" s="361"/>
      <c r="B8" s="362"/>
      <c r="C8" s="363"/>
      <c r="D8" s="364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  <c r="AC8" s="328"/>
      <c r="AD8" s="328"/>
    </row>
    <row r="9" spans="1:38" ht="14.5">
      <c r="A9" s="361"/>
      <c r="B9" s="362"/>
      <c r="C9" s="379">
        <v>1</v>
      </c>
      <c r="D9" s="379">
        <v>2</v>
      </c>
      <c r="E9" s="379">
        <v>3</v>
      </c>
      <c r="F9" s="379">
        <v>4</v>
      </c>
      <c r="G9" s="379">
        <v>5</v>
      </c>
      <c r="H9" s="379">
        <v>6</v>
      </c>
      <c r="I9" s="379">
        <v>7</v>
      </c>
      <c r="J9" s="379">
        <v>8</v>
      </c>
      <c r="K9" s="379">
        <v>9</v>
      </c>
      <c r="L9" s="379">
        <v>10</v>
      </c>
      <c r="M9" s="379">
        <v>11</v>
      </c>
      <c r="N9" s="379">
        <v>12</v>
      </c>
      <c r="O9" s="379">
        <v>13</v>
      </c>
      <c r="P9" s="379">
        <v>14</v>
      </c>
      <c r="Q9" s="379">
        <v>15</v>
      </c>
      <c r="R9" s="379">
        <v>16</v>
      </c>
      <c r="S9" s="379">
        <v>17</v>
      </c>
      <c r="T9" s="379">
        <v>18</v>
      </c>
      <c r="U9" s="379">
        <v>19</v>
      </c>
      <c r="V9" s="379">
        <v>20</v>
      </c>
      <c r="W9" s="379">
        <v>21</v>
      </c>
      <c r="X9" s="379">
        <v>22</v>
      </c>
      <c r="Y9" s="379">
        <v>23</v>
      </c>
      <c r="Z9" s="379">
        <v>24</v>
      </c>
      <c r="AA9" s="379">
        <v>25</v>
      </c>
      <c r="AB9" s="379">
        <v>26</v>
      </c>
      <c r="AC9" s="379">
        <v>27</v>
      </c>
      <c r="AD9" s="379">
        <v>28</v>
      </c>
    </row>
    <row r="10" spans="1:38" ht="14.5">
      <c r="A10" s="326" t="s">
        <v>334</v>
      </c>
      <c r="B10" s="326"/>
      <c r="C10" s="365" t="s">
        <v>335</v>
      </c>
      <c r="D10" s="365" t="s">
        <v>335</v>
      </c>
      <c r="E10" s="365" t="s">
        <v>335</v>
      </c>
      <c r="F10" s="365" t="s">
        <v>335</v>
      </c>
      <c r="G10" s="365" t="s">
        <v>335</v>
      </c>
      <c r="H10" s="365" t="s">
        <v>335</v>
      </c>
      <c r="I10" s="365" t="s">
        <v>335</v>
      </c>
      <c r="J10" s="365" t="s">
        <v>335</v>
      </c>
      <c r="K10" s="365" t="s">
        <v>335</v>
      </c>
      <c r="L10" s="365" t="s">
        <v>335</v>
      </c>
      <c r="M10" s="365" t="s">
        <v>335</v>
      </c>
      <c r="N10" s="365" t="s">
        <v>335</v>
      </c>
      <c r="O10" s="365" t="s">
        <v>335</v>
      </c>
      <c r="P10" s="365" t="s">
        <v>335</v>
      </c>
      <c r="Q10" s="365" t="s">
        <v>335</v>
      </c>
      <c r="R10" s="365" t="s">
        <v>335</v>
      </c>
      <c r="S10" s="365" t="s">
        <v>335</v>
      </c>
      <c r="T10" s="365" t="s">
        <v>335</v>
      </c>
      <c r="U10" s="365" t="s">
        <v>335</v>
      </c>
      <c r="V10" s="365" t="s">
        <v>335</v>
      </c>
      <c r="W10" s="365" t="s">
        <v>335</v>
      </c>
      <c r="X10" s="365" t="s">
        <v>335</v>
      </c>
      <c r="Y10" s="365" t="s">
        <v>335</v>
      </c>
      <c r="Z10" s="365" t="s">
        <v>335</v>
      </c>
      <c r="AA10" s="365" t="s">
        <v>335</v>
      </c>
      <c r="AB10" s="365" t="s">
        <v>335</v>
      </c>
      <c r="AC10" s="365" t="s">
        <v>335</v>
      </c>
      <c r="AD10" s="365" t="s">
        <v>335</v>
      </c>
      <c r="AE10" s="236"/>
      <c r="AF10" s="236"/>
      <c r="AG10" s="236"/>
      <c r="AH10" s="236"/>
      <c r="AI10" s="236"/>
      <c r="AJ10" s="236"/>
      <c r="AK10" s="236"/>
      <c r="AL10" s="236"/>
    </row>
    <row r="11" spans="1:38" ht="14.5">
      <c r="A11" s="380" t="s">
        <v>336</v>
      </c>
      <c r="B11" s="250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28"/>
      <c r="S11" s="328"/>
      <c r="T11" s="328"/>
      <c r="U11" s="328"/>
      <c r="V11" s="328"/>
      <c r="W11" s="328"/>
      <c r="X11" s="328"/>
      <c r="Y11" s="328"/>
      <c r="Z11" s="328"/>
      <c r="AA11" s="328"/>
      <c r="AB11" s="328"/>
      <c r="AC11" s="328"/>
      <c r="AD11" s="328"/>
    </row>
    <row r="12" spans="1:38" ht="14.5">
      <c r="A12" s="329" t="s">
        <v>337</v>
      </c>
      <c r="B12" s="381"/>
      <c r="C12" s="333"/>
      <c r="D12" s="333"/>
      <c r="E12" s="333"/>
      <c r="F12" s="333"/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33"/>
      <c r="AC12" s="333"/>
      <c r="AD12" s="333"/>
    </row>
    <row r="13" spans="1:38" ht="14.5">
      <c r="A13" s="329" t="s">
        <v>338</v>
      </c>
      <c r="B13" s="381"/>
      <c r="C13" s="345">
        <f>C12</f>
        <v>0</v>
      </c>
      <c r="D13" s="345">
        <f>C13+D12</f>
        <v>0</v>
      </c>
      <c r="E13" s="345">
        <f t="shared" ref="E13:AD13" si="0">D13+E12</f>
        <v>0</v>
      </c>
      <c r="F13" s="345">
        <f t="shared" si="0"/>
        <v>0</v>
      </c>
      <c r="G13" s="345">
        <f t="shared" si="0"/>
        <v>0</v>
      </c>
      <c r="H13" s="345">
        <f t="shared" si="0"/>
        <v>0</v>
      </c>
      <c r="I13" s="345">
        <f t="shared" si="0"/>
        <v>0</v>
      </c>
      <c r="J13" s="345">
        <f t="shared" si="0"/>
        <v>0</v>
      </c>
      <c r="K13" s="345">
        <f t="shared" si="0"/>
        <v>0</v>
      </c>
      <c r="L13" s="345">
        <f t="shared" si="0"/>
        <v>0</v>
      </c>
      <c r="M13" s="345">
        <f t="shared" si="0"/>
        <v>0</v>
      </c>
      <c r="N13" s="345">
        <f t="shared" si="0"/>
        <v>0</v>
      </c>
      <c r="O13" s="345">
        <f t="shared" si="0"/>
        <v>0</v>
      </c>
      <c r="P13" s="345">
        <f t="shared" si="0"/>
        <v>0</v>
      </c>
      <c r="Q13" s="345">
        <f t="shared" si="0"/>
        <v>0</v>
      </c>
      <c r="R13" s="345">
        <f t="shared" si="0"/>
        <v>0</v>
      </c>
      <c r="S13" s="345">
        <f t="shared" si="0"/>
        <v>0</v>
      </c>
      <c r="T13" s="345">
        <f t="shared" si="0"/>
        <v>0</v>
      </c>
      <c r="U13" s="345">
        <f t="shared" si="0"/>
        <v>0</v>
      </c>
      <c r="V13" s="345">
        <f t="shared" si="0"/>
        <v>0</v>
      </c>
      <c r="W13" s="345">
        <f t="shared" si="0"/>
        <v>0</v>
      </c>
      <c r="X13" s="345">
        <f t="shared" si="0"/>
        <v>0</v>
      </c>
      <c r="Y13" s="345">
        <f t="shared" si="0"/>
        <v>0</v>
      </c>
      <c r="Z13" s="345">
        <f t="shared" si="0"/>
        <v>0</v>
      </c>
      <c r="AA13" s="345">
        <f t="shared" si="0"/>
        <v>0</v>
      </c>
      <c r="AB13" s="345">
        <f t="shared" si="0"/>
        <v>0</v>
      </c>
      <c r="AC13" s="345">
        <f t="shared" si="0"/>
        <v>0</v>
      </c>
      <c r="AD13" s="345">
        <f t="shared" si="0"/>
        <v>0</v>
      </c>
    </row>
    <row r="14" spans="1:38" ht="14.5">
      <c r="A14" s="329"/>
      <c r="B14" s="381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28"/>
      <c r="S14" s="328"/>
      <c r="T14" s="328"/>
      <c r="U14" s="328"/>
      <c r="V14" s="328"/>
      <c r="W14" s="328"/>
      <c r="X14" s="328"/>
      <c r="Y14" s="328"/>
      <c r="Z14" s="328"/>
      <c r="AA14" s="328"/>
      <c r="AB14" s="328"/>
      <c r="AC14" s="328"/>
      <c r="AD14" s="328"/>
    </row>
    <row r="15" spans="1:38" s="103" customFormat="1" ht="14.5">
      <c r="A15" s="329" t="s">
        <v>339</v>
      </c>
      <c r="B15" s="369"/>
      <c r="C15" s="345">
        <f>$D$1-C13</f>
        <v>50</v>
      </c>
      <c r="D15" s="345">
        <f t="shared" ref="D15:AD15" si="1">$D$1-D13</f>
        <v>50</v>
      </c>
      <c r="E15" s="345">
        <f t="shared" si="1"/>
        <v>50</v>
      </c>
      <c r="F15" s="345">
        <f t="shared" si="1"/>
        <v>50</v>
      </c>
      <c r="G15" s="345">
        <f t="shared" si="1"/>
        <v>50</v>
      </c>
      <c r="H15" s="345">
        <f t="shared" si="1"/>
        <v>50</v>
      </c>
      <c r="I15" s="345">
        <f t="shared" si="1"/>
        <v>50</v>
      </c>
      <c r="J15" s="345">
        <f t="shared" si="1"/>
        <v>50</v>
      </c>
      <c r="K15" s="345">
        <f t="shared" si="1"/>
        <v>50</v>
      </c>
      <c r="L15" s="345">
        <f t="shared" si="1"/>
        <v>50</v>
      </c>
      <c r="M15" s="345">
        <f t="shared" si="1"/>
        <v>50</v>
      </c>
      <c r="N15" s="345">
        <f t="shared" si="1"/>
        <v>50</v>
      </c>
      <c r="O15" s="345">
        <f t="shared" si="1"/>
        <v>50</v>
      </c>
      <c r="P15" s="345">
        <f t="shared" si="1"/>
        <v>50</v>
      </c>
      <c r="Q15" s="345">
        <f t="shared" si="1"/>
        <v>50</v>
      </c>
      <c r="R15" s="345">
        <f t="shared" si="1"/>
        <v>50</v>
      </c>
      <c r="S15" s="345">
        <f t="shared" si="1"/>
        <v>50</v>
      </c>
      <c r="T15" s="345">
        <f t="shared" si="1"/>
        <v>50</v>
      </c>
      <c r="U15" s="345">
        <f t="shared" si="1"/>
        <v>50</v>
      </c>
      <c r="V15" s="345">
        <f t="shared" si="1"/>
        <v>50</v>
      </c>
      <c r="W15" s="345">
        <f t="shared" si="1"/>
        <v>50</v>
      </c>
      <c r="X15" s="345">
        <f t="shared" si="1"/>
        <v>50</v>
      </c>
      <c r="Y15" s="345">
        <f t="shared" si="1"/>
        <v>50</v>
      </c>
      <c r="Z15" s="345">
        <f t="shared" si="1"/>
        <v>50</v>
      </c>
      <c r="AA15" s="345">
        <f t="shared" si="1"/>
        <v>50</v>
      </c>
      <c r="AB15" s="345">
        <f t="shared" si="1"/>
        <v>50</v>
      </c>
      <c r="AC15" s="345">
        <f t="shared" si="1"/>
        <v>50</v>
      </c>
      <c r="AD15" s="345">
        <f t="shared" si="1"/>
        <v>50</v>
      </c>
    </row>
    <row r="16" spans="1:38" s="103" customFormat="1" ht="14.5">
      <c r="A16" s="382" t="s">
        <v>18</v>
      </c>
      <c r="B16" s="369"/>
      <c r="C16" s="383">
        <f>C15/$D$1</f>
        <v>1</v>
      </c>
      <c r="D16" s="383">
        <f t="shared" ref="D16:AD16" si="2">D15/$D$1</f>
        <v>1</v>
      </c>
      <c r="E16" s="383">
        <f t="shared" si="2"/>
        <v>1</v>
      </c>
      <c r="F16" s="383">
        <f t="shared" si="2"/>
        <v>1</v>
      </c>
      <c r="G16" s="383">
        <f t="shared" si="2"/>
        <v>1</v>
      </c>
      <c r="H16" s="383">
        <f t="shared" si="2"/>
        <v>1</v>
      </c>
      <c r="I16" s="383">
        <f t="shared" si="2"/>
        <v>1</v>
      </c>
      <c r="J16" s="383">
        <f t="shared" si="2"/>
        <v>1</v>
      </c>
      <c r="K16" s="383">
        <f t="shared" si="2"/>
        <v>1</v>
      </c>
      <c r="L16" s="383">
        <f t="shared" si="2"/>
        <v>1</v>
      </c>
      <c r="M16" s="383">
        <f t="shared" si="2"/>
        <v>1</v>
      </c>
      <c r="N16" s="383">
        <f t="shared" si="2"/>
        <v>1</v>
      </c>
      <c r="O16" s="383">
        <f t="shared" si="2"/>
        <v>1</v>
      </c>
      <c r="P16" s="383">
        <f t="shared" si="2"/>
        <v>1</v>
      </c>
      <c r="Q16" s="383">
        <f t="shared" si="2"/>
        <v>1</v>
      </c>
      <c r="R16" s="383">
        <f t="shared" si="2"/>
        <v>1</v>
      </c>
      <c r="S16" s="383">
        <f t="shared" si="2"/>
        <v>1</v>
      </c>
      <c r="T16" s="383">
        <f t="shared" si="2"/>
        <v>1</v>
      </c>
      <c r="U16" s="383">
        <f t="shared" si="2"/>
        <v>1</v>
      </c>
      <c r="V16" s="383">
        <f t="shared" si="2"/>
        <v>1</v>
      </c>
      <c r="W16" s="383">
        <f t="shared" si="2"/>
        <v>1</v>
      </c>
      <c r="X16" s="383">
        <f t="shared" si="2"/>
        <v>1</v>
      </c>
      <c r="Y16" s="383">
        <f t="shared" si="2"/>
        <v>1</v>
      </c>
      <c r="Z16" s="383">
        <f t="shared" si="2"/>
        <v>1</v>
      </c>
      <c r="AA16" s="383">
        <f t="shared" si="2"/>
        <v>1</v>
      </c>
      <c r="AB16" s="383">
        <f t="shared" si="2"/>
        <v>1</v>
      </c>
      <c r="AC16" s="383">
        <f t="shared" si="2"/>
        <v>1</v>
      </c>
      <c r="AD16" s="383">
        <f t="shared" si="2"/>
        <v>1</v>
      </c>
    </row>
    <row r="17" spans="1:30" ht="14.5">
      <c r="A17" s="250"/>
      <c r="B17" s="250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28"/>
      <c r="S17" s="328"/>
      <c r="T17" s="328"/>
      <c r="U17" s="328"/>
      <c r="V17" s="328"/>
      <c r="W17" s="328"/>
      <c r="X17" s="328"/>
      <c r="Y17" s="328"/>
      <c r="Z17" s="328"/>
      <c r="AA17" s="328"/>
      <c r="AB17" s="328"/>
      <c r="AC17" s="328"/>
      <c r="AD17" s="328"/>
    </row>
    <row r="18" spans="1:30" ht="14.5">
      <c r="A18" s="380" t="s">
        <v>340</v>
      </c>
      <c r="B18" s="329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28"/>
      <c r="S18" s="328"/>
      <c r="T18" s="328"/>
      <c r="U18" s="328"/>
      <c r="V18" s="328"/>
      <c r="W18" s="328"/>
      <c r="X18" s="328"/>
      <c r="Y18" s="328"/>
      <c r="Z18" s="328"/>
      <c r="AA18" s="328"/>
      <c r="AB18" s="328"/>
      <c r="AC18" s="328"/>
      <c r="AD18" s="328"/>
    </row>
    <row r="19" spans="1:30" ht="14.5">
      <c r="A19" s="329" t="s">
        <v>341</v>
      </c>
      <c r="B19" s="381"/>
      <c r="C19" s="333"/>
      <c r="D19" s="333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</row>
    <row r="20" spans="1:30" ht="14.5">
      <c r="A20" s="329" t="s">
        <v>342</v>
      </c>
      <c r="B20" s="381"/>
      <c r="C20" s="345">
        <f>C19</f>
        <v>0</v>
      </c>
      <c r="D20" s="345">
        <f>C20+D19</f>
        <v>0</v>
      </c>
      <c r="E20" s="345">
        <f t="shared" ref="E20" si="3">D20+E19</f>
        <v>0</v>
      </c>
      <c r="F20" s="345">
        <f t="shared" ref="F20" si="4">E20+F19</f>
        <v>0</v>
      </c>
      <c r="G20" s="345">
        <f t="shared" ref="G20" si="5">F20+G19</f>
        <v>0</v>
      </c>
      <c r="H20" s="345">
        <f t="shared" ref="H20" si="6">G20+H19</f>
        <v>0</v>
      </c>
      <c r="I20" s="345">
        <f t="shared" ref="I20" si="7">H20+I19</f>
        <v>0</v>
      </c>
      <c r="J20" s="345">
        <f t="shared" ref="J20" si="8">I20+J19</f>
        <v>0</v>
      </c>
      <c r="K20" s="345">
        <f t="shared" ref="K20" si="9">J20+K19</f>
        <v>0</v>
      </c>
      <c r="L20" s="345">
        <f t="shared" ref="L20" si="10">K20+L19</f>
        <v>0</v>
      </c>
      <c r="M20" s="345">
        <f t="shared" ref="M20" si="11">L20+M19</f>
        <v>0</v>
      </c>
      <c r="N20" s="345">
        <f t="shared" ref="N20" si="12">M20+N19</f>
        <v>0</v>
      </c>
      <c r="O20" s="345">
        <f t="shared" ref="O20" si="13">N20+O19</f>
        <v>0</v>
      </c>
      <c r="P20" s="345">
        <f t="shared" ref="P20" si="14">O20+P19</f>
        <v>0</v>
      </c>
      <c r="Q20" s="345">
        <f t="shared" ref="Q20" si="15">P20+Q19</f>
        <v>0</v>
      </c>
      <c r="R20" s="345">
        <f t="shared" ref="R20" si="16">Q20+R19</f>
        <v>0</v>
      </c>
      <c r="S20" s="345">
        <f t="shared" ref="S20" si="17">R20+S19</f>
        <v>0</v>
      </c>
      <c r="T20" s="345">
        <f t="shared" ref="T20" si="18">S20+T19</f>
        <v>0</v>
      </c>
      <c r="U20" s="345">
        <f t="shared" ref="U20" si="19">T20+U19</f>
        <v>0</v>
      </c>
      <c r="V20" s="345">
        <f t="shared" ref="V20" si="20">U20+V19</f>
        <v>0</v>
      </c>
      <c r="W20" s="345">
        <f t="shared" ref="W20" si="21">V20+W19</f>
        <v>0</v>
      </c>
      <c r="X20" s="345">
        <f t="shared" ref="X20" si="22">W20+X19</f>
        <v>0</v>
      </c>
      <c r="Y20" s="345">
        <f t="shared" ref="Y20" si="23">X20+Y19</f>
        <v>0</v>
      </c>
      <c r="Z20" s="345">
        <f t="shared" ref="Z20" si="24">Y20+Z19</f>
        <v>0</v>
      </c>
      <c r="AA20" s="345">
        <f t="shared" ref="AA20" si="25">Z20+AA19</f>
        <v>0</v>
      </c>
      <c r="AB20" s="345">
        <f t="shared" ref="AB20" si="26">AA20+AB19</f>
        <v>0</v>
      </c>
      <c r="AC20" s="345">
        <f t="shared" ref="AC20" si="27">AB20+AC19</f>
        <v>0</v>
      </c>
      <c r="AD20" s="345">
        <f t="shared" ref="AD20" si="28">AC20+AD19</f>
        <v>0</v>
      </c>
    </row>
    <row r="21" spans="1:30" ht="14.5">
      <c r="A21" s="329"/>
      <c r="B21" s="250"/>
      <c r="C21" s="359"/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28"/>
      <c r="S21" s="328"/>
      <c r="T21" s="328"/>
      <c r="U21" s="328"/>
      <c r="V21" s="328"/>
      <c r="W21" s="328"/>
      <c r="X21" s="328"/>
      <c r="Y21" s="328"/>
      <c r="Z21" s="328"/>
      <c r="AA21" s="328"/>
      <c r="AB21" s="328"/>
      <c r="AC21" s="328"/>
      <c r="AD21" s="328"/>
    </row>
    <row r="22" spans="1:30" ht="14.5">
      <c r="A22" s="329" t="s">
        <v>343</v>
      </c>
      <c r="B22" s="250"/>
      <c r="C22" s="345">
        <f>$D$1-C20</f>
        <v>50</v>
      </c>
      <c r="D22" s="345">
        <f t="shared" ref="D22:AD22" si="29">$D$1-D20</f>
        <v>50</v>
      </c>
      <c r="E22" s="345">
        <f t="shared" si="29"/>
        <v>50</v>
      </c>
      <c r="F22" s="345">
        <f t="shared" si="29"/>
        <v>50</v>
      </c>
      <c r="G22" s="345">
        <f t="shared" si="29"/>
        <v>50</v>
      </c>
      <c r="H22" s="345">
        <f t="shared" si="29"/>
        <v>50</v>
      </c>
      <c r="I22" s="345">
        <f t="shared" si="29"/>
        <v>50</v>
      </c>
      <c r="J22" s="345">
        <f t="shared" si="29"/>
        <v>50</v>
      </c>
      <c r="K22" s="345">
        <f t="shared" si="29"/>
        <v>50</v>
      </c>
      <c r="L22" s="345">
        <f t="shared" si="29"/>
        <v>50</v>
      </c>
      <c r="M22" s="345">
        <f t="shared" si="29"/>
        <v>50</v>
      </c>
      <c r="N22" s="345">
        <f t="shared" si="29"/>
        <v>50</v>
      </c>
      <c r="O22" s="345">
        <f t="shared" si="29"/>
        <v>50</v>
      </c>
      <c r="P22" s="345">
        <f t="shared" si="29"/>
        <v>50</v>
      </c>
      <c r="Q22" s="345">
        <f t="shared" si="29"/>
        <v>50</v>
      </c>
      <c r="R22" s="345">
        <f t="shared" si="29"/>
        <v>50</v>
      </c>
      <c r="S22" s="345">
        <f t="shared" si="29"/>
        <v>50</v>
      </c>
      <c r="T22" s="345">
        <f t="shared" si="29"/>
        <v>50</v>
      </c>
      <c r="U22" s="345">
        <f t="shared" si="29"/>
        <v>50</v>
      </c>
      <c r="V22" s="345">
        <f t="shared" si="29"/>
        <v>50</v>
      </c>
      <c r="W22" s="345">
        <f t="shared" si="29"/>
        <v>50</v>
      </c>
      <c r="X22" s="345">
        <f t="shared" si="29"/>
        <v>50</v>
      </c>
      <c r="Y22" s="345">
        <f t="shared" si="29"/>
        <v>50</v>
      </c>
      <c r="Z22" s="345">
        <f t="shared" si="29"/>
        <v>50</v>
      </c>
      <c r="AA22" s="345">
        <f t="shared" si="29"/>
        <v>50</v>
      </c>
      <c r="AB22" s="345">
        <f t="shared" si="29"/>
        <v>50</v>
      </c>
      <c r="AC22" s="345">
        <f t="shared" si="29"/>
        <v>50</v>
      </c>
      <c r="AD22" s="345">
        <f t="shared" si="29"/>
        <v>50</v>
      </c>
    </row>
    <row r="23" spans="1:30" ht="14.5">
      <c r="A23" s="382" t="s">
        <v>18</v>
      </c>
      <c r="B23" s="250"/>
      <c r="C23" s="384">
        <f>C22/$D$1</f>
        <v>1</v>
      </c>
      <c r="D23" s="384">
        <f t="shared" ref="D23:AD23" si="30">D22/$D$1</f>
        <v>1</v>
      </c>
      <c r="E23" s="384">
        <f t="shared" si="30"/>
        <v>1</v>
      </c>
      <c r="F23" s="384">
        <f t="shared" si="30"/>
        <v>1</v>
      </c>
      <c r="G23" s="384">
        <f t="shared" si="30"/>
        <v>1</v>
      </c>
      <c r="H23" s="384">
        <f t="shared" si="30"/>
        <v>1</v>
      </c>
      <c r="I23" s="384">
        <f t="shared" si="30"/>
        <v>1</v>
      </c>
      <c r="J23" s="384">
        <f t="shared" si="30"/>
        <v>1</v>
      </c>
      <c r="K23" s="384">
        <f t="shared" si="30"/>
        <v>1</v>
      </c>
      <c r="L23" s="384">
        <f t="shared" si="30"/>
        <v>1</v>
      </c>
      <c r="M23" s="384">
        <f t="shared" si="30"/>
        <v>1</v>
      </c>
      <c r="N23" s="384">
        <f t="shared" si="30"/>
        <v>1</v>
      </c>
      <c r="O23" s="384">
        <f t="shared" si="30"/>
        <v>1</v>
      </c>
      <c r="P23" s="384">
        <f t="shared" si="30"/>
        <v>1</v>
      </c>
      <c r="Q23" s="384">
        <f t="shared" si="30"/>
        <v>1</v>
      </c>
      <c r="R23" s="384">
        <f t="shared" si="30"/>
        <v>1</v>
      </c>
      <c r="S23" s="384">
        <f t="shared" si="30"/>
        <v>1</v>
      </c>
      <c r="T23" s="384">
        <f t="shared" si="30"/>
        <v>1</v>
      </c>
      <c r="U23" s="384">
        <f t="shared" si="30"/>
        <v>1</v>
      </c>
      <c r="V23" s="384">
        <f t="shared" si="30"/>
        <v>1</v>
      </c>
      <c r="W23" s="384">
        <f t="shared" si="30"/>
        <v>1</v>
      </c>
      <c r="X23" s="384">
        <f t="shared" si="30"/>
        <v>1</v>
      </c>
      <c r="Y23" s="384">
        <f t="shared" si="30"/>
        <v>1</v>
      </c>
      <c r="Z23" s="384">
        <f t="shared" si="30"/>
        <v>1</v>
      </c>
      <c r="AA23" s="384">
        <f t="shared" si="30"/>
        <v>1</v>
      </c>
      <c r="AB23" s="384">
        <f t="shared" si="30"/>
        <v>1</v>
      </c>
      <c r="AC23" s="384">
        <f t="shared" si="30"/>
        <v>1</v>
      </c>
      <c r="AD23" s="384">
        <f t="shared" si="30"/>
        <v>1</v>
      </c>
    </row>
    <row r="24" spans="1:30" ht="14.5">
      <c r="A24" s="385"/>
      <c r="B24" s="345"/>
      <c r="C24" s="345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8"/>
      <c r="S24" s="328"/>
      <c r="T24" s="328"/>
      <c r="U24" s="328"/>
      <c r="V24" s="328"/>
      <c r="W24" s="328"/>
      <c r="X24" s="328"/>
      <c r="Y24" s="328"/>
      <c r="Z24" s="328"/>
      <c r="AA24" s="328"/>
      <c r="AB24" s="328"/>
      <c r="AC24" s="328"/>
      <c r="AD24" s="328"/>
    </row>
    <row r="25" spans="1:30" ht="14.5">
      <c r="A25" s="380" t="s">
        <v>127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28"/>
      <c r="S25" s="328"/>
      <c r="T25" s="328"/>
      <c r="U25" s="328"/>
      <c r="V25" s="328"/>
      <c r="W25" s="328"/>
      <c r="X25" s="328"/>
      <c r="Y25" s="328"/>
      <c r="Z25" s="328"/>
      <c r="AA25" s="328"/>
      <c r="AB25" s="328"/>
      <c r="AC25" s="328"/>
      <c r="AD25" s="328"/>
    </row>
    <row r="26" spans="1:30" ht="14.5">
      <c r="A26" s="329" t="s">
        <v>344</v>
      </c>
      <c r="B26" s="345"/>
      <c r="C26" s="386"/>
      <c r="D26" s="386"/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  <c r="AC26" s="386"/>
      <c r="AD26" s="386"/>
    </row>
    <row r="27" spans="1:30" ht="14.5">
      <c r="A27" s="329" t="s">
        <v>345</v>
      </c>
      <c r="B27" s="334"/>
      <c r="C27" s="386"/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  <c r="AC27" s="386"/>
      <c r="AD27" s="386"/>
    </row>
    <row r="28" spans="1:30" ht="14.5">
      <c r="A28" s="250" t="s">
        <v>346</v>
      </c>
      <c r="B28" s="334"/>
      <c r="C28" s="387">
        <f t="shared" ref="C28:AD28" si="31">C26+C27</f>
        <v>0</v>
      </c>
      <c r="D28" s="387">
        <f t="shared" si="31"/>
        <v>0</v>
      </c>
      <c r="E28" s="387">
        <f t="shared" si="31"/>
        <v>0</v>
      </c>
      <c r="F28" s="387">
        <f t="shared" si="31"/>
        <v>0</v>
      </c>
      <c r="G28" s="387">
        <f t="shared" si="31"/>
        <v>0</v>
      </c>
      <c r="H28" s="387">
        <f t="shared" si="31"/>
        <v>0</v>
      </c>
      <c r="I28" s="387">
        <f t="shared" si="31"/>
        <v>0</v>
      </c>
      <c r="J28" s="387">
        <f t="shared" si="31"/>
        <v>0</v>
      </c>
      <c r="K28" s="387">
        <f t="shared" si="31"/>
        <v>0</v>
      </c>
      <c r="L28" s="387">
        <f t="shared" si="31"/>
        <v>0</v>
      </c>
      <c r="M28" s="387">
        <f t="shared" si="31"/>
        <v>0</v>
      </c>
      <c r="N28" s="387">
        <f t="shared" si="31"/>
        <v>0</v>
      </c>
      <c r="O28" s="387">
        <f t="shared" si="31"/>
        <v>0</v>
      </c>
      <c r="P28" s="387">
        <f t="shared" si="31"/>
        <v>0</v>
      </c>
      <c r="Q28" s="387">
        <f t="shared" si="31"/>
        <v>0</v>
      </c>
      <c r="R28" s="387">
        <f t="shared" si="31"/>
        <v>0</v>
      </c>
      <c r="S28" s="387">
        <f t="shared" si="31"/>
        <v>0</v>
      </c>
      <c r="T28" s="387">
        <f t="shared" si="31"/>
        <v>0</v>
      </c>
      <c r="U28" s="387">
        <f t="shared" si="31"/>
        <v>0</v>
      </c>
      <c r="V28" s="387">
        <f t="shared" si="31"/>
        <v>0</v>
      </c>
      <c r="W28" s="387">
        <f t="shared" si="31"/>
        <v>0</v>
      </c>
      <c r="X28" s="387">
        <f t="shared" si="31"/>
        <v>0</v>
      </c>
      <c r="Y28" s="387">
        <f t="shared" si="31"/>
        <v>0</v>
      </c>
      <c r="Z28" s="387">
        <f t="shared" si="31"/>
        <v>0</v>
      </c>
      <c r="AA28" s="387">
        <f t="shared" si="31"/>
        <v>0</v>
      </c>
      <c r="AB28" s="387">
        <f t="shared" si="31"/>
        <v>0</v>
      </c>
      <c r="AC28" s="387">
        <f t="shared" si="31"/>
        <v>0</v>
      </c>
      <c r="AD28" s="387">
        <f t="shared" si="31"/>
        <v>0</v>
      </c>
    </row>
    <row r="29" spans="1:30" ht="14.5">
      <c r="A29" s="328"/>
      <c r="B29" s="334"/>
      <c r="C29" s="334"/>
      <c r="D29" s="334"/>
      <c r="E29" s="328"/>
      <c r="F29" s="328"/>
      <c r="G29" s="328"/>
      <c r="H29" s="328"/>
      <c r="I29" s="328"/>
      <c r="J29" s="328"/>
      <c r="K29" s="328"/>
      <c r="L29" s="328"/>
      <c r="M29" s="328"/>
      <c r="N29" s="328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8"/>
      <c r="AA29" s="328"/>
      <c r="AB29" s="328"/>
      <c r="AC29" s="328"/>
      <c r="AD29" s="328"/>
    </row>
    <row r="30" spans="1:30" ht="14.5">
      <c r="A30" s="328" t="s">
        <v>347</v>
      </c>
      <c r="B30" s="334"/>
      <c r="C30" s="386"/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  <c r="W30" s="386"/>
      <c r="X30" s="386"/>
      <c r="Y30" s="386"/>
      <c r="Z30" s="386"/>
      <c r="AA30" s="386"/>
      <c r="AB30" s="386"/>
      <c r="AC30" s="386"/>
      <c r="AD30" s="386"/>
    </row>
    <row r="31" spans="1:30" ht="14.5">
      <c r="A31" s="328" t="s">
        <v>348</v>
      </c>
      <c r="B31" s="334"/>
      <c r="C31" s="388">
        <f>IF(B32=0,0,MIN(C28-C30,B32))</f>
        <v>0</v>
      </c>
      <c r="D31" s="388">
        <f t="shared" ref="D31:AD31" si="32">IF(C32=0,0,MIN(D28-D30,C32))</f>
        <v>0</v>
      </c>
      <c r="E31" s="388">
        <f t="shared" si="32"/>
        <v>0</v>
      </c>
      <c r="F31" s="388">
        <f t="shared" si="32"/>
        <v>0</v>
      </c>
      <c r="G31" s="388">
        <f t="shared" si="32"/>
        <v>0</v>
      </c>
      <c r="H31" s="388">
        <f t="shared" si="32"/>
        <v>0</v>
      </c>
      <c r="I31" s="388">
        <f t="shared" si="32"/>
        <v>0</v>
      </c>
      <c r="J31" s="388">
        <f t="shared" si="32"/>
        <v>0</v>
      </c>
      <c r="K31" s="388">
        <f t="shared" si="32"/>
        <v>0</v>
      </c>
      <c r="L31" s="388">
        <f t="shared" si="32"/>
        <v>0</v>
      </c>
      <c r="M31" s="388">
        <f t="shared" si="32"/>
        <v>0</v>
      </c>
      <c r="N31" s="388">
        <f t="shared" si="32"/>
        <v>0</v>
      </c>
      <c r="O31" s="388">
        <f t="shared" si="32"/>
        <v>0</v>
      </c>
      <c r="P31" s="388">
        <f t="shared" si="32"/>
        <v>0</v>
      </c>
      <c r="Q31" s="388">
        <f t="shared" si="32"/>
        <v>0</v>
      </c>
      <c r="R31" s="388">
        <f t="shared" si="32"/>
        <v>0</v>
      </c>
      <c r="S31" s="388">
        <f t="shared" si="32"/>
        <v>0</v>
      </c>
      <c r="T31" s="388">
        <f t="shared" si="32"/>
        <v>0</v>
      </c>
      <c r="U31" s="388">
        <f t="shared" si="32"/>
        <v>0</v>
      </c>
      <c r="V31" s="388">
        <f t="shared" si="32"/>
        <v>0</v>
      </c>
      <c r="W31" s="388">
        <f t="shared" si="32"/>
        <v>0</v>
      </c>
      <c r="X31" s="388">
        <f t="shared" si="32"/>
        <v>0</v>
      </c>
      <c r="Y31" s="388">
        <f t="shared" si="32"/>
        <v>0</v>
      </c>
      <c r="Z31" s="388">
        <f t="shared" si="32"/>
        <v>0</v>
      </c>
      <c r="AA31" s="388">
        <f t="shared" si="32"/>
        <v>0</v>
      </c>
      <c r="AB31" s="388">
        <f t="shared" si="32"/>
        <v>0</v>
      </c>
      <c r="AC31" s="388">
        <f t="shared" si="32"/>
        <v>0</v>
      </c>
      <c r="AD31" s="388">
        <f t="shared" si="32"/>
        <v>0</v>
      </c>
    </row>
    <row r="32" spans="1:30" ht="14.5">
      <c r="A32" s="389" t="s">
        <v>349</v>
      </c>
      <c r="B32" s="390">
        <f>'Dev Budget'!B79</f>
        <v>1000000</v>
      </c>
      <c r="C32" s="387">
        <f>B32-'Project Sellout'!C31</f>
        <v>1000000</v>
      </c>
      <c r="D32" s="387">
        <f>C32-'Project Sellout'!D31</f>
        <v>1000000</v>
      </c>
      <c r="E32" s="387">
        <f>D32-'Project Sellout'!E31</f>
        <v>1000000</v>
      </c>
      <c r="F32" s="387">
        <f>E32-'Project Sellout'!F31</f>
        <v>1000000</v>
      </c>
      <c r="G32" s="387">
        <f>F32-'Project Sellout'!G31</f>
        <v>1000000</v>
      </c>
      <c r="H32" s="387">
        <f>G32-'Project Sellout'!H31</f>
        <v>1000000</v>
      </c>
      <c r="I32" s="387">
        <f>H32-'Project Sellout'!I31</f>
        <v>1000000</v>
      </c>
      <c r="J32" s="387">
        <f>I32-'Project Sellout'!J31</f>
        <v>1000000</v>
      </c>
      <c r="K32" s="387">
        <f>J32-'Project Sellout'!K31</f>
        <v>1000000</v>
      </c>
      <c r="L32" s="387">
        <f>K32-'Project Sellout'!L31</f>
        <v>1000000</v>
      </c>
      <c r="M32" s="387">
        <f>L32-'Project Sellout'!M31</f>
        <v>1000000</v>
      </c>
      <c r="N32" s="387">
        <f>M32-'Project Sellout'!N31</f>
        <v>1000000</v>
      </c>
      <c r="O32" s="387">
        <f>N32-'Project Sellout'!O31</f>
        <v>1000000</v>
      </c>
      <c r="P32" s="387">
        <f>O32-'Project Sellout'!P31</f>
        <v>1000000</v>
      </c>
      <c r="Q32" s="387">
        <f>P32-'Project Sellout'!Q31</f>
        <v>1000000</v>
      </c>
      <c r="R32" s="387">
        <f>Q32-'Project Sellout'!R31</f>
        <v>1000000</v>
      </c>
      <c r="S32" s="387">
        <f>R32-'Project Sellout'!S31</f>
        <v>1000000</v>
      </c>
      <c r="T32" s="387">
        <f>S32-'Project Sellout'!T31</f>
        <v>1000000</v>
      </c>
      <c r="U32" s="387">
        <f>T32-'Project Sellout'!U31</f>
        <v>1000000</v>
      </c>
      <c r="V32" s="387">
        <f>U32-'Project Sellout'!V31</f>
        <v>1000000</v>
      </c>
      <c r="W32" s="387">
        <f>V32-'Project Sellout'!W31</f>
        <v>1000000</v>
      </c>
      <c r="X32" s="387">
        <f>W32-'Project Sellout'!X31</f>
        <v>1000000</v>
      </c>
      <c r="Y32" s="387">
        <f>X32-'Project Sellout'!Y31</f>
        <v>1000000</v>
      </c>
      <c r="Z32" s="387">
        <f>Y32-'Project Sellout'!Z31</f>
        <v>1000000</v>
      </c>
      <c r="AA32" s="387">
        <f>Z32-'Project Sellout'!AA31</f>
        <v>1000000</v>
      </c>
      <c r="AB32" s="387">
        <f>AA32-'Project Sellout'!AB31</f>
        <v>1000000</v>
      </c>
      <c r="AC32" s="387">
        <f>AB32-'Project Sellout'!AC31</f>
        <v>1000000</v>
      </c>
      <c r="AD32" s="387">
        <f>AC32-'Project Sellout'!AD31</f>
        <v>1000000</v>
      </c>
    </row>
    <row r="33" spans="1:30" ht="14.5">
      <c r="A33" s="328"/>
      <c r="B33" s="334"/>
      <c r="C33" s="334"/>
      <c r="D33" s="334"/>
      <c r="E33" s="328"/>
      <c r="F33" s="328"/>
      <c r="G33" s="328"/>
      <c r="H33" s="328"/>
      <c r="I33" s="328"/>
      <c r="J33" s="328"/>
      <c r="K33" s="328"/>
      <c r="L33" s="328"/>
      <c r="M33" s="328"/>
      <c r="N33" s="328"/>
      <c r="O33" s="328"/>
      <c r="P33" s="328"/>
      <c r="Q33" s="328"/>
      <c r="R33" s="328"/>
      <c r="S33" s="328"/>
      <c r="T33" s="328"/>
      <c r="U33" s="328"/>
      <c r="V33" s="328"/>
      <c r="W33" s="328"/>
      <c r="X33" s="328"/>
      <c r="Y33" s="328"/>
      <c r="Z33" s="328"/>
      <c r="AA33" s="328"/>
      <c r="AB33" s="328"/>
      <c r="AC33" s="328"/>
      <c r="AD33" s="328"/>
    </row>
    <row r="34" spans="1:30" ht="14.5">
      <c r="A34" s="328" t="s">
        <v>350</v>
      </c>
      <c r="B34" s="390"/>
      <c r="C34" s="363">
        <f>IF(B35=0,0,MIN(C28-C30-C31,B35))</f>
        <v>0</v>
      </c>
      <c r="D34" s="363">
        <f t="shared" ref="D34:AD34" si="33">IF(C35=0,0,MIN(D28-D30-D31,C35))</f>
        <v>0</v>
      </c>
      <c r="E34" s="363">
        <f t="shared" si="33"/>
        <v>0</v>
      </c>
      <c r="F34" s="363">
        <f t="shared" si="33"/>
        <v>0</v>
      </c>
      <c r="G34" s="363">
        <f t="shared" si="33"/>
        <v>0</v>
      </c>
      <c r="H34" s="363">
        <f t="shared" si="33"/>
        <v>0</v>
      </c>
      <c r="I34" s="363">
        <f t="shared" si="33"/>
        <v>0</v>
      </c>
      <c r="J34" s="363">
        <f t="shared" si="33"/>
        <v>0</v>
      </c>
      <c r="K34" s="363">
        <f t="shared" si="33"/>
        <v>0</v>
      </c>
      <c r="L34" s="363">
        <f t="shared" si="33"/>
        <v>0</v>
      </c>
      <c r="M34" s="363">
        <f t="shared" si="33"/>
        <v>0</v>
      </c>
      <c r="N34" s="363">
        <f t="shared" si="33"/>
        <v>0</v>
      </c>
      <c r="O34" s="363">
        <f t="shared" si="33"/>
        <v>0</v>
      </c>
      <c r="P34" s="363">
        <f t="shared" si="33"/>
        <v>0</v>
      </c>
      <c r="Q34" s="363">
        <f t="shared" si="33"/>
        <v>0</v>
      </c>
      <c r="R34" s="363">
        <f t="shared" si="33"/>
        <v>0</v>
      </c>
      <c r="S34" s="363">
        <f t="shared" si="33"/>
        <v>0</v>
      </c>
      <c r="T34" s="363">
        <f t="shared" si="33"/>
        <v>0</v>
      </c>
      <c r="U34" s="363">
        <f t="shared" si="33"/>
        <v>0</v>
      </c>
      <c r="V34" s="363">
        <f t="shared" si="33"/>
        <v>0</v>
      </c>
      <c r="W34" s="363">
        <f t="shared" si="33"/>
        <v>0</v>
      </c>
      <c r="X34" s="363">
        <f t="shared" si="33"/>
        <v>0</v>
      </c>
      <c r="Y34" s="363">
        <f t="shared" si="33"/>
        <v>0</v>
      </c>
      <c r="Z34" s="363">
        <f t="shared" si="33"/>
        <v>0</v>
      </c>
      <c r="AA34" s="363">
        <f t="shared" si="33"/>
        <v>0</v>
      </c>
      <c r="AB34" s="363">
        <f t="shared" si="33"/>
        <v>0</v>
      </c>
      <c r="AC34" s="363">
        <f t="shared" si="33"/>
        <v>0</v>
      </c>
      <c r="AD34" s="363">
        <f t="shared" si="33"/>
        <v>0</v>
      </c>
    </row>
    <row r="35" spans="1:30" ht="14.5">
      <c r="A35" s="389" t="s">
        <v>351</v>
      </c>
      <c r="B35" s="390">
        <f>'Dev Budget'!B82</f>
        <v>29442</v>
      </c>
      <c r="C35" s="387">
        <f>B35-C34</f>
        <v>29442</v>
      </c>
      <c r="D35" s="387">
        <f t="shared" ref="D35:AD35" si="34">C35-D34</f>
        <v>29442</v>
      </c>
      <c r="E35" s="387">
        <f t="shared" si="34"/>
        <v>29442</v>
      </c>
      <c r="F35" s="387">
        <f t="shared" si="34"/>
        <v>29442</v>
      </c>
      <c r="G35" s="387">
        <f t="shared" si="34"/>
        <v>29442</v>
      </c>
      <c r="H35" s="387">
        <f t="shared" si="34"/>
        <v>29442</v>
      </c>
      <c r="I35" s="387">
        <f t="shared" si="34"/>
        <v>29442</v>
      </c>
      <c r="J35" s="387">
        <f t="shared" si="34"/>
        <v>29442</v>
      </c>
      <c r="K35" s="387">
        <f t="shared" si="34"/>
        <v>29442</v>
      </c>
      <c r="L35" s="387">
        <f t="shared" si="34"/>
        <v>29442</v>
      </c>
      <c r="M35" s="387">
        <f t="shared" si="34"/>
        <v>29442</v>
      </c>
      <c r="N35" s="387">
        <f t="shared" si="34"/>
        <v>29442</v>
      </c>
      <c r="O35" s="387">
        <f t="shared" si="34"/>
        <v>29442</v>
      </c>
      <c r="P35" s="387">
        <f t="shared" si="34"/>
        <v>29442</v>
      </c>
      <c r="Q35" s="387">
        <f t="shared" si="34"/>
        <v>29442</v>
      </c>
      <c r="R35" s="387">
        <f t="shared" si="34"/>
        <v>29442</v>
      </c>
      <c r="S35" s="387">
        <f t="shared" si="34"/>
        <v>29442</v>
      </c>
      <c r="T35" s="387">
        <f t="shared" si="34"/>
        <v>29442</v>
      </c>
      <c r="U35" s="387">
        <f t="shared" si="34"/>
        <v>29442</v>
      </c>
      <c r="V35" s="387">
        <f t="shared" si="34"/>
        <v>29442</v>
      </c>
      <c r="W35" s="387">
        <f t="shared" si="34"/>
        <v>29442</v>
      </c>
      <c r="X35" s="387">
        <f t="shared" si="34"/>
        <v>29442</v>
      </c>
      <c r="Y35" s="387">
        <f t="shared" si="34"/>
        <v>29442</v>
      </c>
      <c r="Z35" s="387">
        <f t="shared" si="34"/>
        <v>29442</v>
      </c>
      <c r="AA35" s="387">
        <f t="shared" si="34"/>
        <v>29442</v>
      </c>
      <c r="AB35" s="387">
        <f t="shared" si="34"/>
        <v>29442</v>
      </c>
      <c r="AC35" s="387">
        <f t="shared" si="34"/>
        <v>29442</v>
      </c>
      <c r="AD35" s="387">
        <f t="shared" si="34"/>
        <v>29442</v>
      </c>
    </row>
    <row r="36" spans="1:30" ht="14.5">
      <c r="A36" s="328"/>
      <c r="B36" s="334"/>
      <c r="C36" s="334"/>
      <c r="D36" s="334"/>
      <c r="E36" s="328"/>
      <c r="F36" s="328"/>
      <c r="G36" s="328"/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28"/>
      <c r="S36" s="328"/>
      <c r="T36" s="328"/>
      <c r="U36" s="328"/>
      <c r="V36" s="328"/>
      <c r="W36" s="328"/>
      <c r="X36" s="328"/>
      <c r="Y36" s="328"/>
      <c r="Z36" s="328"/>
      <c r="AA36" s="328"/>
      <c r="AB36" s="328"/>
      <c r="AC36" s="328"/>
      <c r="AD36" s="328"/>
    </row>
    <row r="37" spans="1:30" ht="14.5">
      <c r="A37" s="328" t="s">
        <v>352</v>
      </c>
      <c r="B37" s="334"/>
      <c r="C37" s="363">
        <f>C28-C30-C31-C34</f>
        <v>0</v>
      </c>
      <c r="D37" s="363">
        <f t="shared" ref="D37:AD37" si="35">D28-D30-D31-D34</f>
        <v>0</v>
      </c>
      <c r="E37" s="363">
        <f t="shared" si="35"/>
        <v>0</v>
      </c>
      <c r="F37" s="363">
        <f t="shared" si="35"/>
        <v>0</v>
      </c>
      <c r="G37" s="363">
        <f t="shared" si="35"/>
        <v>0</v>
      </c>
      <c r="H37" s="363">
        <f t="shared" si="35"/>
        <v>0</v>
      </c>
      <c r="I37" s="363">
        <f t="shared" si="35"/>
        <v>0</v>
      </c>
      <c r="J37" s="363">
        <f t="shared" si="35"/>
        <v>0</v>
      </c>
      <c r="K37" s="363">
        <f t="shared" si="35"/>
        <v>0</v>
      </c>
      <c r="L37" s="363">
        <f t="shared" si="35"/>
        <v>0</v>
      </c>
      <c r="M37" s="363">
        <f t="shared" si="35"/>
        <v>0</v>
      </c>
      <c r="N37" s="363">
        <f t="shared" si="35"/>
        <v>0</v>
      </c>
      <c r="O37" s="363">
        <f t="shared" si="35"/>
        <v>0</v>
      </c>
      <c r="P37" s="363">
        <f t="shared" si="35"/>
        <v>0</v>
      </c>
      <c r="Q37" s="363">
        <f t="shared" si="35"/>
        <v>0</v>
      </c>
      <c r="R37" s="363">
        <f t="shared" si="35"/>
        <v>0</v>
      </c>
      <c r="S37" s="363">
        <f t="shared" si="35"/>
        <v>0</v>
      </c>
      <c r="T37" s="363">
        <f t="shared" si="35"/>
        <v>0</v>
      </c>
      <c r="U37" s="363">
        <f t="shared" si="35"/>
        <v>0</v>
      </c>
      <c r="V37" s="363">
        <f t="shared" si="35"/>
        <v>0</v>
      </c>
      <c r="W37" s="363">
        <f t="shared" si="35"/>
        <v>0</v>
      </c>
      <c r="X37" s="363">
        <f t="shared" si="35"/>
        <v>0</v>
      </c>
      <c r="Y37" s="363">
        <f t="shared" si="35"/>
        <v>0</v>
      </c>
      <c r="Z37" s="363">
        <f t="shared" si="35"/>
        <v>0</v>
      </c>
      <c r="AA37" s="363">
        <f t="shared" si="35"/>
        <v>0</v>
      </c>
      <c r="AB37" s="363">
        <f t="shared" si="35"/>
        <v>0</v>
      </c>
      <c r="AC37" s="363">
        <f t="shared" si="35"/>
        <v>0</v>
      </c>
      <c r="AD37" s="363">
        <f t="shared" si="35"/>
        <v>0</v>
      </c>
    </row>
    <row r="38" spans="1:30" ht="14.5">
      <c r="A38" s="328"/>
      <c r="B38" s="334"/>
      <c r="C38" s="334"/>
      <c r="D38" s="334"/>
      <c r="E38" s="328"/>
      <c r="F38" s="328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328"/>
      <c r="U38" s="328"/>
      <c r="V38" s="328"/>
      <c r="W38" s="328"/>
      <c r="X38" s="328"/>
      <c r="Y38" s="328"/>
      <c r="Z38" s="328"/>
      <c r="AA38" s="328"/>
      <c r="AB38" s="328"/>
      <c r="AC38" s="328"/>
      <c r="AD38" s="328"/>
    </row>
    <row r="39" spans="1:30" ht="14.5">
      <c r="A39" s="380" t="s">
        <v>94</v>
      </c>
      <c r="B39" s="334"/>
      <c r="C39" s="334"/>
      <c r="D39" s="334"/>
      <c r="E39" s="328"/>
      <c r="F39" s="328"/>
      <c r="G39" s="328"/>
      <c r="H39" s="328"/>
      <c r="I39" s="328"/>
      <c r="J39" s="328"/>
      <c r="K39" s="328"/>
      <c r="L39" s="328"/>
      <c r="M39" s="328"/>
      <c r="N39" s="328"/>
      <c r="O39" s="328"/>
      <c r="P39" s="328"/>
      <c r="Q39" s="328"/>
      <c r="R39" s="328"/>
      <c r="S39" s="328"/>
      <c r="T39" s="328"/>
      <c r="U39" s="328"/>
      <c r="V39" s="328"/>
      <c r="W39" s="328"/>
      <c r="X39" s="328"/>
      <c r="Y39" s="328"/>
      <c r="Z39" s="328"/>
      <c r="AA39" s="328"/>
      <c r="AB39" s="328"/>
      <c r="AC39" s="328"/>
      <c r="AD39" s="328"/>
    </row>
    <row r="40" spans="1:30" ht="14.5">
      <c r="A40" s="328" t="s">
        <v>353</v>
      </c>
      <c r="B40" s="334"/>
      <c r="C40" s="391"/>
      <c r="D40" s="391"/>
      <c r="E40" s="391"/>
      <c r="F40" s="391"/>
      <c r="G40" s="391"/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  <c r="S40" s="391"/>
      <c r="T40" s="391"/>
      <c r="U40" s="391"/>
      <c r="V40" s="391"/>
      <c r="W40" s="391"/>
      <c r="X40" s="391"/>
      <c r="Y40" s="391"/>
      <c r="Z40" s="391"/>
      <c r="AA40" s="391"/>
      <c r="AB40" s="391"/>
      <c r="AC40" s="391"/>
      <c r="AD40" s="391"/>
    </row>
    <row r="41" spans="1:30" ht="14.5">
      <c r="A41" s="328" t="s">
        <v>354</v>
      </c>
      <c r="B41" s="334"/>
      <c r="C41" s="391"/>
      <c r="D41" s="391"/>
      <c r="E41" s="391"/>
      <c r="F41" s="391"/>
      <c r="G41" s="391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  <c r="S41" s="391"/>
      <c r="T41" s="391"/>
      <c r="U41" s="391"/>
      <c r="V41" s="391"/>
      <c r="W41" s="391"/>
      <c r="X41" s="391"/>
      <c r="Y41" s="391"/>
      <c r="Z41" s="391"/>
      <c r="AA41" s="391"/>
      <c r="AB41" s="391"/>
      <c r="AC41" s="391"/>
      <c r="AD41" s="391"/>
    </row>
    <row r="42" spans="1:30" ht="14.5">
      <c r="A42" s="389"/>
      <c r="B42" s="334"/>
      <c r="C42" s="334"/>
      <c r="D42" s="334"/>
      <c r="E42" s="328"/>
      <c r="F42" s="328"/>
      <c r="G42" s="328"/>
      <c r="H42" s="328"/>
      <c r="I42" s="328"/>
      <c r="J42" s="328"/>
      <c r="K42" s="328"/>
      <c r="L42" s="328"/>
      <c r="M42" s="328"/>
      <c r="N42" s="328"/>
      <c r="O42" s="328"/>
      <c r="P42" s="328"/>
      <c r="Q42" s="328"/>
      <c r="R42" s="328"/>
      <c r="S42" s="328"/>
      <c r="T42" s="328"/>
      <c r="U42" s="328"/>
      <c r="V42" s="328"/>
      <c r="W42" s="328"/>
      <c r="X42" s="328"/>
      <c r="Y42" s="328"/>
      <c r="Z42" s="328"/>
      <c r="AA42" s="328"/>
      <c r="AB42" s="328"/>
      <c r="AC42" s="328"/>
      <c r="AD42" s="328"/>
    </row>
    <row r="43" spans="1:30" ht="14.5">
      <c r="A43" s="328"/>
      <c r="B43" s="334"/>
      <c r="C43" s="334"/>
      <c r="D43" s="334"/>
      <c r="E43" s="328"/>
      <c r="F43" s="328"/>
      <c r="G43" s="328"/>
      <c r="H43" s="328"/>
      <c r="I43" s="328"/>
      <c r="J43" s="328"/>
      <c r="K43" s="328"/>
      <c r="L43" s="328"/>
      <c r="M43" s="328"/>
      <c r="N43" s="328"/>
      <c r="O43" s="328"/>
      <c r="P43" s="328"/>
      <c r="Q43" s="328"/>
      <c r="R43" s="328"/>
      <c r="S43" s="328"/>
      <c r="T43" s="328"/>
      <c r="U43" s="328"/>
      <c r="V43" s="328"/>
      <c r="W43" s="328"/>
      <c r="X43" s="328"/>
      <c r="Y43" s="328"/>
      <c r="Z43" s="328"/>
      <c r="AA43" s="328"/>
      <c r="AB43" s="328"/>
      <c r="AC43" s="328"/>
      <c r="AD43" s="328"/>
    </row>
  </sheetData>
  <pageMargins left="0.7" right="0.7" top="0.75" bottom="0.75" header="0.3" footer="0.3"/>
  <pageSetup paperSize="5" scale="55" orientation="landscape" r:id="rId1"/>
  <headerFooter>
    <oddHeader>&amp;L&amp;"Arial,Bold"&amp;12&amp;A&amp;R&amp;"Arial,Regular"&amp;D</oddHeader>
    <oddFooter>&amp;L&amp;"Arial,Regular"&amp;9&amp;F&amp;R&amp;"Arial,Italic"&amp;10&amp;P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V96"/>
  <sheetViews>
    <sheetView workbookViewId="0">
      <selection activeCell="B21" sqref="B21"/>
    </sheetView>
  </sheetViews>
  <sheetFormatPr defaultRowHeight="14.5"/>
  <cols>
    <col min="1" max="1" width="39.54296875" bestFit="1" customWidth="1"/>
    <col min="2" max="3" width="13.08984375" customWidth="1"/>
    <col min="4" max="4" width="11" bestFit="1" customWidth="1"/>
    <col min="5" max="5" width="12.6328125" customWidth="1"/>
    <col min="6" max="7" width="10.36328125" customWidth="1"/>
    <col min="8" max="8" width="11.36328125" customWidth="1"/>
    <col min="9" max="9" width="12.6328125" customWidth="1"/>
    <col min="10" max="10" width="12.36328125" customWidth="1"/>
    <col min="11" max="11" width="11.453125" customWidth="1"/>
    <col min="12" max="12" width="10.54296875" customWidth="1"/>
    <col min="13" max="13" width="11.54296875" customWidth="1"/>
    <col min="14" max="14" width="12.08984375" customWidth="1"/>
    <col min="15" max="15" width="11.6328125" customWidth="1"/>
    <col min="16" max="16" width="12" customWidth="1"/>
    <col min="17" max="17" width="10.6328125" customWidth="1"/>
    <col min="18" max="18" width="11.08984375" customWidth="1"/>
    <col min="19" max="19" width="11.453125" customWidth="1"/>
    <col min="20" max="20" width="11.08984375" customWidth="1"/>
    <col min="21" max="21" width="10.6328125" customWidth="1"/>
    <col min="22" max="22" width="11.36328125" customWidth="1"/>
    <col min="23" max="23" width="11.453125" customWidth="1"/>
    <col min="24" max="24" width="10.90625" customWidth="1"/>
    <col min="25" max="25" width="12.08984375" customWidth="1"/>
    <col min="26" max="26" width="10.90625" customWidth="1"/>
    <col min="27" max="27" width="12.08984375" customWidth="1"/>
    <col min="28" max="29" width="11.08984375" customWidth="1"/>
    <col min="30" max="30" width="11.6328125" customWidth="1"/>
    <col min="31" max="32" width="11.453125" customWidth="1"/>
    <col min="33" max="33" width="14.453125" customWidth="1"/>
  </cols>
  <sheetData>
    <row r="1" spans="1:48" s="58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s="58" customFormat="1" ht="15" customHeight="1">
      <c r="A2" s="1"/>
      <c r="B2" s="1"/>
      <c r="C2" s="790" t="s">
        <v>355</v>
      </c>
      <c r="D2" s="790"/>
      <c r="E2" s="1"/>
      <c r="F2" s="44" t="s">
        <v>356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s="58" customFormat="1" ht="29">
      <c r="A3" s="392" t="s">
        <v>357</v>
      </c>
      <c r="B3" s="392" t="s">
        <v>358</v>
      </c>
      <c r="C3" s="393" t="s">
        <v>119</v>
      </c>
      <c r="D3" s="394" t="s">
        <v>359</v>
      </c>
      <c r="E3" s="394"/>
      <c r="F3" s="394" t="s">
        <v>360</v>
      </c>
      <c r="G3" s="394" t="s">
        <v>361</v>
      </c>
      <c r="H3" s="394" t="s">
        <v>362</v>
      </c>
      <c r="I3" s="394" t="s">
        <v>363</v>
      </c>
      <c r="J3" s="394" t="s">
        <v>364</v>
      </c>
      <c r="K3" s="394" t="s">
        <v>365</v>
      </c>
      <c r="L3" s="394" t="s">
        <v>366</v>
      </c>
      <c r="M3" s="394" t="s">
        <v>367</v>
      </c>
      <c r="N3" s="394" t="s">
        <v>368</v>
      </c>
      <c r="O3" s="394" t="s">
        <v>369</v>
      </c>
      <c r="P3" s="394" t="s">
        <v>370</v>
      </c>
      <c r="Q3" s="394" t="s">
        <v>371</v>
      </c>
      <c r="R3" s="394" t="s">
        <v>372</v>
      </c>
      <c r="S3" s="394" t="s">
        <v>373</v>
      </c>
      <c r="T3" s="394" t="s">
        <v>374</v>
      </c>
      <c r="U3" s="394" t="s">
        <v>375</v>
      </c>
      <c r="V3" s="394" t="s">
        <v>376</v>
      </c>
      <c r="W3" s="394" t="s">
        <v>377</v>
      </c>
      <c r="X3" s="394" t="s">
        <v>378</v>
      </c>
      <c r="Y3" s="394" t="s">
        <v>379</v>
      </c>
      <c r="Z3" s="394" t="s">
        <v>380</v>
      </c>
      <c r="AA3" s="394" t="s">
        <v>381</v>
      </c>
      <c r="AB3" s="394" t="s">
        <v>382</v>
      </c>
      <c r="AC3" s="394" t="s">
        <v>383</v>
      </c>
      <c r="AD3" s="394" t="s">
        <v>384</v>
      </c>
      <c r="AE3" s="394" t="s">
        <v>385</v>
      </c>
      <c r="AF3" s="394" t="s">
        <v>386</v>
      </c>
      <c r="AG3" s="394" t="s">
        <v>387</v>
      </c>
      <c r="AH3" s="395"/>
      <c r="AI3" s="395"/>
      <c r="AJ3" s="395"/>
      <c r="AK3" s="395"/>
      <c r="AL3" s="395"/>
      <c r="AM3" s="395"/>
      <c r="AN3" s="395"/>
      <c r="AO3" s="395"/>
      <c r="AP3" s="395"/>
      <c r="AQ3" s="395"/>
      <c r="AR3" s="395"/>
      <c r="AS3" s="395"/>
      <c r="AT3" s="395"/>
      <c r="AU3" s="395"/>
      <c r="AV3" s="395"/>
    </row>
    <row r="4" spans="1:48" s="58" customFormat="1">
      <c r="A4" s="396" t="s">
        <v>46</v>
      </c>
      <c r="B4" s="1"/>
      <c r="C4" s="1"/>
      <c r="D4" s="1"/>
      <c r="E4" s="1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7"/>
      <c r="AB4" s="397"/>
      <c r="AC4" s="397"/>
      <c r="AD4" s="397"/>
      <c r="AE4" s="397"/>
      <c r="AF4" s="397"/>
      <c r="AG4" s="397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s="58" customFormat="1">
      <c r="A5" s="398" t="s">
        <v>55</v>
      </c>
      <c r="B5" s="399">
        <f>'Dev Budget'!B11</f>
        <v>0</v>
      </c>
      <c r="C5" s="400"/>
      <c r="D5" s="400"/>
      <c r="E5" s="399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s="244" customFormat="1" ht="15" thickBot="1">
      <c r="A6" s="705" t="s">
        <v>56</v>
      </c>
      <c r="B6" s="706">
        <f>'Dev Budget'!B12</f>
        <v>0</v>
      </c>
      <c r="C6" s="707">
        <f>C5</f>
        <v>0</v>
      </c>
      <c r="D6" s="707">
        <f>D5</f>
        <v>0</v>
      </c>
      <c r="E6" s="706"/>
      <c r="F6" s="708">
        <f>F5</f>
        <v>0</v>
      </c>
      <c r="G6" s="708">
        <f t="shared" ref="G6:AG6" si="0">G5</f>
        <v>0</v>
      </c>
      <c r="H6" s="708">
        <f t="shared" si="0"/>
        <v>0</v>
      </c>
      <c r="I6" s="708">
        <f t="shared" si="0"/>
        <v>0</v>
      </c>
      <c r="J6" s="708">
        <f t="shared" si="0"/>
        <v>0</v>
      </c>
      <c r="K6" s="708">
        <f t="shared" si="0"/>
        <v>0</v>
      </c>
      <c r="L6" s="708">
        <f t="shared" si="0"/>
        <v>0</v>
      </c>
      <c r="M6" s="708">
        <f t="shared" si="0"/>
        <v>0</v>
      </c>
      <c r="N6" s="708">
        <f t="shared" si="0"/>
        <v>0</v>
      </c>
      <c r="O6" s="708">
        <f t="shared" si="0"/>
        <v>0</v>
      </c>
      <c r="P6" s="708">
        <f t="shared" si="0"/>
        <v>0</v>
      </c>
      <c r="Q6" s="708">
        <f t="shared" si="0"/>
        <v>0</v>
      </c>
      <c r="R6" s="708">
        <f t="shared" si="0"/>
        <v>0</v>
      </c>
      <c r="S6" s="708">
        <f t="shared" si="0"/>
        <v>0</v>
      </c>
      <c r="T6" s="708">
        <f t="shared" si="0"/>
        <v>0</v>
      </c>
      <c r="U6" s="708">
        <f t="shared" si="0"/>
        <v>0</v>
      </c>
      <c r="V6" s="708">
        <f t="shared" si="0"/>
        <v>0</v>
      </c>
      <c r="W6" s="708">
        <f t="shared" si="0"/>
        <v>0</v>
      </c>
      <c r="X6" s="708">
        <f t="shared" si="0"/>
        <v>0</v>
      </c>
      <c r="Y6" s="708">
        <f t="shared" si="0"/>
        <v>0</v>
      </c>
      <c r="Z6" s="708">
        <f t="shared" si="0"/>
        <v>0</v>
      </c>
      <c r="AA6" s="708">
        <f t="shared" si="0"/>
        <v>0</v>
      </c>
      <c r="AB6" s="708">
        <f t="shared" si="0"/>
        <v>0</v>
      </c>
      <c r="AC6" s="708">
        <f t="shared" si="0"/>
        <v>0</v>
      </c>
      <c r="AD6" s="708">
        <f t="shared" si="0"/>
        <v>0</v>
      </c>
      <c r="AE6" s="708">
        <f t="shared" si="0"/>
        <v>0</v>
      </c>
      <c r="AF6" s="708">
        <f t="shared" si="0"/>
        <v>0</v>
      </c>
      <c r="AG6" s="708">
        <f t="shared" si="0"/>
        <v>0</v>
      </c>
      <c r="AH6" s="709"/>
      <c r="AI6" s="709"/>
      <c r="AJ6" s="709"/>
      <c r="AK6" s="709"/>
      <c r="AL6" s="709"/>
      <c r="AM6" s="709"/>
      <c r="AN6" s="709"/>
      <c r="AO6" s="709"/>
      <c r="AP6" s="709"/>
      <c r="AQ6" s="709"/>
      <c r="AR6" s="709"/>
      <c r="AS6" s="709"/>
      <c r="AT6" s="709"/>
      <c r="AU6" s="709"/>
      <c r="AV6" s="709"/>
    </row>
    <row r="7" spans="1:48" s="58" customFormat="1">
      <c r="A7" s="402"/>
      <c r="B7" s="399"/>
      <c r="C7" s="39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s="58" customFormat="1">
      <c r="A8" s="396" t="s">
        <v>47</v>
      </c>
      <c r="B8" s="399"/>
      <c r="C8" s="399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 spans="1:48" s="58" customFormat="1">
      <c r="A9" s="398" t="s">
        <v>57</v>
      </c>
      <c r="B9" s="399">
        <f>'Dev Budget'!B15</f>
        <v>0</v>
      </c>
      <c r="C9" s="400"/>
      <c r="D9" s="400"/>
      <c r="E9" s="399"/>
      <c r="F9" s="399"/>
      <c r="G9" s="399"/>
      <c r="H9" s="399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399"/>
      <c r="T9" s="399"/>
      <c r="U9" s="399"/>
      <c r="V9" s="399"/>
      <c r="W9" s="399"/>
      <c r="X9" s="399"/>
      <c r="Y9" s="399"/>
      <c r="Z9" s="399"/>
      <c r="AA9" s="399"/>
      <c r="AB9" s="399"/>
      <c r="AC9" s="399"/>
      <c r="AD9" s="399"/>
      <c r="AE9" s="399"/>
      <c r="AF9" s="399"/>
      <c r="AG9" s="399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 s="58" customFormat="1">
      <c r="A10" s="398" t="s">
        <v>58</v>
      </c>
      <c r="B10" s="399">
        <f>'Dev Budget'!B16</f>
        <v>0</v>
      </c>
      <c r="C10" s="399"/>
      <c r="D10" s="403"/>
      <c r="E10" s="399"/>
      <c r="F10" s="399"/>
      <c r="G10" s="399"/>
      <c r="H10" s="399"/>
      <c r="I10" s="399"/>
      <c r="J10" s="399"/>
      <c r="K10" s="399"/>
      <c r="L10" s="399"/>
      <c r="M10" s="399"/>
      <c r="N10" s="399"/>
      <c r="O10" s="399"/>
      <c r="P10" s="399"/>
      <c r="Q10" s="399"/>
      <c r="R10" s="399"/>
      <c r="S10" s="399"/>
      <c r="T10" s="399"/>
      <c r="U10" s="399"/>
      <c r="V10" s="399"/>
      <c r="W10" s="399"/>
      <c r="X10" s="399"/>
      <c r="Y10" s="399"/>
      <c r="Z10" s="399"/>
      <c r="AA10" s="399"/>
      <c r="AB10" s="399"/>
      <c r="AC10" s="399"/>
      <c r="AD10" s="399"/>
      <c r="AE10" s="399"/>
      <c r="AF10" s="399"/>
      <c r="AG10" s="399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 s="58" customFormat="1">
      <c r="A11" s="404" t="s">
        <v>59</v>
      </c>
      <c r="B11" s="399">
        <f>'Dev Budget'!B17</f>
        <v>0</v>
      </c>
      <c r="C11" s="399"/>
      <c r="D11" s="403"/>
      <c r="E11" s="399"/>
      <c r="F11" s="399"/>
      <c r="G11" s="399"/>
      <c r="H11" s="399"/>
      <c r="I11" s="399"/>
      <c r="J11" s="399"/>
      <c r="K11" s="399"/>
      <c r="L11" s="399"/>
      <c r="M11" s="399"/>
      <c r="N11" s="399"/>
      <c r="O11" s="399"/>
      <c r="P11" s="399"/>
      <c r="Q11" s="399"/>
      <c r="R11" s="399"/>
      <c r="S11" s="399"/>
      <c r="T11" s="399"/>
      <c r="U11" s="399"/>
      <c r="V11" s="399"/>
      <c r="W11" s="399"/>
      <c r="X11" s="399"/>
      <c r="Y11" s="399"/>
      <c r="Z11" s="399"/>
      <c r="AA11" s="399"/>
      <c r="AB11" s="399"/>
      <c r="AC11" s="399"/>
      <c r="AD11" s="399"/>
      <c r="AE11" s="399"/>
      <c r="AF11" s="399"/>
      <c r="AG11" s="399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1:48" s="58" customFormat="1">
      <c r="A12" s="404" t="s">
        <v>60</v>
      </c>
      <c r="B12" s="399">
        <f>'Dev Budget'!B18</f>
        <v>0</v>
      </c>
      <c r="C12" s="399"/>
      <c r="D12" s="403"/>
      <c r="E12" s="399"/>
      <c r="F12" s="399"/>
      <c r="G12" s="399"/>
      <c r="H12" s="399"/>
      <c r="I12" s="399"/>
      <c r="J12" s="399"/>
      <c r="K12" s="399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399"/>
      <c r="X12" s="399"/>
      <c r="Y12" s="399"/>
      <c r="Z12" s="399"/>
      <c r="AA12" s="399"/>
      <c r="AB12" s="399"/>
      <c r="AC12" s="399"/>
      <c r="AD12" s="399"/>
      <c r="AE12" s="399"/>
      <c r="AF12" s="399"/>
      <c r="AG12" s="399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 s="58" customFormat="1">
      <c r="A13" s="404" t="s">
        <v>61</v>
      </c>
      <c r="B13" s="399">
        <f>'Dev Budget'!B19</f>
        <v>0</v>
      </c>
      <c r="C13" s="399"/>
      <c r="D13" s="403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399"/>
      <c r="X13" s="399"/>
      <c r="Y13" s="399"/>
      <c r="Z13" s="399"/>
      <c r="AA13" s="399"/>
      <c r="AB13" s="399"/>
      <c r="AC13" s="399"/>
      <c r="AD13" s="399"/>
      <c r="AE13" s="399"/>
      <c r="AF13" s="399"/>
      <c r="AG13" s="399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s="58" customFormat="1">
      <c r="A14" s="404" t="s">
        <v>13</v>
      </c>
      <c r="B14" s="399">
        <f>'Dev Budget'!B20</f>
        <v>0</v>
      </c>
      <c r="C14" s="399"/>
      <c r="D14" s="403"/>
      <c r="E14" s="399"/>
      <c r="F14" s="399"/>
      <c r="G14" s="399"/>
      <c r="H14" s="399"/>
      <c r="I14" s="399"/>
      <c r="J14" s="399"/>
      <c r="K14" s="399"/>
      <c r="L14" s="399"/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X14" s="399"/>
      <c r="Y14" s="399"/>
      <c r="Z14" s="399"/>
      <c r="AA14" s="399"/>
      <c r="AB14" s="399"/>
      <c r="AC14" s="399"/>
      <c r="AD14" s="399"/>
      <c r="AE14" s="399"/>
      <c r="AF14" s="399"/>
      <c r="AG14" s="399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spans="1:48" s="58" customFormat="1">
      <c r="A15" s="398" t="s">
        <v>62</v>
      </c>
      <c r="B15" s="399">
        <f>'Dev Budget'!B21</f>
        <v>0</v>
      </c>
      <c r="C15" s="399"/>
      <c r="D15" s="403"/>
      <c r="E15" s="399"/>
      <c r="F15" s="399"/>
      <c r="G15" s="399"/>
      <c r="H15" s="399"/>
      <c r="I15" s="399"/>
      <c r="J15" s="399"/>
      <c r="K15" s="399"/>
      <c r="L15" s="399"/>
      <c r="M15" s="399"/>
      <c r="N15" s="399"/>
      <c r="O15" s="399"/>
      <c r="P15" s="399"/>
      <c r="Q15" s="399"/>
      <c r="R15" s="399"/>
      <c r="S15" s="399"/>
      <c r="T15" s="399"/>
      <c r="U15" s="399"/>
      <c r="V15" s="399"/>
      <c r="W15" s="399"/>
      <c r="X15" s="399"/>
      <c r="Y15" s="399"/>
      <c r="Z15" s="399"/>
      <c r="AA15" s="399"/>
      <c r="AB15" s="399"/>
      <c r="AC15" s="399"/>
      <c r="AD15" s="399"/>
      <c r="AE15" s="399"/>
      <c r="AF15" s="399"/>
      <c r="AG15" s="399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1:48" s="244" customFormat="1" ht="15" thickBot="1">
      <c r="A16" s="705" t="s">
        <v>64</v>
      </c>
      <c r="B16" s="706">
        <f>'Dev Budget'!B22</f>
        <v>0</v>
      </c>
      <c r="C16" s="710">
        <f>SUM(C9:C15)</f>
        <v>0</v>
      </c>
      <c r="D16" s="710">
        <f>SUM(D9:D15)</f>
        <v>0</v>
      </c>
      <c r="E16" s="706"/>
      <c r="F16" s="706">
        <f>SUM(F9:F15)</f>
        <v>0</v>
      </c>
      <c r="G16" s="706">
        <f t="shared" ref="G16:AG16" si="1">SUM(G9:G15)</f>
        <v>0</v>
      </c>
      <c r="H16" s="706">
        <f t="shared" si="1"/>
        <v>0</v>
      </c>
      <c r="I16" s="706">
        <f t="shared" si="1"/>
        <v>0</v>
      </c>
      <c r="J16" s="706">
        <f t="shared" si="1"/>
        <v>0</v>
      </c>
      <c r="K16" s="706">
        <f t="shared" si="1"/>
        <v>0</v>
      </c>
      <c r="L16" s="706">
        <f t="shared" si="1"/>
        <v>0</v>
      </c>
      <c r="M16" s="706">
        <f t="shared" si="1"/>
        <v>0</v>
      </c>
      <c r="N16" s="706">
        <f t="shared" si="1"/>
        <v>0</v>
      </c>
      <c r="O16" s="706">
        <f t="shared" si="1"/>
        <v>0</v>
      </c>
      <c r="P16" s="706">
        <f t="shared" si="1"/>
        <v>0</v>
      </c>
      <c r="Q16" s="706">
        <f t="shared" si="1"/>
        <v>0</v>
      </c>
      <c r="R16" s="706">
        <f t="shared" si="1"/>
        <v>0</v>
      </c>
      <c r="S16" s="706">
        <f t="shared" si="1"/>
        <v>0</v>
      </c>
      <c r="T16" s="706">
        <f t="shared" si="1"/>
        <v>0</v>
      </c>
      <c r="U16" s="706">
        <f t="shared" si="1"/>
        <v>0</v>
      </c>
      <c r="V16" s="706">
        <f t="shared" si="1"/>
        <v>0</v>
      </c>
      <c r="W16" s="706">
        <f t="shared" si="1"/>
        <v>0</v>
      </c>
      <c r="X16" s="706">
        <f t="shared" si="1"/>
        <v>0</v>
      </c>
      <c r="Y16" s="706">
        <f t="shared" si="1"/>
        <v>0</v>
      </c>
      <c r="Z16" s="706">
        <f t="shared" si="1"/>
        <v>0</v>
      </c>
      <c r="AA16" s="706">
        <f t="shared" si="1"/>
        <v>0</v>
      </c>
      <c r="AB16" s="706">
        <f t="shared" si="1"/>
        <v>0</v>
      </c>
      <c r="AC16" s="706">
        <f t="shared" si="1"/>
        <v>0</v>
      </c>
      <c r="AD16" s="706">
        <f t="shared" si="1"/>
        <v>0</v>
      </c>
      <c r="AE16" s="706">
        <f t="shared" si="1"/>
        <v>0</v>
      </c>
      <c r="AF16" s="706">
        <f t="shared" si="1"/>
        <v>0</v>
      </c>
      <c r="AG16" s="706">
        <f t="shared" si="1"/>
        <v>0</v>
      </c>
      <c r="AH16" s="709"/>
      <c r="AI16" s="709"/>
      <c r="AJ16" s="709"/>
      <c r="AK16" s="709"/>
      <c r="AL16" s="709"/>
      <c r="AM16" s="709"/>
      <c r="AN16" s="709"/>
      <c r="AO16" s="709"/>
      <c r="AP16" s="709"/>
      <c r="AQ16" s="709"/>
      <c r="AR16" s="709"/>
      <c r="AS16" s="709"/>
      <c r="AT16" s="709"/>
      <c r="AU16" s="709"/>
      <c r="AV16" s="709"/>
    </row>
    <row r="17" spans="1:48" s="58" customFormat="1">
      <c r="A17" s="402"/>
      <c r="B17" s="399"/>
      <c r="C17" s="399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s="58" customFormat="1">
      <c r="A18" s="396" t="s">
        <v>48</v>
      </c>
      <c r="B18" s="399"/>
      <c r="C18" s="39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 s="58" customFormat="1">
      <c r="A19" s="396" t="s">
        <v>65</v>
      </c>
      <c r="B19" s="399"/>
      <c r="C19" s="399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 s="58" customFormat="1">
      <c r="A20" s="405" t="s">
        <v>66</v>
      </c>
      <c r="B20" s="399">
        <f>'Dev Budget'!B26</f>
        <v>0</v>
      </c>
      <c r="C20" s="400"/>
      <c r="D20" s="400"/>
      <c r="E20" s="399"/>
      <c r="F20" s="399"/>
      <c r="G20" s="399"/>
      <c r="H20" s="399"/>
      <c r="I20" s="399"/>
      <c r="J20" s="399"/>
      <c r="K20" s="399"/>
      <c r="L20" s="399"/>
      <c r="M20" s="399"/>
      <c r="N20" s="399"/>
      <c r="O20" s="399"/>
      <c r="P20" s="399"/>
      <c r="Q20" s="399"/>
      <c r="R20" s="399"/>
      <c r="S20" s="399"/>
      <c r="T20" s="399"/>
      <c r="U20" s="399"/>
      <c r="V20" s="399"/>
      <c r="W20" s="399"/>
      <c r="X20" s="399"/>
      <c r="Y20" s="399"/>
      <c r="Z20" s="399"/>
      <c r="AA20" s="399"/>
      <c r="AB20" s="399"/>
      <c r="AC20" s="399"/>
      <c r="AD20" s="399"/>
      <c r="AE20" s="399"/>
      <c r="AF20" s="399"/>
      <c r="AG20" s="399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 s="58" customFormat="1">
      <c r="A21" s="405" t="s">
        <v>67</v>
      </c>
      <c r="B21" s="399">
        <f>'Dev Budget'!B27</f>
        <v>0</v>
      </c>
      <c r="C21" s="400"/>
      <c r="D21" s="400"/>
      <c r="E21" s="399"/>
      <c r="F21" s="399"/>
      <c r="G21" s="399"/>
      <c r="H21" s="399"/>
      <c r="I21" s="399"/>
      <c r="J21" s="399"/>
      <c r="K21" s="399"/>
      <c r="L21" s="399"/>
      <c r="M21" s="399"/>
      <c r="N21" s="399"/>
      <c r="O21" s="399"/>
      <c r="P21" s="399"/>
      <c r="Q21" s="399"/>
      <c r="R21" s="399"/>
      <c r="S21" s="399"/>
      <c r="T21" s="399"/>
      <c r="U21" s="399"/>
      <c r="V21" s="399"/>
      <c r="W21" s="399"/>
      <c r="X21" s="399"/>
      <c r="Y21" s="399"/>
      <c r="Z21" s="399"/>
      <c r="AA21" s="399"/>
      <c r="AB21" s="399"/>
      <c r="AC21" s="399"/>
      <c r="AD21" s="399"/>
      <c r="AE21" s="399"/>
      <c r="AF21" s="399"/>
      <c r="AG21" s="399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s="58" customFormat="1">
      <c r="A22" s="405" t="s">
        <v>68</v>
      </c>
      <c r="B22" s="399">
        <f>'Dev Budget'!B28</f>
        <v>0</v>
      </c>
      <c r="C22" s="400"/>
      <c r="D22" s="400"/>
      <c r="E22" s="399"/>
      <c r="F22" s="399"/>
      <c r="G22" s="399"/>
      <c r="H22" s="399"/>
      <c r="I22" s="399"/>
      <c r="J22" s="399"/>
      <c r="K22" s="399"/>
      <c r="L22" s="399"/>
      <c r="M22" s="399"/>
      <c r="N22" s="399"/>
      <c r="O22" s="399"/>
      <c r="P22" s="399"/>
      <c r="Q22" s="399"/>
      <c r="R22" s="399"/>
      <c r="S22" s="399"/>
      <c r="T22" s="399"/>
      <c r="U22" s="399"/>
      <c r="V22" s="399"/>
      <c r="W22" s="399"/>
      <c r="X22" s="399"/>
      <c r="Y22" s="399"/>
      <c r="Z22" s="399"/>
      <c r="AA22" s="399"/>
      <c r="AB22" s="399"/>
      <c r="AC22" s="399"/>
      <c r="AD22" s="399"/>
      <c r="AE22" s="399"/>
      <c r="AF22" s="399"/>
      <c r="AG22" s="399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s="58" customFormat="1">
      <c r="A23" s="405" t="s">
        <v>69</v>
      </c>
      <c r="B23" s="399">
        <f>'Dev Budget'!B29</f>
        <v>0</v>
      </c>
      <c r="C23" s="400"/>
      <c r="D23" s="400"/>
      <c r="E23" s="399"/>
      <c r="F23" s="399"/>
      <c r="G23" s="399"/>
      <c r="H23" s="399"/>
      <c r="I23" s="399"/>
      <c r="J23" s="399"/>
      <c r="K23" s="399"/>
      <c r="L23" s="399"/>
      <c r="M23" s="399"/>
      <c r="N23" s="399"/>
      <c r="O23" s="399"/>
      <c r="P23" s="399"/>
      <c r="Q23" s="399"/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399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s="58" customFormat="1">
      <c r="A24" s="405" t="s">
        <v>71</v>
      </c>
      <c r="B24" s="399">
        <f>'Dev Budget'!B30</f>
        <v>0</v>
      </c>
      <c r="C24" s="400"/>
      <c r="D24" s="400"/>
      <c r="E24" s="399"/>
      <c r="F24" s="399"/>
      <c r="G24" s="399"/>
      <c r="H24" s="399"/>
      <c r="I24" s="399"/>
      <c r="J24" s="399"/>
      <c r="K24" s="399"/>
      <c r="L24" s="399"/>
      <c r="M24" s="399"/>
      <c r="N24" s="399"/>
      <c r="O24" s="399"/>
      <c r="P24" s="399"/>
      <c r="Q24" s="399"/>
      <c r="R24" s="399"/>
      <c r="S24" s="399"/>
      <c r="T24" s="399"/>
      <c r="U24" s="399"/>
      <c r="V24" s="399"/>
      <c r="W24" s="399"/>
      <c r="X24" s="399"/>
      <c r="Y24" s="399"/>
      <c r="Z24" s="399"/>
      <c r="AA24" s="399"/>
      <c r="AB24" s="399"/>
      <c r="AC24" s="399"/>
      <c r="AD24" s="399"/>
      <c r="AE24" s="399"/>
      <c r="AF24" s="399"/>
      <c r="AG24" s="399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s="58" customFormat="1">
      <c r="A25" s="405" t="s">
        <v>72</v>
      </c>
      <c r="B25" s="399">
        <f>'Dev Budget'!B31</f>
        <v>0</v>
      </c>
      <c r="C25" s="400"/>
      <c r="D25" s="400"/>
      <c r="E25" s="399"/>
      <c r="F25" s="399"/>
      <c r="G25" s="399"/>
      <c r="H25" s="399"/>
      <c r="I25" s="399"/>
      <c r="J25" s="399"/>
      <c r="K25" s="399"/>
      <c r="L25" s="399"/>
      <c r="M25" s="399"/>
      <c r="N25" s="399"/>
      <c r="O25" s="399"/>
      <c r="P25" s="399"/>
      <c r="Q25" s="399"/>
      <c r="R25" s="399"/>
      <c r="S25" s="399"/>
      <c r="T25" s="399"/>
      <c r="U25" s="399"/>
      <c r="V25" s="399"/>
      <c r="W25" s="399"/>
      <c r="X25" s="399"/>
      <c r="Y25" s="399"/>
      <c r="Z25" s="399"/>
      <c r="AA25" s="399"/>
      <c r="AB25" s="399"/>
      <c r="AC25" s="399"/>
      <c r="AD25" s="399"/>
      <c r="AE25" s="399"/>
      <c r="AF25" s="399"/>
      <c r="AG25" s="399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s="58" customFormat="1">
      <c r="A26" s="405" t="s">
        <v>74</v>
      </c>
      <c r="B26" s="399">
        <f>'Dev Budget'!B32</f>
        <v>0</v>
      </c>
      <c r="C26" s="400"/>
      <c r="D26" s="400"/>
      <c r="E26" s="399"/>
      <c r="F26" s="399"/>
      <c r="G26" s="399"/>
      <c r="H26" s="399"/>
      <c r="I26" s="399"/>
      <c r="J26" s="399"/>
      <c r="K26" s="399"/>
      <c r="L26" s="399"/>
      <c r="M26" s="399"/>
      <c r="N26" s="399"/>
      <c r="O26" s="399"/>
      <c r="P26" s="399"/>
      <c r="Q26" s="399"/>
      <c r="R26" s="399"/>
      <c r="S26" s="399"/>
      <c r="T26" s="399"/>
      <c r="U26" s="399"/>
      <c r="V26" s="399"/>
      <c r="W26" s="399"/>
      <c r="X26" s="399"/>
      <c r="Y26" s="399"/>
      <c r="Z26" s="399"/>
      <c r="AA26" s="399"/>
      <c r="AB26" s="399"/>
      <c r="AC26" s="399"/>
      <c r="AD26" s="399"/>
      <c r="AE26" s="399"/>
      <c r="AF26" s="399"/>
      <c r="AG26" s="399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s="58" customFormat="1">
      <c r="A27" s="406" t="s">
        <v>75</v>
      </c>
      <c r="B27" s="399">
        <f>'Dev Budget'!B33</f>
        <v>0</v>
      </c>
      <c r="C27" s="400"/>
      <c r="D27" s="400"/>
      <c r="E27" s="399"/>
      <c r="F27" s="399"/>
      <c r="G27" s="399"/>
      <c r="H27" s="399"/>
      <c r="I27" s="399"/>
      <c r="J27" s="399"/>
      <c r="K27" s="399"/>
      <c r="L27" s="399"/>
      <c r="M27" s="399"/>
      <c r="N27" s="399"/>
      <c r="O27" s="399"/>
      <c r="P27" s="399"/>
      <c r="Q27" s="399"/>
      <c r="R27" s="399"/>
      <c r="S27" s="399"/>
      <c r="T27" s="399"/>
      <c r="U27" s="399"/>
      <c r="V27" s="399"/>
      <c r="W27" s="399"/>
      <c r="X27" s="399"/>
      <c r="Y27" s="399"/>
      <c r="Z27" s="399"/>
      <c r="AA27" s="399"/>
      <c r="AB27" s="399"/>
      <c r="AC27" s="399"/>
      <c r="AD27" s="399"/>
      <c r="AE27" s="399"/>
      <c r="AF27" s="399"/>
      <c r="AG27" s="399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s="58" customFormat="1">
      <c r="A28" s="405" t="s">
        <v>77</v>
      </c>
      <c r="B28" s="399">
        <f>'Dev Budget'!B34</f>
        <v>0</v>
      </c>
      <c r="C28" s="400"/>
      <c r="D28" s="400"/>
      <c r="E28" s="399"/>
      <c r="F28" s="399"/>
      <c r="G28" s="399"/>
      <c r="H28" s="399"/>
      <c r="I28" s="399"/>
      <c r="J28" s="399"/>
      <c r="K28" s="399"/>
      <c r="L28" s="399"/>
      <c r="M28" s="399"/>
      <c r="N28" s="399"/>
      <c r="O28" s="399"/>
      <c r="P28" s="399"/>
      <c r="Q28" s="399"/>
      <c r="R28" s="399"/>
      <c r="S28" s="399"/>
      <c r="T28" s="399"/>
      <c r="U28" s="399"/>
      <c r="V28" s="399"/>
      <c r="W28" s="399"/>
      <c r="X28" s="399"/>
      <c r="Y28" s="399"/>
      <c r="Z28" s="399"/>
      <c r="AA28" s="399"/>
      <c r="AB28" s="399"/>
      <c r="AC28" s="399"/>
      <c r="AD28" s="399"/>
      <c r="AE28" s="399"/>
      <c r="AF28" s="399"/>
      <c r="AG28" s="399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s="58" customFormat="1">
      <c r="A29" s="405" t="s">
        <v>78</v>
      </c>
      <c r="B29" s="399">
        <f>'Dev Budget'!B35</f>
        <v>0</v>
      </c>
      <c r="C29" s="400"/>
      <c r="D29" s="400"/>
      <c r="E29" s="399"/>
      <c r="F29" s="399"/>
      <c r="G29" s="399"/>
      <c r="H29" s="399"/>
      <c r="I29" s="399"/>
      <c r="J29" s="399"/>
      <c r="K29" s="399"/>
      <c r="L29" s="399"/>
      <c r="M29" s="399"/>
      <c r="N29" s="399"/>
      <c r="O29" s="399"/>
      <c r="P29" s="399"/>
      <c r="Q29" s="399"/>
      <c r="R29" s="399"/>
      <c r="S29" s="399"/>
      <c r="T29" s="399"/>
      <c r="U29" s="399"/>
      <c r="V29" s="399"/>
      <c r="W29" s="399"/>
      <c r="X29" s="399"/>
      <c r="Y29" s="399"/>
      <c r="Z29" s="399"/>
      <c r="AA29" s="399"/>
      <c r="AB29" s="399"/>
      <c r="AC29" s="399"/>
      <c r="AD29" s="399"/>
      <c r="AE29" s="399"/>
      <c r="AF29" s="399"/>
      <c r="AG29" s="399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s="58" customFormat="1">
      <c r="A30" s="398" t="s">
        <v>79</v>
      </c>
      <c r="B30" s="399">
        <f>'Dev Budget'!B36</f>
        <v>0</v>
      </c>
      <c r="C30" s="400"/>
      <c r="D30" s="400"/>
      <c r="E30" s="399"/>
      <c r="F30" s="399"/>
      <c r="G30" s="399"/>
      <c r="H30" s="399"/>
      <c r="I30" s="399"/>
      <c r="J30" s="399"/>
      <c r="K30" s="399"/>
      <c r="L30" s="399"/>
      <c r="M30" s="399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399"/>
      <c r="Z30" s="399"/>
      <c r="AA30" s="399"/>
      <c r="AB30" s="399"/>
      <c r="AC30" s="399"/>
      <c r="AD30" s="399"/>
      <c r="AE30" s="399"/>
      <c r="AF30" s="399"/>
      <c r="AG30" s="399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s="58" customFormat="1">
      <c r="A31" s="398" t="s">
        <v>80</v>
      </c>
      <c r="B31" s="399">
        <f>'Dev Budget'!B37</f>
        <v>0</v>
      </c>
      <c r="C31" s="400"/>
      <c r="D31" s="400"/>
      <c r="E31" s="399"/>
      <c r="F31" s="399"/>
      <c r="G31" s="399"/>
      <c r="H31" s="399"/>
      <c r="I31" s="399"/>
      <c r="J31" s="399"/>
      <c r="K31" s="399"/>
      <c r="L31" s="399"/>
      <c r="M31" s="399"/>
      <c r="N31" s="399"/>
      <c r="O31" s="399"/>
      <c r="P31" s="399"/>
      <c r="Q31" s="399"/>
      <c r="R31" s="399"/>
      <c r="S31" s="399"/>
      <c r="T31" s="399"/>
      <c r="U31" s="399"/>
      <c r="V31" s="399"/>
      <c r="W31" s="399"/>
      <c r="X31" s="399"/>
      <c r="Y31" s="399"/>
      <c r="Z31" s="399"/>
      <c r="AA31" s="399"/>
      <c r="AB31" s="399"/>
      <c r="AC31" s="399"/>
      <c r="AD31" s="399"/>
      <c r="AE31" s="399"/>
      <c r="AF31" s="399"/>
      <c r="AG31" s="399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s="58" customFormat="1">
      <c r="A32" s="398" t="s">
        <v>81</v>
      </c>
      <c r="B32" s="399">
        <f>'Dev Budget'!B38</f>
        <v>0</v>
      </c>
      <c r="C32" s="400"/>
      <c r="D32" s="400"/>
      <c r="E32" s="399"/>
      <c r="F32" s="399"/>
      <c r="G32" s="399"/>
      <c r="H32" s="399"/>
      <c r="I32" s="399"/>
      <c r="J32" s="399"/>
      <c r="K32" s="399"/>
      <c r="L32" s="399"/>
      <c r="M32" s="399"/>
      <c r="N32" s="399"/>
      <c r="O32" s="399"/>
      <c r="P32" s="399"/>
      <c r="Q32" s="399"/>
      <c r="R32" s="399"/>
      <c r="S32" s="399"/>
      <c r="T32" s="399"/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399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s="58" customFormat="1">
      <c r="A33" s="406" t="s">
        <v>82</v>
      </c>
      <c r="B33" s="399">
        <f>'Dev Budget'!B39</f>
        <v>0</v>
      </c>
      <c r="C33" s="400"/>
      <c r="D33" s="400"/>
      <c r="E33" s="399"/>
      <c r="F33" s="399"/>
      <c r="G33" s="399"/>
      <c r="H33" s="399"/>
      <c r="I33" s="399"/>
      <c r="J33" s="399"/>
      <c r="K33" s="399"/>
      <c r="L33" s="399"/>
      <c r="M33" s="399"/>
      <c r="N33" s="399"/>
      <c r="O33" s="399"/>
      <c r="P33" s="399"/>
      <c r="Q33" s="399"/>
      <c r="R33" s="399"/>
      <c r="S33" s="399"/>
      <c r="T33" s="399"/>
      <c r="U33" s="399"/>
      <c r="V33" s="399"/>
      <c r="W33" s="399"/>
      <c r="X33" s="399"/>
      <c r="Y33" s="399"/>
      <c r="Z33" s="399"/>
      <c r="AA33" s="399"/>
      <c r="AB33" s="399"/>
      <c r="AC33" s="399"/>
      <c r="AD33" s="399"/>
      <c r="AE33" s="399"/>
      <c r="AF33" s="399"/>
      <c r="AG33" s="399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s="244" customFormat="1" ht="15" thickBot="1">
      <c r="A34" s="705" t="s">
        <v>83</v>
      </c>
      <c r="B34" s="706">
        <f>'Dev Budget'!B40</f>
        <v>0</v>
      </c>
      <c r="C34" s="707">
        <f>SUM(C20:C33)</f>
        <v>0</v>
      </c>
      <c r="D34" s="707">
        <f>SUM(D20:D33)</f>
        <v>0</v>
      </c>
      <c r="E34" s="706"/>
      <c r="F34" s="706">
        <f>SUM(F20:F33)</f>
        <v>0</v>
      </c>
      <c r="G34" s="706">
        <f t="shared" ref="G34:AG34" si="2">SUM(G20:G33)</f>
        <v>0</v>
      </c>
      <c r="H34" s="706">
        <f t="shared" si="2"/>
        <v>0</v>
      </c>
      <c r="I34" s="706">
        <f t="shared" si="2"/>
        <v>0</v>
      </c>
      <c r="J34" s="706">
        <f t="shared" si="2"/>
        <v>0</v>
      </c>
      <c r="K34" s="706">
        <f t="shared" si="2"/>
        <v>0</v>
      </c>
      <c r="L34" s="706">
        <f t="shared" si="2"/>
        <v>0</v>
      </c>
      <c r="M34" s="706">
        <f t="shared" si="2"/>
        <v>0</v>
      </c>
      <c r="N34" s="706">
        <f t="shared" si="2"/>
        <v>0</v>
      </c>
      <c r="O34" s="706">
        <f t="shared" si="2"/>
        <v>0</v>
      </c>
      <c r="P34" s="706">
        <f t="shared" si="2"/>
        <v>0</v>
      </c>
      <c r="Q34" s="706">
        <f t="shared" si="2"/>
        <v>0</v>
      </c>
      <c r="R34" s="706">
        <f t="shared" si="2"/>
        <v>0</v>
      </c>
      <c r="S34" s="706">
        <f t="shared" si="2"/>
        <v>0</v>
      </c>
      <c r="T34" s="706">
        <f t="shared" si="2"/>
        <v>0</v>
      </c>
      <c r="U34" s="706">
        <f t="shared" si="2"/>
        <v>0</v>
      </c>
      <c r="V34" s="706">
        <f t="shared" si="2"/>
        <v>0</v>
      </c>
      <c r="W34" s="706">
        <f t="shared" si="2"/>
        <v>0</v>
      </c>
      <c r="X34" s="706">
        <f t="shared" si="2"/>
        <v>0</v>
      </c>
      <c r="Y34" s="706">
        <f t="shared" si="2"/>
        <v>0</v>
      </c>
      <c r="Z34" s="706">
        <f t="shared" si="2"/>
        <v>0</v>
      </c>
      <c r="AA34" s="706">
        <f t="shared" si="2"/>
        <v>0</v>
      </c>
      <c r="AB34" s="706">
        <f t="shared" si="2"/>
        <v>0</v>
      </c>
      <c r="AC34" s="706">
        <f t="shared" si="2"/>
        <v>0</v>
      </c>
      <c r="AD34" s="706">
        <f t="shared" si="2"/>
        <v>0</v>
      </c>
      <c r="AE34" s="706">
        <f t="shared" si="2"/>
        <v>0</v>
      </c>
      <c r="AF34" s="706">
        <f t="shared" si="2"/>
        <v>0</v>
      </c>
      <c r="AG34" s="706">
        <f t="shared" si="2"/>
        <v>0</v>
      </c>
      <c r="AH34" s="709"/>
      <c r="AI34" s="709"/>
      <c r="AJ34" s="709"/>
      <c r="AK34" s="709"/>
      <c r="AL34" s="709"/>
      <c r="AM34" s="709"/>
      <c r="AN34" s="709"/>
      <c r="AO34" s="709"/>
      <c r="AP34" s="709"/>
      <c r="AQ34" s="709"/>
      <c r="AR34" s="709"/>
      <c r="AS34" s="709"/>
      <c r="AT34" s="709"/>
      <c r="AU34" s="709"/>
      <c r="AV34" s="709"/>
    </row>
    <row r="35" spans="1:48" s="58" customFormat="1">
      <c r="A35" s="398"/>
      <c r="B35" s="399"/>
      <c r="C35" s="399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s="58" customFormat="1">
      <c r="A36" s="396" t="s">
        <v>84</v>
      </c>
      <c r="B36" s="399"/>
      <c r="C36" s="399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s="58" customFormat="1">
      <c r="A37" s="398" t="s">
        <v>85</v>
      </c>
      <c r="B37" s="399">
        <f>'Dev Budget'!B43</f>
        <v>0</v>
      </c>
      <c r="C37" s="400"/>
      <c r="D37" s="400"/>
      <c r="E37" s="399"/>
      <c r="F37" s="399"/>
      <c r="G37" s="399"/>
      <c r="H37" s="399"/>
      <c r="I37" s="399"/>
      <c r="J37" s="399"/>
      <c r="K37" s="399"/>
      <c r="L37" s="399"/>
      <c r="M37" s="399"/>
      <c r="N37" s="399"/>
      <c r="O37" s="399"/>
      <c r="P37" s="399"/>
      <c r="Q37" s="399"/>
      <c r="R37" s="399"/>
      <c r="S37" s="399"/>
      <c r="T37" s="399"/>
      <c r="U37" s="399"/>
      <c r="V37" s="399"/>
      <c r="W37" s="399"/>
      <c r="X37" s="399"/>
      <c r="Y37" s="399"/>
      <c r="Z37" s="399"/>
      <c r="AA37" s="399"/>
      <c r="AB37" s="399"/>
      <c r="AC37" s="399"/>
      <c r="AD37" s="399"/>
      <c r="AE37" s="399"/>
      <c r="AF37" s="399"/>
      <c r="AG37" s="399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s="58" customFormat="1">
      <c r="A38" s="398" t="s">
        <v>87</v>
      </c>
      <c r="B38" s="399">
        <f>'Dev Budget'!B44</f>
        <v>1400</v>
      </c>
      <c r="C38" s="400"/>
      <c r="D38" s="400"/>
      <c r="E38" s="399"/>
      <c r="F38" s="399"/>
      <c r="G38" s="399"/>
      <c r="H38" s="399"/>
      <c r="I38" s="399"/>
      <c r="J38" s="399"/>
      <c r="K38" s="399"/>
      <c r="L38" s="399"/>
      <c r="M38" s="399"/>
      <c r="N38" s="399"/>
      <c r="O38" s="399"/>
      <c r="P38" s="399"/>
      <c r="Q38" s="399"/>
      <c r="R38" s="399"/>
      <c r="S38" s="399"/>
      <c r="T38" s="399"/>
      <c r="U38" s="399"/>
      <c r="V38" s="399"/>
      <c r="W38" s="399"/>
      <c r="X38" s="399"/>
      <c r="Y38" s="399"/>
      <c r="Z38" s="399"/>
      <c r="AA38" s="399"/>
      <c r="AB38" s="399"/>
      <c r="AC38" s="399"/>
      <c r="AD38" s="399"/>
      <c r="AE38" s="399"/>
      <c r="AF38" s="399"/>
      <c r="AG38" s="399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 s="58" customFormat="1">
      <c r="A39" s="398" t="s">
        <v>88</v>
      </c>
      <c r="B39" s="399">
        <f>'Dev Budget'!B45</f>
        <v>0</v>
      </c>
      <c r="C39" s="400"/>
      <c r="D39" s="400"/>
      <c r="E39" s="399"/>
      <c r="F39" s="399"/>
      <c r="G39" s="399"/>
      <c r="H39" s="399"/>
      <c r="I39" s="399"/>
      <c r="J39" s="399"/>
      <c r="K39" s="399"/>
      <c r="L39" s="399"/>
      <c r="M39" s="399"/>
      <c r="N39" s="399"/>
      <c r="O39" s="399"/>
      <c r="P39" s="399"/>
      <c r="Q39" s="399"/>
      <c r="R39" s="399"/>
      <c r="S39" s="399"/>
      <c r="T39" s="399"/>
      <c r="U39" s="399"/>
      <c r="V39" s="399"/>
      <c r="W39" s="399"/>
      <c r="X39" s="399"/>
      <c r="Y39" s="399"/>
      <c r="Z39" s="399"/>
      <c r="AA39" s="399"/>
      <c r="AB39" s="399"/>
      <c r="AC39" s="399"/>
      <c r="AD39" s="399"/>
      <c r="AE39" s="399"/>
      <c r="AF39" s="399"/>
      <c r="AG39" s="399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 s="58" customFormat="1">
      <c r="A40" s="398" t="s">
        <v>90</v>
      </c>
      <c r="B40" s="399">
        <f>'Dev Budget'!B46</f>
        <v>0</v>
      </c>
      <c r="C40" s="400"/>
      <c r="D40" s="400"/>
      <c r="E40" s="399"/>
      <c r="F40" s="399"/>
      <c r="G40" s="399"/>
      <c r="H40" s="399"/>
      <c r="I40" s="399"/>
      <c r="J40" s="399"/>
      <c r="K40" s="399"/>
      <c r="L40" s="399"/>
      <c r="M40" s="399"/>
      <c r="N40" s="399"/>
      <c r="O40" s="399"/>
      <c r="P40" s="399"/>
      <c r="Q40" s="399"/>
      <c r="R40" s="399"/>
      <c r="S40" s="399"/>
      <c r="T40" s="399"/>
      <c r="U40" s="399"/>
      <c r="V40" s="399"/>
      <c r="W40" s="399"/>
      <c r="X40" s="399"/>
      <c r="Y40" s="399"/>
      <c r="Z40" s="399"/>
      <c r="AA40" s="399"/>
      <c r="AB40" s="399"/>
      <c r="AC40" s="399"/>
      <c r="AD40" s="399"/>
      <c r="AE40" s="399"/>
      <c r="AF40" s="399"/>
      <c r="AG40" s="399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s="58" customFormat="1">
      <c r="A41" s="398" t="s">
        <v>92</v>
      </c>
      <c r="B41" s="399">
        <f>'Dev Budget'!B47</f>
        <v>144000</v>
      </c>
      <c r="C41" s="400"/>
      <c r="D41" s="400"/>
      <c r="E41" s="399"/>
      <c r="F41" s="399"/>
      <c r="G41" s="399"/>
      <c r="H41" s="399"/>
      <c r="I41" s="399"/>
      <c r="J41" s="399"/>
      <c r="K41" s="399"/>
      <c r="L41" s="399"/>
      <c r="M41" s="399"/>
      <c r="N41" s="399"/>
      <c r="O41" s="399"/>
      <c r="P41" s="399"/>
      <c r="Q41" s="399"/>
      <c r="R41" s="399"/>
      <c r="S41" s="399"/>
      <c r="T41" s="399"/>
      <c r="U41" s="399"/>
      <c r="V41" s="399"/>
      <c r="W41" s="399"/>
      <c r="X41" s="399"/>
      <c r="Y41" s="399"/>
      <c r="Z41" s="399"/>
      <c r="AA41" s="399"/>
      <c r="AB41" s="399"/>
      <c r="AC41" s="399"/>
      <c r="AD41" s="399"/>
      <c r="AE41" s="399"/>
      <c r="AF41" s="399"/>
      <c r="AG41" s="399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s="244" customFormat="1" ht="15" thickBot="1">
      <c r="A42" s="705" t="s">
        <v>83</v>
      </c>
      <c r="B42" s="706">
        <f>'Dev Budget'!B48</f>
        <v>145400</v>
      </c>
      <c r="C42" s="707">
        <f>SUM(C37:C41)</f>
        <v>0</v>
      </c>
      <c r="D42" s="707">
        <f>SUM(D37:D41)</f>
        <v>0</v>
      </c>
      <c r="E42" s="706"/>
      <c r="F42" s="706">
        <f>SUM(F37:F41)</f>
        <v>0</v>
      </c>
      <c r="G42" s="706">
        <f t="shared" ref="G42:AG42" si="3">SUM(G37:G41)</f>
        <v>0</v>
      </c>
      <c r="H42" s="706">
        <f t="shared" si="3"/>
        <v>0</v>
      </c>
      <c r="I42" s="706">
        <f t="shared" si="3"/>
        <v>0</v>
      </c>
      <c r="J42" s="706">
        <f t="shared" si="3"/>
        <v>0</v>
      </c>
      <c r="K42" s="706">
        <f t="shared" si="3"/>
        <v>0</v>
      </c>
      <c r="L42" s="706">
        <f t="shared" si="3"/>
        <v>0</v>
      </c>
      <c r="M42" s="706">
        <f t="shared" si="3"/>
        <v>0</v>
      </c>
      <c r="N42" s="706">
        <f t="shared" si="3"/>
        <v>0</v>
      </c>
      <c r="O42" s="706">
        <f t="shared" si="3"/>
        <v>0</v>
      </c>
      <c r="P42" s="706">
        <f t="shared" si="3"/>
        <v>0</v>
      </c>
      <c r="Q42" s="706">
        <f t="shared" si="3"/>
        <v>0</v>
      </c>
      <c r="R42" s="706">
        <f t="shared" si="3"/>
        <v>0</v>
      </c>
      <c r="S42" s="706">
        <f t="shared" si="3"/>
        <v>0</v>
      </c>
      <c r="T42" s="706">
        <f t="shared" si="3"/>
        <v>0</v>
      </c>
      <c r="U42" s="706">
        <f t="shared" si="3"/>
        <v>0</v>
      </c>
      <c r="V42" s="706">
        <f t="shared" si="3"/>
        <v>0</v>
      </c>
      <c r="W42" s="706">
        <f t="shared" si="3"/>
        <v>0</v>
      </c>
      <c r="X42" s="706">
        <f t="shared" si="3"/>
        <v>0</v>
      </c>
      <c r="Y42" s="706">
        <f t="shared" si="3"/>
        <v>0</v>
      </c>
      <c r="Z42" s="706">
        <f t="shared" si="3"/>
        <v>0</v>
      </c>
      <c r="AA42" s="706">
        <f t="shared" si="3"/>
        <v>0</v>
      </c>
      <c r="AB42" s="706">
        <f t="shared" si="3"/>
        <v>0</v>
      </c>
      <c r="AC42" s="706">
        <f t="shared" si="3"/>
        <v>0</v>
      </c>
      <c r="AD42" s="706">
        <f t="shared" si="3"/>
        <v>0</v>
      </c>
      <c r="AE42" s="706">
        <f t="shared" si="3"/>
        <v>0</v>
      </c>
      <c r="AF42" s="706">
        <f t="shared" si="3"/>
        <v>0</v>
      </c>
      <c r="AG42" s="706">
        <f t="shared" si="3"/>
        <v>0</v>
      </c>
      <c r="AH42" s="709"/>
      <c r="AI42" s="709"/>
      <c r="AJ42" s="709"/>
      <c r="AK42" s="709"/>
      <c r="AL42" s="709"/>
      <c r="AM42" s="709"/>
      <c r="AN42" s="709"/>
      <c r="AO42" s="709"/>
      <c r="AP42" s="709"/>
      <c r="AQ42" s="709"/>
      <c r="AR42" s="709"/>
      <c r="AS42" s="709"/>
      <c r="AT42" s="709"/>
      <c r="AU42" s="709"/>
      <c r="AV42" s="709"/>
    </row>
    <row r="43" spans="1:48" s="58" customFormat="1">
      <c r="A43" s="396"/>
      <c r="B43" s="399"/>
      <c r="C43" s="399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 s="58" customFormat="1">
      <c r="A44" s="396" t="s">
        <v>94</v>
      </c>
      <c r="B44" s="399"/>
      <c r="C44" s="39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 s="58" customFormat="1">
      <c r="A45" s="398" t="s">
        <v>95</v>
      </c>
      <c r="B45" s="399">
        <f>'Dev Budget'!B51</f>
        <v>0</v>
      </c>
      <c r="C45" s="399"/>
      <c r="D45" s="403"/>
      <c r="E45" s="399"/>
      <c r="F45" s="399"/>
      <c r="G45" s="399"/>
      <c r="H45" s="399"/>
      <c r="I45" s="399"/>
      <c r="J45" s="399"/>
      <c r="K45" s="399"/>
      <c r="L45" s="399"/>
      <c r="M45" s="399"/>
      <c r="N45" s="399"/>
      <c r="O45" s="399"/>
      <c r="P45" s="399"/>
      <c r="Q45" s="399"/>
      <c r="R45" s="399"/>
      <c r="S45" s="399"/>
      <c r="T45" s="399"/>
      <c r="U45" s="399"/>
      <c r="V45" s="399"/>
      <c r="W45" s="399"/>
      <c r="X45" s="399"/>
      <c r="Y45" s="399"/>
      <c r="Z45" s="399"/>
      <c r="AA45" s="399"/>
      <c r="AB45" s="399"/>
      <c r="AC45" s="399"/>
      <c r="AD45" s="399"/>
      <c r="AE45" s="399"/>
      <c r="AF45" s="399"/>
      <c r="AG45" s="399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 spans="1:48" s="58" customFormat="1">
      <c r="A46" s="407" t="s">
        <v>97</v>
      </c>
      <c r="B46" s="399">
        <f>'Dev Budget'!B52</f>
        <v>0</v>
      </c>
      <c r="C46" s="400"/>
      <c r="D46" s="400"/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399"/>
      <c r="AD46" s="399"/>
      <c r="AE46" s="399"/>
      <c r="AF46" s="399"/>
      <c r="AG46" s="399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48" s="58" customFormat="1">
      <c r="A47" s="398" t="s">
        <v>98</v>
      </c>
      <c r="B47" s="399">
        <f>'Dev Budget'!B53</f>
        <v>0</v>
      </c>
      <c r="C47" s="399"/>
      <c r="D47" s="403"/>
      <c r="E47" s="399"/>
      <c r="F47" s="399"/>
      <c r="G47" s="399"/>
      <c r="H47" s="399"/>
      <c r="I47" s="399"/>
      <c r="J47" s="399"/>
      <c r="K47" s="399"/>
      <c r="L47" s="399"/>
      <c r="M47" s="399"/>
      <c r="N47" s="399"/>
      <c r="O47" s="399"/>
      <c r="P47" s="399"/>
      <c r="Q47" s="399"/>
      <c r="R47" s="399"/>
      <c r="S47" s="399"/>
      <c r="T47" s="399"/>
      <c r="U47" s="399"/>
      <c r="V47" s="399"/>
      <c r="W47" s="399"/>
      <c r="X47" s="399"/>
      <c r="Y47" s="399"/>
      <c r="Z47" s="399"/>
      <c r="AA47" s="399"/>
      <c r="AB47" s="399"/>
      <c r="AC47" s="399"/>
      <c r="AD47" s="399"/>
      <c r="AE47" s="399"/>
      <c r="AF47" s="399"/>
      <c r="AG47" s="399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48" s="58" customFormat="1">
      <c r="A48" s="398" t="s">
        <v>99</v>
      </c>
      <c r="B48" s="399">
        <f>'Dev Budget'!B54</f>
        <v>0</v>
      </c>
      <c r="C48" s="400"/>
      <c r="D48" s="400"/>
      <c r="E48" s="399"/>
      <c r="F48" s="399"/>
      <c r="G48" s="399"/>
      <c r="H48" s="399"/>
      <c r="I48" s="399"/>
      <c r="J48" s="399"/>
      <c r="K48" s="399"/>
      <c r="L48" s="399"/>
      <c r="M48" s="399"/>
      <c r="N48" s="399"/>
      <c r="O48" s="399"/>
      <c r="P48" s="399"/>
      <c r="Q48" s="399"/>
      <c r="R48" s="399"/>
      <c r="S48" s="399"/>
      <c r="T48" s="399"/>
      <c r="U48" s="399"/>
      <c r="V48" s="399"/>
      <c r="W48" s="399"/>
      <c r="X48" s="399"/>
      <c r="Y48" s="399"/>
      <c r="Z48" s="399"/>
      <c r="AA48" s="399"/>
      <c r="AB48" s="399"/>
      <c r="AC48" s="399"/>
      <c r="AD48" s="399"/>
      <c r="AE48" s="399"/>
      <c r="AF48" s="399"/>
      <c r="AG48" s="399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</row>
    <row r="49" spans="1:48" s="58" customFormat="1">
      <c r="A49" s="398" t="s">
        <v>100</v>
      </c>
      <c r="B49" s="399">
        <f>'Dev Budget'!B55</f>
        <v>75000</v>
      </c>
      <c r="C49" s="399"/>
      <c r="D49" s="403"/>
      <c r="E49" s="399"/>
      <c r="F49" s="399"/>
      <c r="G49" s="399"/>
      <c r="H49" s="399"/>
      <c r="I49" s="399"/>
      <c r="J49" s="399"/>
      <c r="K49" s="399"/>
      <c r="L49" s="399"/>
      <c r="M49" s="399"/>
      <c r="N49" s="399"/>
      <c r="O49" s="399"/>
      <c r="P49" s="399"/>
      <c r="Q49" s="399"/>
      <c r="R49" s="399"/>
      <c r="S49" s="399"/>
      <c r="T49" s="399"/>
      <c r="U49" s="399"/>
      <c r="V49" s="399"/>
      <c r="W49" s="399"/>
      <c r="X49" s="399"/>
      <c r="Y49" s="399"/>
      <c r="Z49" s="399"/>
      <c r="AA49" s="399"/>
      <c r="AB49" s="399"/>
      <c r="AC49" s="399"/>
      <c r="AD49" s="399"/>
      <c r="AE49" s="399"/>
      <c r="AF49" s="399"/>
      <c r="AG49" s="399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1:48" s="58" customFormat="1">
      <c r="A50" s="398" t="s">
        <v>101</v>
      </c>
      <c r="B50" s="399">
        <f>'Dev Budget'!B56</f>
        <v>0</v>
      </c>
      <c r="C50" s="399"/>
      <c r="D50" s="403"/>
      <c r="E50" s="399"/>
      <c r="F50" s="399"/>
      <c r="G50" s="399"/>
      <c r="H50" s="399"/>
      <c r="I50" s="399"/>
      <c r="J50" s="399"/>
      <c r="K50" s="399"/>
      <c r="L50" s="399"/>
      <c r="M50" s="399"/>
      <c r="N50" s="399"/>
      <c r="O50" s="399"/>
      <c r="P50" s="399"/>
      <c r="Q50" s="399"/>
      <c r="R50" s="399"/>
      <c r="S50" s="399"/>
      <c r="T50" s="399"/>
      <c r="U50" s="399"/>
      <c r="V50" s="399"/>
      <c r="W50" s="399"/>
      <c r="X50" s="399"/>
      <c r="Y50" s="399"/>
      <c r="Z50" s="399"/>
      <c r="AA50" s="399"/>
      <c r="AB50" s="399"/>
      <c r="AC50" s="399"/>
      <c r="AD50" s="399"/>
      <c r="AE50" s="399"/>
      <c r="AF50" s="399"/>
      <c r="AG50" s="399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s="58" customFormat="1">
      <c r="A51" s="398" t="s">
        <v>102</v>
      </c>
      <c r="B51" s="399">
        <f>'Dev Budget'!B57</f>
        <v>0</v>
      </c>
      <c r="C51" s="399"/>
      <c r="D51" s="403"/>
      <c r="E51" s="399"/>
      <c r="F51" s="399"/>
      <c r="G51" s="399"/>
      <c r="H51" s="399"/>
      <c r="I51" s="399"/>
      <c r="J51" s="399"/>
      <c r="K51" s="399"/>
      <c r="L51" s="399"/>
      <c r="M51" s="399"/>
      <c r="N51" s="399"/>
      <c r="O51" s="399"/>
      <c r="P51" s="399"/>
      <c r="Q51" s="399"/>
      <c r="R51" s="399"/>
      <c r="S51" s="399"/>
      <c r="T51" s="399"/>
      <c r="U51" s="399"/>
      <c r="V51" s="399"/>
      <c r="W51" s="399"/>
      <c r="X51" s="399"/>
      <c r="Y51" s="399"/>
      <c r="Z51" s="399"/>
      <c r="AA51" s="399"/>
      <c r="AB51" s="399"/>
      <c r="AC51" s="399"/>
      <c r="AD51" s="399"/>
      <c r="AE51" s="399"/>
      <c r="AF51" s="399"/>
      <c r="AG51" s="399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48" s="58" customFormat="1">
      <c r="A52" s="398" t="s">
        <v>103</v>
      </c>
      <c r="B52" s="399">
        <f>'Dev Budget'!B58</f>
        <v>60000</v>
      </c>
      <c r="C52" s="399"/>
      <c r="D52" s="403"/>
      <c r="E52" s="399"/>
      <c r="F52" s="399"/>
      <c r="G52" s="399"/>
      <c r="H52" s="399"/>
      <c r="I52" s="399"/>
      <c r="J52" s="399"/>
      <c r="K52" s="399"/>
      <c r="L52" s="399"/>
      <c r="M52" s="399"/>
      <c r="N52" s="399"/>
      <c r="O52" s="399"/>
      <c r="P52" s="399"/>
      <c r="Q52" s="399"/>
      <c r="R52" s="399"/>
      <c r="S52" s="399"/>
      <c r="T52" s="399"/>
      <c r="U52" s="399"/>
      <c r="V52" s="399"/>
      <c r="W52" s="399"/>
      <c r="X52" s="399"/>
      <c r="Y52" s="399"/>
      <c r="Z52" s="399"/>
      <c r="AA52" s="399"/>
      <c r="AB52" s="399"/>
      <c r="AC52" s="399"/>
      <c r="AD52" s="399"/>
      <c r="AE52" s="399"/>
      <c r="AF52" s="399"/>
      <c r="AG52" s="399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s="58" customFormat="1">
      <c r="A53" s="398" t="s">
        <v>105</v>
      </c>
      <c r="B53" s="399">
        <f>'Dev Budget'!B59</f>
        <v>0</v>
      </c>
      <c r="C53" s="400"/>
      <c r="D53" s="400"/>
      <c r="E53" s="399"/>
      <c r="F53" s="399"/>
      <c r="G53" s="399"/>
      <c r="H53" s="399"/>
      <c r="I53" s="399"/>
      <c r="J53" s="399"/>
      <c r="K53" s="399"/>
      <c r="L53" s="399"/>
      <c r="M53" s="399"/>
      <c r="N53" s="399"/>
      <c r="O53" s="399"/>
      <c r="P53" s="399"/>
      <c r="Q53" s="399"/>
      <c r="R53" s="399"/>
      <c r="S53" s="399"/>
      <c r="T53" s="399"/>
      <c r="U53" s="399"/>
      <c r="V53" s="399"/>
      <c r="W53" s="399"/>
      <c r="X53" s="399"/>
      <c r="Y53" s="399"/>
      <c r="Z53" s="399"/>
      <c r="AA53" s="399"/>
      <c r="AB53" s="399"/>
      <c r="AC53" s="399"/>
      <c r="AD53" s="399"/>
      <c r="AE53" s="399"/>
      <c r="AF53" s="399"/>
      <c r="AG53" s="399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1:48" s="58" customFormat="1">
      <c r="A54" s="398" t="s">
        <v>106</v>
      </c>
      <c r="B54" s="399">
        <f>'Dev Budget'!B60</f>
        <v>0</v>
      </c>
      <c r="C54" s="400"/>
      <c r="D54" s="400"/>
      <c r="E54" s="399"/>
      <c r="F54" s="399"/>
      <c r="G54" s="399"/>
      <c r="H54" s="399"/>
      <c r="I54" s="399"/>
      <c r="J54" s="399"/>
      <c r="K54" s="399"/>
      <c r="L54" s="399"/>
      <c r="M54" s="399"/>
      <c r="N54" s="399"/>
      <c r="O54" s="399"/>
      <c r="P54" s="399"/>
      <c r="Q54" s="399"/>
      <c r="R54" s="399"/>
      <c r="S54" s="399"/>
      <c r="T54" s="399"/>
      <c r="U54" s="399"/>
      <c r="V54" s="399"/>
      <c r="W54" s="399"/>
      <c r="X54" s="399"/>
      <c r="Y54" s="399"/>
      <c r="Z54" s="399"/>
      <c r="AA54" s="399"/>
      <c r="AB54" s="399"/>
      <c r="AC54" s="399"/>
      <c r="AD54" s="399"/>
      <c r="AE54" s="399"/>
      <c r="AF54" s="399"/>
      <c r="AG54" s="399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1:48" s="58" customFormat="1">
      <c r="A55" s="398" t="s">
        <v>107</v>
      </c>
      <c r="B55" s="399">
        <f>'Dev Budget'!B61</f>
        <v>0</v>
      </c>
      <c r="C55" s="400"/>
      <c r="D55" s="400"/>
      <c r="E55" s="399"/>
      <c r="F55" s="399"/>
      <c r="G55" s="399"/>
      <c r="H55" s="399"/>
      <c r="I55" s="399"/>
      <c r="J55" s="399"/>
      <c r="K55" s="399"/>
      <c r="L55" s="399"/>
      <c r="M55" s="399"/>
      <c r="N55" s="399"/>
      <c r="O55" s="399"/>
      <c r="P55" s="399"/>
      <c r="Q55" s="399"/>
      <c r="R55" s="399"/>
      <c r="S55" s="399"/>
      <c r="T55" s="399"/>
      <c r="U55" s="399"/>
      <c r="V55" s="399"/>
      <c r="W55" s="399"/>
      <c r="X55" s="399"/>
      <c r="Y55" s="399"/>
      <c r="Z55" s="399"/>
      <c r="AA55" s="399"/>
      <c r="AB55" s="399"/>
      <c r="AC55" s="399"/>
      <c r="AD55" s="399"/>
      <c r="AE55" s="399"/>
      <c r="AF55" s="399"/>
      <c r="AG55" s="399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 s="244" customFormat="1" ht="15" thickBot="1">
      <c r="A56" s="705" t="s">
        <v>83</v>
      </c>
      <c r="B56" s="706">
        <f>'Dev Budget'!B62</f>
        <v>135000</v>
      </c>
      <c r="C56" s="707">
        <f>SUM(C45:C55)</f>
        <v>0</v>
      </c>
      <c r="D56" s="707">
        <f>SUM(D45:D55)</f>
        <v>0</v>
      </c>
      <c r="E56" s="706"/>
      <c r="F56" s="706">
        <f>SUM(F45:F55)</f>
        <v>0</v>
      </c>
      <c r="G56" s="706">
        <f t="shared" ref="G56:AG56" si="4">SUM(G45:G55)</f>
        <v>0</v>
      </c>
      <c r="H56" s="706">
        <f t="shared" si="4"/>
        <v>0</v>
      </c>
      <c r="I56" s="706">
        <f t="shared" si="4"/>
        <v>0</v>
      </c>
      <c r="J56" s="706">
        <f t="shared" si="4"/>
        <v>0</v>
      </c>
      <c r="K56" s="706">
        <f t="shared" si="4"/>
        <v>0</v>
      </c>
      <c r="L56" s="706">
        <f t="shared" si="4"/>
        <v>0</v>
      </c>
      <c r="M56" s="706">
        <f t="shared" si="4"/>
        <v>0</v>
      </c>
      <c r="N56" s="706">
        <f t="shared" si="4"/>
        <v>0</v>
      </c>
      <c r="O56" s="706">
        <f t="shared" si="4"/>
        <v>0</v>
      </c>
      <c r="P56" s="706">
        <f t="shared" si="4"/>
        <v>0</v>
      </c>
      <c r="Q56" s="706">
        <f t="shared" si="4"/>
        <v>0</v>
      </c>
      <c r="R56" s="706">
        <f t="shared" si="4"/>
        <v>0</v>
      </c>
      <c r="S56" s="706">
        <f t="shared" si="4"/>
        <v>0</v>
      </c>
      <c r="T56" s="706">
        <f t="shared" si="4"/>
        <v>0</v>
      </c>
      <c r="U56" s="706">
        <f t="shared" si="4"/>
        <v>0</v>
      </c>
      <c r="V56" s="706">
        <f t="shared" si="4"/>
        <v>0</v>
      </c>
      <c r="W56" s="706">
        <f t="shared" si="4"/>
        <v>0</v>
      </c>
      <c r="X56" s="706">
        <f t="shared" si="4"/>
        <v>0</v>
      </c>
      <c r="Y56" s="706">
        <f t="shared" si="4"/>
        <v>0</v>
      </c>
      <c r="Z56" s="706">
        <f t="shared" si="4"/>
        <v>0</v>
      </c>
      <c r="AA56" s="706">
        <f t="shared" si="4"/>
        <v>0</v>
      </c>
      <c r="AB56" s="706">
        <f t="shared" si="4"/>
        <v>0</v>
      </c>
      <c r="AC56" s="706">
        <f t="shared" si="4"/>
        <v>0</v>
      </c>
      <c r="AD56" s="706">
        <f t="shared" si="4"/>
        <v>0</v>
      </c>
      <c r="AE56" s="706">
        <f t="shared" si="4"/>
        <v>0</v>
      </c>
      <c r="AF56" s="706">
        <f t="shared" si="4"/>
        <v>0</v>
      </c>
      <c r="AG56" s="706">
        <f t="shared" si="4"/>
        <v>0</v>
      </c>
      <c r="AH56" s="709"/>
      <c r="AI56" s="709"/>
      <c r="AJ56" s="709"/>
      <c r="AK56" s="709"/>
      <c r="AL56" s="709"/>
      <c r="AM56" s="709"/>
      <c r="AN56" s="709"/>
      <c r="AO56" s="709"/>
      <c r="AP56" s="709"/>
      <c r="AQ56" s="709"/>
      <c r="AR56" s="709"/>
      <c r="AS56" s="709"/>
      <c r="AT56" s="709"/>
      <c r="AU56" s="709"/>
      <c r="AV56" s="709"/>
    </row>
    <row r="57" spans="1:48" s="58" customFormat="1">
      <c r="A57" s="396"/>
      <c r="B57" s="399"/>
      <c r="C57" s="399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 s="58" customFormat="1">
      <c r="A58" s="396" t="s">
        <v>108</v>
      </c>
      <c r="B58" s="399"/>
      <c r="C58" s="399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s="58" customFormat="1">
      <c r="A59" s="657" t="s">
        <v>109</v>
      </c>
      <c r="B59" s="399"/>
      <c r="C59" s="39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s="58" customFormat="1">
      <c r="A60" s="398" t="s">
        <v>110</v>
      </c>
      <c r="B60" s="399">
        <f>'Dev Budget'!B66</f>
        <v>0</v>
      </c>
      <c r="C60" s="399"/>
      <c r="D60" s="403"/>
      <c r="E60" s="399"/>
      <c r="F60" s="399"/>
      <c r="G60" s="399"/>
      <c r="H60" s="399"/>
      <c r="I60" s="399"/>
      <c r="J60" s="399"/>
      <c r="K60" s="399"/>
      <c r="L60" s="399"/>
      <c r="M60" s="399"/>
      <c r="N60" s="399"/>
      <c r="O60" s="399"/>
      <c r="P60" s="399"/>
      <c r="Q60" s="399"/>
      <c r="R60" s="399"/>
      <c r="S60" s="399"/>
      <c r="T60" s="399"/>
      <c r="U60" s="399"/>
      <c r="V60" s="399"/>
      <c r="W60" s="399"/>
      <c r="X60" s="399"/>
      <c r="Y60" s="399"/>
      <c r="Z60" s="399"/>
      <c r="AA60" s="399"/>
      <c r="AB60" s="399"/>
      <c r="AC60" s="399"/>
      <c r="AD60" s="399"/>
      <c r="AE60" s="399"/>
      <c r="AF60" s="399"/>
      <c r="AG60" s="399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s="244" customFormat="1" ht="15" thickBot="1">
      <c r="A61" s="705" t="s">
        <v>83</v>
      </c>
      <c r="B61" s="706">
        <f>'Dev Budget'!B67</f>
        <v>0</v>
      </c>
      <c r="C61" s="706"/>
      <c r="D61" s="710"/>
      <c r="E61" s="706"/>
      <c r="F61" s="706">
        <f>F60</f>
        <v>0</v>
      </c>
      <c r="G61" s="706">
        <f t="shared" ref="G61:AG61" si="5">G60</f>
        <v>0</v>
      </c>
      <c r="H61" s="706">
        <f t="shared" si="5"/>
        <v>0</v>
      </c>
      <c r="I61" s="706">
        <f t="shared" si="5"/>
        <v>0</v>
      </c>
      <c r="J61" s="706">
        <f t="shared" si="5"/>
        <v>0</v>
      </c>
      <c r="K61" s="706">
        <f t="shared" si="5"/>
        <v>0</v>
      </c>
      <c r="L61" s="706">
        <f t="shared" si="5"/>
        <v>0</v>
      </c>
      <c r="M61" s="706">
        <f t="shared" si="5"/>
        <v>0</v>
      </c>
      <c r="N61" s="706">
        <f t="shared" si="5"/>
        <v>0</v>
      </c>
      <c r="O61" s="706">
        <f t="shared" si="5"/>
        <v>0</v>
      </c>
      <c r="P61" s="706">
        <f t="shared" si="5"/>
        <v>0</v>
      </c>
      <c r="Q61" s="706">
        <f t="shared" si="5"/>
        <v>0</v>
      </c>
      <c r="R61" s="706">
        <f t="shared" si="5"/>
        <v>0</v>
      </c>
      <c r="S61" s="706">
        <f t="shared" si="5"/>
        <v>0</v>
      </c>
      <c r="T61" s="706">
        <f t="shared" si="5"/>
        <v>0</v>
      </c>
      <c r="U61" s="706">
        <f t="shared" si="5"/>
        <v>0</v>
      </c>
      <c r="V61" s="706">
        <f t="shared" si="5"/>
        <v>0</v>
      </c>
      <c r="W61" s="706">
        <f t="shared" si="5"/>
        <v>0</v>
      </c>
      <c r="X61" s="706">
        <f t="shared" si="5"/>
        <v>0</v>
      </c>
      <c r="Y61" s="706">
        <f t="shared" si="5"/>
        <v>0</v>
      </c>
      <c r="Z61" s="706">
        <f t="shared" si="5"/>
        <v>0</v>
      </c>
      <c r="AA61" s="706">
        <f t="shared" si="5"/>
        <v>0</v>
      </c>
      <c r="AB61" s="706">
        <f t="shared" si="5"/>
        <v>0</v>
      </c>
      <c r="AC61" s="706">
        <f t="shared" si="5"/>
        <v>0</v>
      </c>
      <c r="AD61" s="706">
        <f t="shared" si="5"/>
        <v>0</v>
      </c>
      <c r="AE61" s="706">
        <f t="shared" si="5"/>
        <v>0</v>
      </c>
      <c r="AF61" s="706">
        <f t="shared" si="5"/>
        <v>0</v>
      </c>
      <c r="AG61" s="706">
        <f t="shared" si="5"/>
        <v>0</v>
      </c>
      <c r="AH61" s="709"/>
      <c r="AI61" s="709"/>
      <c r="AJ61" s="709"/>
      <c r="AK61" s="709"/>
      <c r="AL61" s="709"/>
      <c r="AM61" s="709"/>
      <c r="AN61" s="709"/>
      <c r="AO61" s="709"/>
      <c r="AP61" s="709"/>
      <c r="AQ61" s="709"/>
      <c r="AR61" s="709"/>
      <c r="AS61" s="709"/>
      <c r="AT61" s="709"/>
      <c r="AU61" s="709"/>
      <c r="AV61" s="709"/>
    </row>
    <row r="62" spans="1:48" s="58" customFormat="1">
      <c r="A62" s="397"/>
      <c r="B62" s="399"/>
      <c r="C62" s="399"/>
      <c r="D62" s="1"/>
      <c r="E62" s="1"/>
      <c r="F62" s="399"/>
      <c r="G62" s="399"/>
      <c r="H62" s="399"/>
      <c r="I62" s="399"/>
      <c r="J62" s="399"/>
      <c r="K62" s="399"/>
      <c r="L62" s="399"/>
      <c r="M62" s="399"/>
      <c r="N62" s="399"/>
      <c r="O62" s="399"/>
      <c r="P62" s="399"/>
      <c r="Q62" s="399"/>
      <c r="R62" s="399"/>
      <c r="S62" s="399"/>
      <c r="T62" s="399"/>
      <c r="U62" s="399"/>
      <c r="V62" s="399"/>
      <c r="W62" s="399"/>
      <c r="X62" s="399"/>
      <c r="Y62" s="399"/>
      <c r="Z62" s="399"/>
      <c r="AA62" s="399"/>
      <c r="AB62" s="399"/>
      <c r="AC62" s="399"/>
      <c r="AD62" s="399"/>
      <c r="AE62" s="399"/>
      <c r="AF62" s="399"/>
      <c r="AG62" s="399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s="58" customFormat="1">
      <c r="A63" s="398" t="s">
        <v>112</v>
      </c>
      <c r="B63" s="399">
        <f>'Dev Budget'!B69</f>
        <v>14020</v>
      </c>
      <c r="C63" s="399"/>
      <c r="D63" s="1"/>
      <c r="E63" s="399"/>
      <c r="F63" s="399"/>
      <c r="G63" s="399"/>
      <c r="H63" s="399"/>
      <c r="I63" s="399"/>
      <c r="J63" s="399"/>
      <c r="K63" s="399"/>
      <c r="L63" s="399"/>
      <c r="M63" s="399"/>
      <c r="N63" s="399"/>
      <c r="O63" s="399"/>
      <c r="P63" s="399"/>
      <c r="Q63" s="399"/>
      <c r="R63" s="399"/>
      <c r="S63" s="399"/>
      <c r="T63" s="399"/>
      <c r="U63" s="399"/>
      <c r="V63" s="399"/>
      <c r="W63" s="399"/>
      <c r="X63" s="399"/>
      <c r="Y63" s="399"/>
      <c r="Z63" s="399"/>
      <c r="AA63" s="399"/>
      <c r="AB63" s="399"/>
      <c r="AC63" s="399"/>
      <c r="AD63" s="399"/>
      <c r="AE63" s="399"/>
      <c r="AF63" s="399"/>
      <c r="AG63" s="399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 s="58" customFormat="1">
      <c r="A64" s="396"/>
      <c r="B64" s="399"/>
      <c r="C64" s="399"/>
      <c r="D64" s="1"/>
      <c r="E64" s="1"/>
      <c r="F64" s="399"/>
      <c r="G64" s="399"/>
      <c r="H64" s="399"/>
      <c r="I64" s="399"/>
      <c r="J64" s="399"/>
      <c r="K64" s="399"/>
      <c r="L64" s="399"/>
      <c r="M64" s="399"/>
      <c r="N64" s="399"/>
      <c r="O64" s="399"/>
      <c r="P64" s="399"/>
      <c r="Q64" s="399"/>
      <c r="R64" s="399"/>
      <c r="S64" s="399"/>
      <c r="T64" s="399"/>
      <c r="U64" s="399"/>
      <c r="V64" s="399"/>
      <c r="W64" s="399"/>
      <c r="X64" s="399"/>
      <c r="Y64" s="399"/>
      <c r="Z64" s="399"/>
      <c r="AA64" s="399"/>
      <c r="AB64" s="399"/>
      <c r="AC64" s="399"/>
      <c r="AD64" s="399"/>
      <c r="AE64" s="399"/>
      <c r="AF64" s="399"/>
      <c r="AG64" s="399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s="244" customFormat="1" ht="15" thickBot="1">
      <c r="A65" s="705" t="s">
        <v>114</v>
      </c>
      <c r="B65" s="706">
        <f>'Dev Budget'!B71</f>
        <v>294420</v>
      </c>
      <c r="C65" s="711">
        <f>C63+C61+C56+C42+C34</f>
        <v>0</v>
      </c>
      <c r="D65" s="711">
        <f>D63+D61+D56+D42+D34</f>
        <v>0</v>
      </c>
      <c r="E65" s="706"/>
      <c r="F65" s="706">
        <f>F61+F56+F42+F34+F63</f>
        <v>0</v>
      </c>
      <c r="G65" s="706">
        <f t="shared" ref="G65:AG65" si="6">G61+G56+G42+G34+G63</f>
        <v>0</v>
      </c>
      <c r="H65" s="706">
        <f t="shared" si="6"/>
        <v>0</v>
      </c>
      <c r="I65" s="706">
        <f t="shared" si="6"/>
        <v>0</v>
      </c>
      <c r="J65" s="706">
        <f t="shared" si="6"/>
        <v>0</v>
      </c>
      <c r="K65" s="706">
        <f t="shared" si="6"/>
        <v>0</v>
      </c>
      <c r="L65" s="706">
        <f t="shared" si="6"/>
        <v>0</v>
      </c>
      <c r="M65" s="706">
        <f t="shared" si="6"/>
        <v>0</v>
      </c>
      <c r="N65" s="706">
        <f t="shared" si="6"/>
        <v>0</v>
      </c>
      <c r="O65" s="706">
        <f t="shared" si="6"/>
        <v>0</v>
      </c>
      <c r="P65" s="706">
        <f t="shared" si="6"/>
        <v>0</v>
      </c>
      <c r="Q65" s="706">
        <f t="shared" si="6"/>
        <v>0</v>
      </c>
      <c r="R65" s="706">
        <f t="shared" si="6"/>
        <v>0</v>
      </c>
      <c r="S65" s="706">
        <f t="shared" si="6"/>
        <v>0</v>
      </c>
      <c r="T65" s="706">
        <f t="shared" si="6"/>
        <v>0</v>
      </c>
      <c r="U65" s="706">
        <f t="shared" si="6"/>
        <v>0</v>
      </c>
      <c r="V65" s="706">
        <f t="shared" si="6"/>
        <v>0</v>
      </c>
      <c r="W65" s="706">
        <f t="shared" si="6"/>
        <v>0</v>
      </c>
      <c r="X65" s="706">
        <f t="shared" si="6"/>
        <v>0</v>
      </c>
      <c r="Y65" s="706">
        <f t="shared" si="6"/>
        <v>0</v>
      </c>
      <c r="Z65" s="706">
        <f t="shared" si="6"/>
        <v>0</v>
      </c>
      <c r="AA65" s="706">
        <f t="shared" si="6"/>
        <v>0</v>
      </c>
      <c r="AB65" s="706">
        <f t="shared" si="6"/>
        <v>0</v>
      </c>
      <c r="AC65" s="706">
        <f t="shared" si="6"/>
        <v>0</v>
      </c>
      <c r="AD65" s="706">
        <f t="shared" si="6"/>
        <v>0</v>
      </c>
      <c r="AE65" s="706">
        <f t="shared" si="6"/>
        <v>0</v>
      </c>
      <c r="AF65" s="706">
        <f t="shared" si="6"/>
        <v>0</v>
      </c>
      <c r="AG65" s="706">
        <f t="shared" si="6"/>
        <v>0</v>
      </c>
      <c r="AH65" s="709"/>
      <c r="AI65" s="709"/>
      <c r="AJ65" s="709"/>
      <c r="AK65" s="709"/>
      <c r="AL65" s="709"/>
      <c r="AM65" s="709"/>
      <c r="AN65" s="709"/>
      <c r="AO65" s="709"/>
      <c r="AP65" s="709"/>
      <c r="AQ65" s="709"/>
      <c r="AR65" s="709"/>
      <c r="AS65" s="709"/>
      <c r="AT65" s="709"/>
      <c r="AU65" s="709"/>
      <c r="AV65" s="709"/>
    </row>
    <row r="66" spans="1:48" s="58" customFormat="1">
      <c r="A66" s="397"/>
      <c r="B66" s="399"/>
      <c r="C66" s="399"/>
      <c r="D66" s="1"/>
      <c r="E66" s="1"/>
      <c r="F66" s="399"/>
      <c r="G66" s="399"/>
      <c r="H66" s="399"/>
      <c r="I66" s="399"/>
      <c r="J66" s="399"/>
      <c r="K66" s="399"/>
      <c r="L66" s="399"/>
      <c r="M66" s="399"/>
      <c r="N66" s="399"/>
      <c r="O66" s="399"/>
      <c r="P66" s="399"/>
      <c r="Q66" s="399"/>
      <c r="R66" s="399"/>
      <c r="S66" s="399"/>
      <c r="T66" s="399"/>
      <c r="U66" s="399"/>
      <c r="V66" s="399"/>
      <c r="W66" s="399"/>
      <c r="X66" s="399"/>
      <c r="Y66" s="399"/>
      <c r="Z66" s="399"/>
      <c r="AA66" s="399"/>
      <c r="AB66" s="399"/>
      <c r="AC66" s="399"/>
      <c r="AD66" s="399"/>
      <c r="AE66" s="399"/>
      <c r="AF66" s="399"/>
      <c r="AG66" s="399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s="244" customFormat="1" ht="15" thickBot="1">
      <c r="A67" s="712" t="s">
        <v>49</v>
      </c>
      <c r="B67" s="706">
        <f>'Dev Budget'!B73</f>
        <v>28040</v>
      </c>
      <c r="C67" s="706"/>
      <c r="D67" s="709"/>
      <c r="E67" s="706"/>
      <c r="F67" s="706"/>
      <c r="G67" s="706"/>
      <c r="H67" s="706"/>
      <c r="I67" s="706"/>
      <c r="J67" s="706"/>
      <c r="K67" s="706"/>
      <c r="L67" s="706"/>
      <c r="M67" s="706"/>
      <c r="N67" s="706"/>
      <c r="O67" s="706"/>
      <c r="P67" s="706"/>
      <c r="Q67" s="706"/>
      <c r="R67" s="706"/>
      <c r="S67" s="706"/>
      <c r="T67" s="706"/>
      <c r="U67" s="706"/>
      <c r="V67" s="706"/>
      <c r="W67" s="706"/>
      <c r="X67" s="706"/>
      <c r="Y67" s="706"/>
      <c r="Z67" s="706"/>
      <c r="AA67" s="706"/>
      <c r="AB67" s="706"/>
      <c r="AC67" s="706"/>
      <c r="AD67" s="706"/>
      <c r="AE67" s="706"/>
      <c r="AF67" s="706"/>
      <c r="AG67" s="706"/>
      <c r="AH67" s="709"/>
      <c r="AI67" s="709"/>
      <c r="AJ67" s="709"/>
      <c r="AK67" s="709"/>
      <c r="AL67" s="709"/>
      <c r="AM67" s="709"/>
      <c r="AN67" s="709"/>
      <c r="AO67" s="709"/>
      <c r="AP67" s="709"/>
      <c r="AQ67" s="709"/>
      <c r="AR67" s="709"/>
      <c r="AS67" s="709"/>
      <c r="AT67" s="709"/>
      <c r="AU67" s="709"/>
      <c r="AV67" s="709"/>
    </row>
    <row r="68" spans="1:48" s="58" customFormat="1">
      <c r="A68" s="408"/>
      <c r="B68" s="399"/>
      <c r="C68" s="399"/>
      <c r="D68" s="1"/>
      <c r="E68" s="1"/>
      <c r="F68" s="399"/>
      <c r="G68" s="399"/>
      <c r="H68" s="399"/>
      <c r="I68" s="399"/>
      <c r="J68" s="399"/>
      <c r="K68" s="399"/>
      <c r="L68" s="399"/>
      <c r="M68" s="399"/>
      <c r="N68" s="399"/>
      <c r="O68" s="399"/>
      <c r="P68" s="399"/>
      <c r="Q68" s="399"/>
      <c r="R68" s="399"/>
      <c r="S68" s="399"/>
      <c r="T68" s="399"/>
      <c r="U68" s="399"/>
      <c r="V68" s="399"/>
      <c r="W68" s="399"/>
      <c r="X68" s="399"/>
      <c r="Y68" s="399"/>
      <c r="Z68" s="399"/>
      <c r="AA68" s="399"/>
      <c r="AB68" s="399"/>
      <c r="AC68" s="399"/>
      <c r="AD68" s="399"/>
      <c r="AE68" s="399"/>
      <c r="AF68" s="399"/>
      <c r="AG68" s="399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s="244" customFormat="1" ht="15" thickBot="1">
      <c r="A69" s="712" t="s">
        <v>116</v>
      </c>
      <c r="B69" s="706">
        <f>'Dev Budget'!B75</f>
        <v>322460</v>
      </c>
      <c r="C69" s="706">
        <f>SUM(C67,C65,C16,C6)</f>
        <v>0</v>
      </c>
      <c r="D69" s="706">
        <f>SUM(D67,D65,D16,D6)</f>
        <v>0</v>
      </c>
      <c r="E69" s="706"/>
      <c r="F69" s="706">
        <f>F65+F67+F16+F6</f>
        <v>0</v>
      </c>
      <c r="G69" s="706">
        <f t="shared" ref="G69:AG69" si="7">G65+G67+G16+G6</f>
        <v>0</v>
      </c>
      <c r="H69" s="706">
        <f t="shared" si="7"/>
        <v>0</v>
      </c>
      <c r="I69" s="706">
        <f t="shared" si="7"/>
        <v>0</v>
      </c>
      <c r="J69" s="706">
        <f t="shared" si="7"/>
        <v>0</v>
      </c>
      <c r="K69" s="706">
        <f t="shared" si="7"/>
        <v>0</v>
      </c>
      <c r="L69" s="706">
        <f t="shared" si="7"/>
        <v>0</v>
      </c>
      <c r="M69" s="706">
        <f t="shared" si="7"/>
        <v>0</v>
      </c>
      <c r="N69" s="706">
        <f t="shared" si="7"/>
        <v>0</v>
      </c>
      <c r="O69" s="706">
        <f t="shared" si="7"/>
        <v>0</v>
      </c>
      <c r="P69" s="706">
        <f t="shared" si="7"/>
        <v>0</v>
      </c>
      <c r="Q69" s="706">
        <f t="shared" si="7"/>
        <v>0</v>
      </c>
      <c r="R69" s="706">
        <f t="shared" si="7"/>
        <v>0</v>
      </c>
      <c r="S69" s="706">
        <f t="shared" si="7"/>
        <v>0</v>
      </c>
      <c r="T69" s="706">
        <f t="shared" si="7"/>
        <v>0</v>
      </c>
      <c r="U69" s="706">
        <f t="shared" si="7"/>
        <v>0</v>
      </c>
      <c r="V69" s="706">
        <f t="shared" si="7"/>
        <v>0</v>
      </c>
      <c r="W69" s="706">
        <f t="shared" si="7"/>
        <v>0</v>
      </c>
      <c r="X69" s="706">
        <f t="shared" si="7"/>
        <v>0</v>
      </c>
      <c r="Y69" s="706">
        <f t="shared" si="7"/>
        <v>0</v>
      </c>
      <c r="Z69" s="706">
        <f t="shared" si="7"/>
        <v>0</v>
      </c>
      <c r="AA69" s="706">
        <f t="shared" si="7"/>
        <v>0</v>
      </c>
      <c r="AB69" s="706">
        <f t="shared" si="7"/>
        <v>0</v>
      </c>
      <c r="AC69" s="706">
        <f t="shared" si="7"/>
        <v>0</v>
      </c>
      <c r="AD69" s="706">
        <f t="shared" si="7"/>
        <v>0</v>
      </c>
      <c r="AE69" s="706">
        <f t="shared" si="7"/>
        <v>0</v>
      </c>
      <c r="AF69" s="706">
        <f t="shared" si="7"/>
        <v>0</v>
      </c>
      <c r="AG69" s="706">
        <f t="shared" si="7"/>
        <v>0</v>
      </c>
      <c r="AH69" s="709"/>
      <c r="AI69" s="709"/>
      <c r="AJ69" s="709"/>
      <c r="AK69" s="709"/>
      <c r="AL69" s="709"/>
      <c r="AM69" s="709"/>
      <c r="AN69" s="709"/>
      <c r="AO69" s="709"/>
      <c r="AP69" s="709"/>
      <c r="AQ69" s="709"/>
      <c r="AR69" s="709"/>
      <c r="AS69" s="709"/>
      <c r="AT69" s="709"/>
      <c r="AU69" s="709"/>
      <c r="AV69" s="709"/>
    </row>
    <row r="70" spans="1:48" s="58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s="58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s="58" customFormat="1" ht="14">
      <c r="A72" s="239"/>
    </row>
    <row r="73" spans="1:48" s="58" customFormat="1" ht="14">
      <c r="A73" s="238" t="s">
        <v>388</v>
      </c>
    </row>
    <row r="74" spans="1:48" s="58" customFormat="1" ht="14">
      <c r="A74" s="239" t="s">
        <v>389</v>
      </c>
      <c r="F74" s="243">
        <f>C69</f>
        <v>0</v>
      </c>
      <c r="G74" s="245">
        <f>F77</f>
        <v>0</v>
      </c>
      <c r="H74" s="245">
        <f t="shared" ref="H74:AG74" si="8">G77</f>
        <v>0</v>
      </c>
      <c r="I74" s="245">
        <f t="shared" si="8"/>
        <v>0</v>
      </c>
      <c r="J74" s="245">
        <f t="shared" si="8"/>
        <v>0</v>
      </c>
      <c r="K74" s="245">
        <f t="shared" si="8"/>
        <v>0</v>
      </c>
      <c r="L74" s="245">
        <f t="shared" si="8"/>
        <v>0</v>
      </c>
      <c r="M74" s="245">
        <f t="shared" si="8"/>
        <v>0</v>
      </c>
      <c r="N74" s="245">
        <f t="shared" si="8"/>
        <v>0</v>
      </c>
      <c r="O74" s="245">
        <f t="shared" si="8"/>
        <v>0</v>
      </c>
      <c r="P74" s="245">
        <f t="shared" si="8"/>
        <v>0</v>
      </c>
      <c r="Q74" s="245">
        <f t="shared" si="8"/>
        <v>0</v>
      </c>
      <c r="R74" s="245">
        <f t="shared" si="8"/>
        <v>0</v>
      </c>
      <c r="S74" s="245">
        <f t="shared" si="8"/>
        <v>0</v>
      </c>
      <c r="T74" s="245">
        <f t="shared" si="8"/>
        <v>0</v>
      </c>
      <c r="U74" s="245">
        <f t="shared" si="8"/>
        <v>0</v>
      </c>
      <c r="V74" s="245">
        <f t="shared" si="8"/>
        <v>0</v>
      </c>
      <c r="W74" s="245">
        <f t="shared" si="8"/>
        <v>0</v>
      </c>
      <c r="X74" s="245">
        <f t="shared" si="8"/>
        <v>0</v>
      </c>
      <c r="Y74" s="245">
        <f t="shared" si="8"/>
        <v>0</v>
      </c>
      <c r="Z74" s="245">
        <f t="shared" si="8"/>
        <v>0</v>
      </c>
      <c r="AA74" s="245">
        <f t="shared" si="8"/>
        <v>0</v>
      </c>
      <c r="AB74" s="245">
        <f t="shared" si="8"/>
        <v>0</v>
      </c>
      <c r="AC74" s="245">
        <f t="shared" si="8"/>
        <v>0</v>
      </c>
      <c r="AD74" s="245">
        <f t="shared" si="8"/>
        <v>0</v>
      </c>
      <c r="AE74" s="245">
        <f t="shared" si="8"/>
        <v>0</v>
      </c>
      <c r="AF74" s="245">
        <f t="shared" si="8"/>
        <v>0</v>
      </c>
      <c r="AG74" s="245">
        <f t="shared" si="8"/>
        <v>0</v>
      </c>
    </row>
    <row r="75" spans="1:48" s="58" customFormat="1">
      <c r="A75" s="239" t="s">
        <v>390</v>
      </c>
      <c r="C75" s="241">
        <f>'Dev Budget'!B79</f>
        <v>1000000</v>
      </c>
      <c r="D75" s="241" t="s">
        <v>391</v>
      </c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  <c r="X75" s="242"/>
      <c r="Y75" s="242"/>
      <c r="Z75" s="242"/>
      <c r="AA75" s="242"/>
      <c r="AB75" s="242"/>
      <c r="AC75" s="242"/>
      <c r="AD75" s="242"/>
      <c r="AE75" s="242"/>
      <c r="AF75" s="242"/>
      <c r="AG75" s="242"/>
    </row>
    <row r="76" spans="1:48" s="58" customFormat="1">
      <c r="A76" s="239" t="s">
        <v>392</v>
      </c>
      <c r="C76" s="247" t="e">
        <f>C75/(SUM($B$10:$B$15))</f>
        <v>#DIV/0!</v>
      </c>
      <c r="D76" s="241" t="s">
        <v>393</v>
      </c>
      <c r="F76" s="243">
        <f>'Project Sellout'!C31</f>
        <v>0</v>
      </c>
      <c r="G76" s="243">
        <f>'Project Sellout'!D31</f>
        <v>0</v>
      </c>
      <c r="H76" s="243">
        <f>'Project Sellout'!E31</f>
        <v>0</v>
      </c>
      <c r="I76" s="243">
        <f>'Project Sellout'!F31</f>
        <v>0</v>
      </c>
      <c r="J76" s="243">
        <f>'Project Sellout'!G31</f>
        <v>0</v>
      </c>
      <c r="K76" s="243">
        <f>'Project Sellout'!H31</f>
        <v>0</v>
      </c>
      <c r="L76" s="243">
        <f>'Project Sellout'!I31</f>
        <v>0</v>
      </c>
      <c r="M76" s="243">
        <f>'Project Sellout'!J31</f>
        <v>0</v>
      </c>
      <c r="N76" s="243">
        <f>'Project Sellout'!K31</f>
        <v>0</v>
      </c>
      <c r="O76" s="243">
        <f>'Project Sellout'!L31</f>
        <v>0</v>
      </c>
      <c r="P76" s="243">
        <f>'Project Sellout'!M31</f>
        <v>0</v>
      </c>
      <c r="Q76" s="243">
        <f>'Project Sellout'!N31</f>
        <v>0</v>
      </c>
      <c r="R76" s="243">
        <f>'Project Sellout'!O31</f>
        <v>0</v>
      </c>
      <c r="S76" s="243">
        <f>'Project Sellout'!P31</f>
        <v>0</v>
      </c>
      <c r="T76" s="243">
        <f>'Project Sellout'!Q31</f>
        <v>0</v>
      </c>
      <c r="U76" s="243">
        <f>'Project Sellout'!R31</f>
        <v>0</v>
      </c>
      <c r="V76" s="243">
        <f>'Project Sellout'!S31</f>
        <v>0</v>
      </c>
      <c r="W76" s="243">
        <f>'Project Sellout'!T31</f>
        <v>0</v>
      </c>
      <c r="X76" s="243">
        <f>'Project Sellout'!U31</f>
        <v>0</v>
      </c>
      <c r="Y76" s="243">
        <f>'Project Sellout'!V31</f>
        <v>0</v>
      </c>
      <c r="Z76" s="243">
        <f>'Project Sellout'!W31</f>
        <v>0</v>
      </c>
      <c r="AA76" s="243">
        <f>'Project Sellout'!X31</f>
        <v>0</v>
      </c>
      <c r="AB76" s="243">
        <f>'Project Sellout'!Y31</f>
        <v>0</v>
      </c>
      <c r="AC76" s="243">
        <f>'Project Sellout'!Z31</f>
        <v>0</v>
      </c>
      <c r="AD76" s="243">
        <f>'Project Sellout'!AA31</f>
        <v>0</v>
      </c>
      <c r="AE76" s="243">
        <f>'Project Sellout'!AB31</f>
        <v>0</v>
      </c>
      <c r="AF76" s="243">
        <f>'Project Sellout'!AC31</f>
        <v>0</v>
      </c>
      <c r="AG76" s="243">
        <f>'Project Sellout'!AD31</f>
        <v>0</v>
      </c>
    </row>
    <row r="77" spans="1:48" s="244" customFormat="1" thickBot="1">
      <c r="A77" s="713" t="s">
        <v>394</v>
      </c>
      <c r="B77" s="714"/>
      <c r="C77" s="714"/>
      <c r="D77" s="714"/>
      <c r="E77" s="714"/>
      <c r="F77" s="715">
        <f>F74+F75-F76</f>
        <v>0</v>
      </c>
      <c r="G77" s="715">
        <f t="shared" ref="G77:AG77" si="9">G74+G75-G76</f>
        <v>0</v>
      </c>
      <c r="H77" s="715">
        <f t="shared" si="9"/>
        <v>0</v>
      </c>
      <c r="I77" s="715">
        <f t="shared" si="9"/>
        <v>0</v>
      </c>
      <c r="J77" s="715">
        <f t="shared" si="9"/>
        <v>0</v>
      </c>
      <c r="K77" s="715">
        <f t="shared" si="9"/>
        <v>0</v>
      </c>
      <c r="L77" s="715">
        <f t="shared" si="9"/>
        <v>0</v>
      </c>
      <c r="M77" s="715">
        <f t="shared" si="9"/>
        <v>0</v>
      </c>
      <c r="N77" s="715">
        <f t="shared" si="9"/>
        <v>0</v>
      </c>
      <c r="O77" s="715">
        <f t="shared" si="9"/>
        <v>0</v>
      </c>
      <c r="P77" s="715">
        <f t="shared" si="9"/>
        <v>0</v>
      </c>
      <c r="Q77" s="715">
        <f t="shared" si="9"/>
        <v>0</v>
      </c>
      <c r="R77" s="715">
        <f t="shared" si="9"/>
        <v>0</v>
      </c>
      <c r="S77" s="715">
        <f t="shared" si="9"/>
        <v>0</v>
      </c>
      <c r="T77" s="715">
        <f t="shared" si="9"/>
        <v>0</v>
      </c>
      <c r="U77" s="715">
        <f t="shared" si="9"/>
        <v>0</v>
      </c>
      <c r="V77" s="715">
        <f t="shared" si="9"/>
        <v>0</v>
      </c>
      <c r="W77" s="715">
        <f t="shared" si="9"/>
        <v>0</v>
      </c>
      <c r="X77" s="715">
        <f t="shared" si="9"/>
        <v>0</v>
      </c>
      <c r="Y77" s="715">
        <f t="shared" si="9"/>
        <v>0</v>
      </c>
      <c r="Z77" s="715">
        <f t="shared" si="9"/>
        <v>0</v>
      </c>
      <c r="AA77" s="715">
        <f t="shared" si="9"/>
        <v>0</v>
      </c>
      <c r="AB77" s="715">
        <f t="shared" si="9"/>
        <v>0</v>
      </c>
      <c r="AC77" s="715">
        <f t="shared" si="9"/>
        <v>0</v>
      </c>
      <c r="AD77" s="715">
        <f t="shared" si="9"/>
        <v>0</v>
      </c>
      <c r="AE77" s="715">
        <f t="shared" si="9"/>
        <v>0</v>
      </c>
      <c r="AF77" s="715">
        <f t="shared" si="9"/>
        <v>0</v>
      </c>
      <c r="AG77" s="715">
        <f t="shared" si="9"/>
        <v>0</v>
      </c>
      <c r="AH77" s="714"/>
      <c r="AI77" s="714"/>
      <c r="AJ77" s="714"/>
      <c r="AK77" s="714"/>
      <c r="AL77" s="714"/>
      <c r="AM77" s="714"/>
      <c r="AN77" s="714"/>
      <c r="AO77" s="714"/>
      <c r="AP77" s="714"/>
      <c r="AQ77" s="714"/>
      <c r="AR77" s="714"/>
      <c r="AS77" s="714"/>
      <c r="AT77" s="714"/>
      <c r="AU77" s="714"/>
      <c r="AV77" s="714"/>
    </row>
    <row r="78" spans="1:48" s="54" customFormat="1" ht="14">
      <c r="A78" s="239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  <c r="R78" s="246"/>
      <c r="S78" s="246"/>
      <c r="T78" s="246"/>
      <c r="U78" s="246"/>
      <c r="V78" s="246"/>
      <c r="W78" s="246"/>
      <c r="X78" s="246"/>
      <c r="Y78" s="246"/>
      <c r="Z78" s="246"/>
      <c r="AA78" s="246"/>
      <c r="AB78" s="246"/>
      <c r="AC78" s="246"/>
      <c r="AD78" s="246"/>
      <c r="AE78" s="246"/>
      <c r="AF78" s="246"/>
      <c r="AG78" s="246"/>
    </row>
    <row r="79" spans="1:48" s="58" customFormat="1" ht="14">
      <c r="A79" s="238" t="s">
        <v>395</v>
      </c>
    </row>
    <row r="80" spans="1:48" s="58" customFormat="1">
      <c r="A80" s="239" t="s">
        <v>396</v>
      </c>
      <c r="C80" s="241">
        <f>'Dev Budget'!B80</f>
        <v>15000000</v>
      </c>
      <c r="D80" s="241" t="s">
        <v>391</v>
      </c>
      <c r="F80" s="243">
        <v>0</v>
      </c>
      <c r="G80" s="245" t="e">
        <f>F82</f>
        <v>#DIV/0!</v>
      </c>
      <c r="H80" s="245" t="e">
        <f t="shared" ref="H80:AG80" si="10">G82</f>
        <v>#DIV/0!</v>
      </c>
      <c r="I80" s="245" t="e">
        <f t="shared" si="10"/>
        <v>#DIV/0!</v>
      </c>
      <c r="J80" s="245" t="e">
        <f t="shared" si="10"/>
        <v>#DIV/0!</v>
      </c>
      <c r="K80" s="245" t="e">
        <f t="shared" si="10"/>
        <v>#DIV/0!</v>
      </c>
      <c r="L80" s="245" t="e">
        <f t="shared" si="10"/>
        <v>#DIV/0!</v>
      </c>
      <c r="M80" s="245" t="e">
        <f t="shared" si="10"/>
        <v>#DIV/0!</v>
      </c>
      <c r="N80" s="245" t="e">
        <f t="shared" si="10"/>
        <v>#DIV/0!</v>
      </c>
      <c r="O80" s="245" t="e">
        <f t="shared" si="10"/>
        <v>#DIV/0!</v>
      </c>
      <c r="P80" s="245" t="e">
        <f t="shared" si="10"/>
        <v>#DIV/0!</v>
      </c>
      <c r="Q80" s="245" t="e">
        <f t="shared" si="10"/>
        <v>#DIV/0!</v>
      </c>
      <c r="R80" s="245" t="e">
        <f t="shared" si="10"/>
        <v>#DIV/0!</v>
      </c>
      <c r="S80" s="245" t="e">
        <f t="shared" si="10"/>
        <v>#DIV/0!</v>
      </c>
      <c r="T80" s="245" t="e">
        <f t="shared" si="10"/>
        <v>#DIV/0!</v>
      </c>
      <c r="U80" s="245" t="e">
        <f t="shared" si="10"/>
        <v>#DIV/0!</v>
      </c>
      <c r="V80" s="245" t="e">
        <f t="shared" si="10"/>
        <v>#DIV/0!</v>
      </c>
      <c r="W80" s="245" t="e">
        <f t="shared" si="10"/>
        <v>#DIV/0!</v>
      </c>
      <c r="X80" s="245" t="e">
        <f t="shared" si="10"/>
        <v>#DIV/0!</v>
      </c>
      <c r="Y80" s="245" t="e">
        <f t="shared" si="10"/>
        <v>#DIV/0!</v>
      </c>
      <c r="Z80" s="245" t="e">
        <f t="shared" si="10"/>
        <v>#DIV/0!</v>
      </c>
      <c r="AA80" s="245" t="e">
        <f t="shared" si="10"/>
        <v>#DIV/0!</v>
      </c>
      <c r="AB80" s="245" t="e">
        <f t="shared" si="10"/>
        <v>#DIV/0!</v>
      </c>
      <c r="AC80" s="245" t="e">
        <f t="shared" si="10"/>
        <v>#DIV/0!</v>
      </c>
      <c r="AD80" s="245" t="e">
        <f t="shared" si="10"/>
        <v>#DIV/0!</v>
      </c>
      <c r="AE80" s="245" t="e">
        <f t="shared" si="10"/>
        <v>#DIV/0!</v>
      </c>
      <c r="AF80" s="245" t="e">
        <f t="shared" si="10"/>
        <v>#DIV/0!</v>
      </c>
      <c r="AG80" s="245" t="e">
        <f t="shared" si="10"/>
        <v>#DIV/0!</v>
      </c>
    </row>
    <row r="81" spans="1:33" s="58" customFormat="1">
      <c r="A81" s="239" t="s">
        <v>397</v>
      </c>
      <c r="C81" s="247" t="e">
        <f>C80/(SUM($B$10:$B$15))</f>
        <v>#DIV/0!</v>
      </c>
      <c r="D81" s="241" t="s">
        <v>393</v>
      </c>
      <c r="F81" s="248" t="e">
        <f>F16*$C$81</f>
        <v>#DIV/0!</v>
      </c>
      <c r="G81" s="248" t="e">
        <f t="shared" ref="G81:AG81" si="11">G16*$C$81</f>
        <v>#DIV/0!</v>
      </c>
      <c r="H81" s="248" t="e">
        <f t="shared" si="11"/>
        <v>#DIV/0!</v>
      </c>
      <c r="I81" s="248" t="e">
        <f t="shared" si="11"/>
        <v>#DIV/0!</v>
      </c>
      <c r="J81" s="248" t="e">
        <f t="shared" si="11"/>
        <v>#DIV/0!</v>
      </c>
      <c r="K81" s="248" t="e">
        <f t="shared" si="11"/>
        <v>#DIV/0!</v>
      </c>
      <c r="L81" s="248" t="e">
        <f t="shared" si="11"/>
        <v>#DIV/0!</v>
      </c>
      <c r="M81" s="248" t="e">
        <f t="shared" si="11"/>
        <v>#DIV/0!</v>
      </c>
      <c r="N81" s="248" t="e">
        <f t="shared" si="11"/>
        <v>#DIV/0!</v>
      </c>
      <c r="O81" s="248" t="e">
        <f t="shared" si="11"/>
        <v>#DIV/0!</v>
      </c>
      <c r="P81" s="248" t="e">
        <f t="shared" si="11"/>
        <v>#DIV/0!</v>
      </c>
      <c r="Q81" s="248" t="e">
        <f t="shared" si="11"/>
        <v>#DIV/0!</v>
      </c>
      <c r="R81" s="248" t="e">
        <f t="shared" si="11"/>
        <v>#DIV/0!</v>
      </c>
      <c r="S81" s="248" t="e">
        <f t="shared" si="11"/>
        <v>#DIV/0!</v>
      </c>
      <c r="T81" s="248" t="e">
        <f t="shared" si="11"/>
        <v>#DIV/0!</v>
      </c>
      <c r="U81" s="248" t="e">
        <f t="shared" si="11"/>
        <v>#DIV/0!</v>
      </c>
      <c r="V81" s="248" t="e">
        <f t="shared" si="11"/>
        <v>#DIV/0!</v>
      </c>
      <c r="W81" s="248" t="e">
        <f t="shared" si="11"/>
        <v>#DIV/0!</v>
      </c>
      <c r="X81" s="248" t="e">
        <f t="shared" si="11"/>
        <v>#DIV/0!</v>
      </c>
      <c r="Y81" s="248" t="e">
        <f t="shared" si="11"/>
        <v>#DIV/0!</v>
      </c>
      <c r="Z81" s="248" t="e">
        <f t="shared" si="11"/>
        <v>#DIV/0!</v>
      </c>
      <c r="AA81" s="248" t="e">
        <f t="shared" si="11"/>
        <v>#DIV/0!</v>
      </c>
      <c r="AB81" s="248" t="e">
        <f t="shared" si="11"/>
        <v>#DIV/0!</v>
      </c>
      <c r="AC81" s="248" t="e">
        <f t="shared" si="11"/>
        <v>#DIV/0!</v>
      </c>
      <c r="AD81" s="248" t="e">
        <f t="shared" si="11"/>
        <v>#DIV/0!</v>
      </c>
      <c r="AE81" s="248" t="e">
        <f t="shared" si="11"/>
        <v>#DIV/0!</v>
      </c>
      <c r="AF81" s="248" t="e">
        <f t="shared" si="11"/>
        <v>#DIV/0!</v>
      </c>
      <c r="AG81" s="248" t="e">
        <f t="shared" si="11"/>
        <v>#DIV/0!</v>
      </c>
    </row>
    <row r="82" spans="1:33" s="244" customFormat="1" thickBot="1">
      <c r="A82" s="713" t="s">
        <v>398</v>
      </c>
      <c r="B82" s="714"/>
      <c r="C82" s="714"/>
      <c r="D82" s="714"/>
      <c r="E82" s="714"/>
      <c r="F82" s="715" t="e">
        <f>F80+F81</f>
        <v>#DIV/0!</v>
      </c>
      <c r="G82" s="715" t="e">
        <f t="shared" ref="G82:AG82" si="12">G80+G81</f>
        <v>#DIV/0!</v>
      </c>
      <c r="H82" s="715" t="e">
        <f t="shared" si="12"/>
        <v>#DIV/0!</v>
      </c>
      <c r="I82" s="715" t="e">
        <f t="shared" si="12"/>
        <v>#DIV/0!</v>
      </c>
      <c r="J82" s="715" t="e">
        <f t="shared" si="12"/>
        <v>#DIV/0!</v>
      </c>
      <c r="K82" s="715" t="e">
        <f t="shared" si="12"/>
        <v>#DIV/0!</v>
      </c>
      <c r="L82" s="715" t="e">
        <f t="shared" si="12"/>
        <v>#DIV/0!</v>
      </c>
      <c r="M82" s="715" t="e">
        <f t="shared" si="12"/>
        <v>#DIV/0!</v>
      </c>
      <c r="N82" s="715" t="e">
        <f t="shared" si="12"/>
        <v>#DIV/0!</v>
      </c>
      <c r="O82" s="715" t="e">
        <f t="shared" si="12"/>
        <v>#DIV/0!</v>
      </c>
      <c r="P82" s="715" t="e">
        <f t="shared" si="12"/>
        <v>#DIV/0!</v>
      </c>
      <c r="Q82" s="715" t="e">
        <f t="shared" si="12"/>
        <v>#DIV/0!</v>
      </c>
      <c r="R82" s="715" t="e">
        <f t="shared" si="12"/>
        <v>#DIV/0!</v>
      </c>
      <c r="S82" s="715" t="e">
        <f t="shared" si="12"/>
        <v>#DIV/0!</v>
      </c>
      <c r="T82" s="715" t="e">
        <f t="shared" si="12"/>
        <v>#DIV/0!</v>
      </c>
      <c r="U82" s="715" t="e">
        <f t="shared" si="12"/>
        <v>#DIV/0!</v>
      </c>
      <c r="V82" s="715" t="e">
        <f t="shared" si="12"/>
        <v>#DIV/0!</v>
      </c>
      <c r="W82" s="715" t="e">
        <f t="shared" si="12"/>
        <v>#DIV/0!</v>
      </c>
      <c r="X82" s="715" t="e">
        <f t="shared" si="12"/>
        <v>#DIV/0!</v>
      </c>
      <c r="Y82" s="715" t="e">
        <f t="shared" si="12"/>
        <v>#DIV/0!</v>
      </c>
      <c r="Z82" s="715" t="e">
        <f t="shared" si="12"/>
        <v>#DIV/0!</v>
      </c>
      <c r="AA82" s="715" t="e">
        <f t="shared" si="12"/>
        <v>#DIV/0!</v>
      </c>
      <c r="AB82" s="715" t="e">
        <f t="shared" si="12"/>
        <v>#DIV/0!</v>
      </c>
      <c r="AC82" s="715" t="e">
        <f t="shared" si="12"/>
        <v>#DIV/0!</v>
      </c>
      <c r="AD82" s="715" t="e">
        <f t="shared" si="12"/>
        <v>#DIV/0!</v>
      </c>
      <c r="AE82" s="715" t="e">
        <f t="shared" si="12"/>
        <v>#DIV/0!</v>
      </c>
      <c r="AF82" s="715" t="e">
        <f t="shared" si="12"/>
        <v>#DIV/0!</v>
      </c>
      <c r="AG82" s="715" t="e">
        <f t="shared" si="12"/>
        <v>#DIV/0!</v>
      </c>
    </row>
    <row r="83" spans="1:33" s="54" customFormat="1" ht="14">
      <c r="A83" s="239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6"/>
      <c r="X83" s="246"/>
      <c r="Y83" s="246"/>
      <c r="Z83" s="246"/>
      <c r="AA83" s="246"/>
      <c r="AB83" s="246"/>
      <c r="AC83" s="246"/>
      <c r="AD83" s="246"/>
      <c r="AE83" s="246"/>
      <c r="AF83" s="246"/>
      <c r="AG83" s="246"/>
    </row>
    <row r="84" spans="1:33" s="58" customFormat="1" ht="14">
      <c r="A84" s="238" t="s">
        <v>399</v>
      </c>
    </row>
    <row r="85" spans="1:33" s="58" customFormat="1">
      <c r="A85" s="239" t="s">
        <v>400</v>
      </c>
      <c r="C85" s="241">
        <f>'Dev Budget'!B81</f>
        <v>0</v>
      </c>
      <c r="D85" s="241" t="s">
        <v>391</v>
      </c>
      <c r="F85" s="243">
        <v>0</v>
      </c>
      <c r="G85" s="245" t="e">
        <f>F87</f>
        <v>#DIV/0!</v>
      </c>
      <c r="H85" s="245" t="e">
        <f t="shared" ref="H85:AG85" si="13">G87</f>
        <v>#DIV/0!</v>
      </c>
      <c r="I85" s="245" t="e">
        <f t="shared" si="13"/>
        <v>#DIV/0!</v>
      </c>
      <c r="J85" s="245" t="e">
        <f t="shared" si="13"/>
        <v>#DIV/0!</v>
      </c>
      <c r="K85" s="245" t="e">
        <f t="shared" si="13"/>
        <v>#DIV/0!</v>
      </c>
      <c r="L85" s="245" t="e">
        <f t="shared" si="13"/>
        <v>#DIV/0!</v>
      </c>
      <c r="M85" s="245" t="e">
        <f t="shared" si="13"/>
        <v>#DIV/0!</v>
      </c>
      <c r="N85" s="245" t="e">
        <f t="shared" si="13"/>
        <v>#DIV/0!</v>
      </c>
      <c r="O85" s="245" t="e">
        <f t="shared" si="13"/>
        <v>#DIV/0!</v>
      </c>
      <c r="P85" s="245" t="e">
        <f t="shared" si="13"/>
        <v>#DIV/0!</v>
      </c>
      <c r="Q85" s="245" t="e">
        <f t="shared" si="13"/>
        <v>#DIV/0!</v>
      </c>
      <c r="R85" s="245" t="e">
        <f t="shared" si="13"/>
        <v>#DIV/0!</v>
      </c>
      <c r="S85" s="245" t="e">
        <f t="shared" si="13"/>
        <v>#DIV/0!</v>
      </c>
      <c r="T85" s="245" t="e">
        <f t="shared" si="13"/>
        <v>#DIV/0!</v>
      </c>
      <c r="U85" s="245" t="e">
        <f t="shared" si="13"/>
        <v>#DIV/0!</v>
      </c>
      <c r="V85" s="245" t="e">
        <f t="shared" si="13"/>
        <v>#DIV/0!</v>
      </c>
      <c r="W85" s="245" t="e">
        <f t="shared" si="13"/>
        <v>#DIV/0!</v>
      </c>
      <c r="X85" s="245" t="e">
        <f t="shared" si="13"/>
        <v>#DIV/0!</v>
      </c>
      <c r="Y85" s="245" t="e">
        <f t="shared" si="13"/>
        <v>#DIV/0!</v>
      </c>
      <c r="Z85" s="245" t="e">
        <f t="shared" si="13"/>
        <v>#DIV/0!</v>
      </c>
      <c r="AA85" s="245" t="e">
        <f t="shared" si="13"/>
        <v>#DIV/0!</v>
      </c>
      <c r="AB85" s="245" t="e">
        <f t="shared" si="13"/>
        <v>#DIV/0!</v>
      </c>
      <c r="AC85" s="245" t="e">
        <f t="shared" si="13"/>
        <v>#DIV/0!</v>
      </c>
      <c r="AD85" s="245" t="e">
        <f t="shared" si="13"/>
        <v>#DIV/0!</v>
      </c>
      <c r="AE85" s="245" t="e">
        <f t="shared" si="13"/>
        <v>#DIV/0!</v>
      </c>
      <c r="AF85" s="245" t="e">
        <f t="shared" si="13"/>
        <v>#DIV/0!</v>
      </c>
      <c r="AG85" s="245" t="e">
        <f t="shared" si="13"/>
        <v>#DIV/0!</v>
      </c>
    </row>
    <row r="86" spans="1:33" s="58" customFormat="1">
      <c r="A86" s="239" t="s">
        <v>401</v>
      </c>
      <c r="C86" s="247" t="e">
        <f>C85/(SUM($B$10:$B$15))</f>
        <v>#DIV/0!</v>
      </c>
      <c r="D86" s="241" t="s">
        <v>393</v>
      </c>
      <c r="F86" s="248" t="e">
        <f>F16*$C$86</f>
        <v>#DIV/0!</v>
      </c>
      <c r="G86" s="248" t="e">
        <f t="shared" ref="G86:AG86" si="14">G16*$C$86</f>
        <v>#DIV/0!</v>
      </c>
      <c r="H86" s="248" t="e">
        <f t="shared" si="14"/>
        <v>#DIV/0!</v>
      </c>
      <c r="I86" s="248" t="e">
        <f t="shared" si="14"/>
        <v>#DIV/0!</v>
      </c>
      <c r="J86" s="248" t="e">
        <f t="shared" si="14"/>
        <v>#DIV/0!</v>
      </c>
      <c r="K86" s="248" t="e">
        <f t="shared" si="14"/>
        <v>#DIV/0!</v>
      </c>
      <c r="L86" s="248" t="e">
        <f t="shared" si="14"/>
        <v>#DIV/0!</v>
      </c>
      <c r="M86" s="248" t="e">
        <f t="shared" si="14"/>
        <v>#DIV/0!</v>
      </c>
      <c r="N86" s="248" t="e">
        <f t="shared" si="14"/>
        <v>#DIV/0!</v>
      </c>
      <c r="O86" s="248" t="e">
        <f t="shared" si="14"/>
        <v>#DIV/0!</v>
      </c>
      <c r="P86" s="248" t="e">
        <f t="shared" si="14"/>
        <v>#DIV/0!</v>
      </c>
      <c r="Q86" s="248" t="e">
        <f t="shared" si="14"/>
        <v>#DIV/0!</v>
      </c>
      <c r="R86" s="248" t="e">
        <f t="shared" si="14"/>
        <v>#DIV/0!</v>
      </c>
      <c r="S86" s="248" t="e">
        <f t="shared" si="14"/>
        <v>#DIV/0!</v>
      </c>
      <c r="T86" s="248" t="e">
        <f t="shared" si="14"/>
        <v>#DIV/0!</v>
      </c>
      <c r="U86" s="248" t="e">
        <f t="shared" si="14"/>
        <v>#DIV/0!</v>
      </c>
      <c r="V86" s="248" t="e">
        <f t="shared" si="14"/>
        <v>#DIV/0!</v>
      </c>
      <c r="W86" s="248" t="e">
        <f t="shared" si="14"/>
        <v>#DIV/0!</v>
      </c>
      <c r="X86" s="248" t="e">
        <f t="shared" si="14"/>
        <v>#DIV/0!</v>
      </c>
      <c r="Y86" s="248" t="e">
        <f t="shared" si="14"/>
        <v>#DIV/0!</v>
      </c>
      <c r="Z86" s="248" t="e">
        <f t="shared" si="14"/>
        <v>#DIV/0!</v>
      </c>
      <c r="AA86" s="248" t="e">
        <f t="shared" si="14"/>
        <v>#DIV/0!</v>
      </c>
      <c r="AB86" s="248" t="e">
        <f t="shared" si="14"/>
        <v>#DIV/0!</v>
      </c>
      <c r="AC86" s="248" t="e">
        <f t="shared" si="14"/>
        <v>#DIV/0!</v>
      </c>
      <c r="AD86" s="248" t="e">
        <f t="shared" si="14"/>
        <v>#DIV/0!</v>
      </c>
      <c r="AE86" s="248" t="e">
        <f t="shared" si="14"/>
        <v>#DIV/0!</v>
      </c>
      <c r="AF86" s="248" t="e">
        <f t="shared" si="14"/>
        <v>#DIV/0!</v>
      </c>
      <c r="AG86" s="248" t="e">
        <f t="shared" si="14"/>
        <v>#DIV/0!</v>
      </c>
    </row>
    <row r="87" spans="1:33" s="244" customFormat="1" thickBot="1">
      <c r="A87" s="713" t="s">
        <v>402</v>
      </c>
      <c r="B87" s="714"/>
      <c r="C87" s="714"/>
      <c r="D87" s="714"/>
      <c r="E87" s="714"/>
      <c r="F87" s="715" t="e">
        <f>F85+F86</f>
        <v>#DIV/0!</v>
      </c>
      <c r="G87" s="715" t="e">
        <f t="shared" ref="G87:AG87" si="15">G85+G86</f>
        <v>#DIV/0!</v>
      </c>
      <c r="H87" s="715" t="e">
        <f t="shared" si="15"/>
        <v>#DIV/0!</v>
      </c>
      <c r="I87" s="715" t="e">
        <f t="shared" si="15"/>
        <v>#DIV/0!</v>
      </c>
      <c r="J87" s="715" t="e">
        <f t="shared" si="15"/>
        <v>#DIV/0!</v>
      </c>
      <c r="K87" s="715" t="e">
        <f t="shared" si="15"/>
        <v>#DIV/0!</v>
      </c>
      <c r="L87" s="715" t="e">
        <f t="shared" si="15"/>
        <v>#DIV/0!</v>
      </c>
      <c r="M87" s="715" t="e">
        <f t="shared" si="15"/>
        <v>#DIV/0!</v>
      </c>
      <c r="N87" s="715" t="e">
        <f t="shared" si="15"/>
        <v>#DIV/0!</v>
      </c>
      <c r="O87" s="715" t="e">
        <f t="shared" si="15"/>
        <v>#DIV/0!</v>
      </c>
      <c r="P87" s="715" t="e">
        <f t="shared" si="15"/>
        <v>#DIV/0!</v>
      </c>
      <c r="Q87" s="715" t="e">
        <f t="shared" si="15"/>
        <v>#DIV/0!</v>
      </c>
      <c r="R87" s="715" t="e">
        <f t="shared" si="15"/>
        <v>#DIV/0!</v>
      </c>
      <c r="S87" s="715" t="e">
        <f t="shared" si="15"/>
        <v>#DIV/0!</v>
      </c>
      <c r="T87" s="715" t="e">
        <f t="shared" si="15"/>
        <v>#DIV/0!</v>
      </c>
      <c r="U87" s="715" t="e">
        <f t="shared" si="15"/>
        <v>#DIV/0!</v>
      </c>
      <c r="V87" s="715" t="e">
        <f t="shared" si="15"/>
        <v>#DIV/0!</v>
      </c>
      <c r="W87" s="715" t="e">
        <f t="shared" si="15"/>
        <v>#DIV/0!</v>
      </c>
      <c r="X87" s="715" t="e">
        <f t="shared" si="15"/>
        <v>#DIV/0!</v>
      </c>
      <c r="Y87" s="715" t="e">
        <f t="shared" si="15"/>
        <v>#DIV/0!</v>
      </c>
      <c r="Z87" s="715" t="e">
        <f t="shared" si="15"/>
        <v>#DIV/0!</v>
      </c>
      <c r="AA87" s="715" t="e">
        <f t="shared" si="15"/>
        <v>#DIV/0!</v>
      </c>
      <c r="AB87" s="715" t="e">
        <f t="shared" si="15"/>
        <v>#DIV/0!</v>
      </c>
      <c r="AC87" s="715" t="e">
        <f t="shared" si="15"/>
        <v>#DIV/0!</v>
      </c>
      <c r="AD87" s="715" t="e">
        <f t="shared" si="15"/>
        <v>#DIV/0!</v>
      </c>
      <c r="AE87" s="715" t="e">
        <f t="shared" si="15"/>
        <v>#DIV/0!</v>
      </c>
      <c r="AF87" s="715" t="e">
        <f t="shared" si="15"/>
        <v>#DIV/0!</v>
      </c>
      <c r="AG87" s="715" t="e">
        <f t="shared" si="15"/>
        <v>#DIV/0!</v>
      </c>
    </row>
    <row r="88" spans="1:33" s="54" customFormat="1" ht="14">
      <c r="A88" s="239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  <c r="R88" s="246"/>
      <c r="S88" s="246"/>
      <c r="T88" s="246"/>
      <c r="U88" s="246"/>
      <c r="V88" s="246"/>
      <c r="W88" s="246"/>
      <c r="X88" s="246"/>
      <c r="Y88" s="246"/>
      <c r="Z88" s="246"/>
      <c r="AA88" s="246"/>
      <c r="AB88" s="246"/>
      <c r="AC88" s="246"/>
      <c r="AD88" s="246"/>
      <c r="AE88" s="246"/>
      <c r="AF88" s="246"/>
      <c r="AG88" s="246"/>
    </row>
    <row r="89" spans="1:33" s="58" customFormat="1" ht="14">
      <c r="A89" s="238" t="s">
        <v>403</v>
      </c>
    </row>
    <row r="90" spans="1:33" s="58" customFormat="1" ht="14">
      <c r="A90" s="239" t="s">
        <v>404</v>
      </c>
      <c r="F90" s="243">
        <f>D69</f>
        <v>0</v>
      </c>
      <c r="G90" s="245">
        <f>F93</f>
        <v>0</v>
      </c>
      <c r="H90" s="245">
        <f t="shared" ref="H90" si="16">G93</f>
        <v>0</v>
      </c>
      <c r="I90" s="245">
        <f t="shared" ref="I90" si="17">H93</f>
        <v>0</v>
      </c>
      <c r="J90" s="245">
        <f t="shared" ref="J90" si="18">I93</f>
        <v>0</v>
      </c>
      <c r="K90" s="245">
        <f t="shared" ref="K90" si="19">J93</f>
        <v>0</v>
      </c>
      <c r="L90" s="245">
        <f t="shared" ref="L90" si="20">K93</f>
        <v>0</v>
      </c>
      <c r="M90" s="245">
        <f t="shared" ref="M90" si="21">L93</f>
        <v>0</v>
      </c>
      <c r="N90" s="245">
        <f t="shared" ref="N90" si="22">M93</f>
        <v>0</v>
      </c>
      <c r="O90" s="245">
        <f t="shared" ref="O90" si="23">N93</f>
        <v>0</v>
      </c>
      <c r="P90" s="245">
        <f t="shared" ref="P90" si="24">O93</f>
        <v>0</v>
      </c>
      <c r="Q90" s="245">
        <f t="shared" ref="Q90" si="25">P93</f>
        <v>0</v>
      </c>
      <c r="R90" s="245">
        <f t="shared" ref="R90" si="26">Q93</f>
        <v>0</v>
      </c>
      <c r="S90" s="245">
        <f t="shared" ref="S90" si="27">R93</f>
        <v>0</v>
      </c>
      <c r="T90" s="245">
        <f t="shared" ref="T90" si="28">S93</f>
        <v>0</v>
      </c>
      <c r="U90" s="245">
        <f t="shared" ref="U90" si="29">T93</f>
        <v>0</v>
      </c>
      <c r="V90" s="245">
        <f t="shared" ref="V90" si="30">U93</f>
        <v>0</v>
      </c>
      <c r="W90" s="245">
        <f t="shared" ref="W90" si="31">V93</f>
        <v>0</v>
      </c>
      <c r="X90" s="245">
        <f t="shared" ref="X90" si="32">W93</f>
        <v>0</v>
      </c>
      <c r="Y90" s="245">
        <f t="shared" ref="Y90" si="33">X93</f>
        <v>0</v>
      </c>
      <c r="Z90" s="245">
        <f t="shared" ref="Z90" si="34">Y93</f>
        <v>0</v>
      </c>
      <c r="AA90" s="245">
        <f t="shared" ref="AA90" si="35">Z93</f>
        <v>0</v>
      </c>
      <c r="AB90" s="245">
        <f t="shared" ref="AB90" si="36">AA93</f>
        <v>0</v>
      </c>
      <c r="AC90" s="245">
        <f t="shared" ref="AC90" si="37">AB93</f>
        <v>0</v>
      </c>
      <c r="AD90" s="245">
        <f t="shared" ref="AD90" si="38">AC93</f>
        <v>0</v>
      </c>
      <c r="AE90" s="245">
        <f t="shared" ref="AE90" si="39">AD93</f>
        <v>0</v>
      </c>
      <c r="AF90" s="245">
        <f t="shared" ref="AF90" si="40">AE93</f>
        <v>0</v>
      </c>
      <c r="AG90" s="245">
        <f t="shared" ref="AG90" si="41">AF93</f>
        <v>0</v>
      </c>
    </row>
    <row r="91" spans="1:33" s="58" customFormat="1" ht="14">
      <c r="A91" s="239" t="s">
        <v>405</v>
      </c>
      <c r="F91" s="242"/>
      <c r="G91" s="242"/>
      <c r="H91" s="242"/>
      <c r="I91" s="242"/>
      <c r="J91" s="242"/>
      <c r="K91" s="242"/>
      <c r="L91" s="242"/>
      <c r="M91" s="242"/>
      <c r="N91" s="242"/>
      <c r="O91" s="242"/>
      <c r="P91" s="242"/>
      <c r="Q91" s="242"/>
      <c r="R91" s="242"/>
      <c r="S91" s="242"/>
      <c r="T91" s="242"/>
      <c r="U91" s="242"/>
      <c r="V91" s="242"/>
      <c r="W91" s="242"/>
      <c r="X91" s="242"/>
      <c r="Y91" s="242"/>
      <c r="Z91" s="242"/>
      <c r="AA91" s="242"/>
      <c r="AB91" s="242"/>
      <c r="AC91" s="242"/>
      <c r="AD91" s="242"/>
      <c r="AE91" s="242"/>
      <c r="AF91" s="242"/>
      <c r="AG91" s="242"/>
    </row>
    <row r="92" spans="1:33" s="58" customFormat="1" ht="14">
      <c r="A92" s="239" t="s">
        <v>406</v>
      </c>
      <c r="F92" s="243">
        <f>'Project Sellout'!C34</f>
        <v>0</v>
      </c>
      <c r="G92" s="243">
        <f>'Project Sellout'!D34</f>
        <v>0</v>
      </c>
      <c r="H92" s="243">
        <f>'Project Sellout'!E34</f>
        <v>0</v>
      </c>
      <c r="I92" s="243">
        <f>'Project Sellout'!F34</f>
        <v>0</v>
      </c>
      <c r="J92" s="243">
        <f>'Project Sellout'!G34</f>
        <v>0</v>
      </c>
      <c r="K92" s="243">
        <f>'Project Sellout'!H34</f>
        <v>0</v>
      </c>
      <c r="L92" s="243">
        <f>'Project Sellout'!I34</f>
        <v>0</v>
      </c>
      <c r="M92" s="243">
        <f>'Project Sellout'!J34</f>
        <v>0</v>
      </c>
      <c r="N92" s="243">
        <f>'Project Sellout'!K34</f>
        <v>0</v>
      </c>
      <c r="O92" s="243">
        <f>'Project Sellout'!L34</f>
        <v>0</v>
      </c>
      <c r="P92" s="243">
        <f>'Project Sellout'!M34</f>
        <v>0</v>
      </c>
      <c r="Q92" s="243">
        <f>'Project Sellout'!N34</f>
        <v>0</v>
      </c>
      <c r="R92" s="243">
        <f>'Project Sellout'!O34</f>
        <v>0</v>
      </c>
      <c r="S92" s="243">
        <f>'Project Sellout'!P34</f>
        <v>0</v>
      </c>
      <c r="T92" s="243">
        <f>'Project Sellout'!Q34</f>
        <v>0</v>
      </c>
      <c r="U92" s="243">
        <f>'Project Sellout'!R34</f>
        <v>0</v>
      </c>
      <c r="V92" s="243">
        <f>'Project Sellout'!S34</f>
        <v>0</v>
      </c>
      <c r="W92" s="243">
        <f>'Project Sellout'!T34</f>
        <v>0</v>
      </c>
      <c r="X92" s="243">
        <f>'Project Sellout'!U34</f>
        <v>0</v>
      </c>
      <c r="Y92" s="243">
        <f>'Project Sellout'!V34</f>
        <v>0</v>
      </c>
      <c r="Z92" s="243">
        <f>'Project Sellout'!W34</f>
        <v>0</v>
      </c>
      <c r="AA92" s="243">
        <f>'Project Sellout'!X34</f>
        <v>0</v>
      </c>
      <c r="AB92" s="243">
        <f>'Project Sellout'!Y34</f>
        <v>0</v>
      </c>
      <c r="AC92" s="243">
        <f>'Project Sellout'!Z34</f>
        <v>0</v>
      </c>
      <c r="AD92" s="243">
        <f>'Project Sellout'!AA34</f>
        <v>0</v>
      </c>
      <c r="AE92" s="243">
        <f>'Project Sellout'!AB34</f>
        <v>0</v>
      </c>
      <c r="AF92" s="243">
        <f>'Project Sellout'!AC34</f>
        <v>0</v>
      </c>
      <c r="AG92" s="243">
        <f>'Project Sellout'!AD34</f>
        <v>0</v>
      </c>
    </row>
    <row r="93" spans="1:33" s="244" customFormat="1" thickBot="1">
      <c r="A93" s="713" t="s">
        <v>407</v>
      </c>
      <c r="B93" s="714"/>
      <c r="C93" s="714"/>
      <c r="D93" s="716"/>
      <c r="E93" s="714"/>
      <c r="F93" s="715">
        <f>F90+F91-F92</f>
        <v>0</v>
      </c>
      <c r="G93" s="715">
        <f t="shared" ref="G93:AG93" si="42">G90+G91-G92</f>
        <v>0</v>
      </c>
      <c r="H93" s="715">
        <f t="shared" si="42"/>
        <v>0</v>
      </c>
      <c r="I93" s="715">
        <f t="shared" si="42"/>
        <v>0</v>
      </c>
      <c r="J93" s="715">
        <f t="shared" si="42"/>
        <v>0</v>
      </c>
      <c r="K93" s="715">
        <f t="shared" si="42"/>
        <v>0</v>
      </c>
      <c r="L93" s="715">
        <f t="shared" si="42"/>
        <v>0</v>
      </c>
      <c r="M93" s="715">
        <f t="shared" si="42"/>
        <v>0</v>
      </c>
      <c r="N93" s="715">
        <f t="shared" si="42"/>
        <v>0</v>
      </c>
      <c r="O93" s="715">
        <f t="shared" si="42"/>
        <v>0</v>
      </c>
      <c r="P93" s="715">
        <f t="shared" si="42"/>
        <v>0</v>
      </c>
      <c r="Q93" s="715">
        <f t="shared" si="42"/>
        <v>0</v>
      </c>
      <c r="R93" s="715">
        <f t="shared" si="42"/>
        <v>0</v>
      </c>
      <c r="S93" s="715">
        <f t="shared" si="42"/>
        <v>0</v>
      </c>
      <c r="T93" s="715">
        <f t="shared" si="42"/>
        <v>0</v>
      </c>
      <c r="U93" s="715">
        <f t="shared" si="42"/>
        <v>0</v>
      </c>
      <c r="V93" s="715">
        <f t="shared" si="42"/>
        <v>0</v>
      </c>
      <c r="W93" s="715">
        <f t="shared" si="42"/>
        <v>0</v>
      </c>
      <c r="X93" s="715">
        <f t="shared" si="42"/>
        <v>0</v>
      </c>
      <c r="Y93" s="715">
        <f t="shared" si="42"/>
        <v>0</v>
      </c>
      <c r="Z93" s="715">
        <f t="shared" si="42"/>
        <v>0</v>
      </c>
      <c r="AA93" s="715">
        <f t="shared" si="42"/>
        <v>0</v>
      </c>
      <c r="AB93" s="715">
        <f t="shared" si="42"/>
        <v>0</v>
      </c>
      <c r="AC93" s="715">
        <f t="shared" si="42"/>
        <v>0</v>
      </c>
      <c r="AD93" s="715">
        <f t="shared" si="42"/>
        <v>0</v>
      </c>
      <c r="AE93" s="715">
        <f t="shared" si="42"/>
        <v>0</v>
      </c>
      <c r="AF93" s="715">
        <f t="shared" si="42"/>
        <v>0</v>
      </c>
      <c r="AG93" s="715">
        <f t="shared" si="42"/>
        <v>0</v>
      </c>
    </row>
    <row r="95" spans="1:33">
      <c r="A95" s="238" t="s">
        <v>408</v>
      </c>
    </row>
    <row r="96" spans="1:33" s="240" customFormat="1" ht="15" thickBot="1">
      <c r="A96" s="713" t="s">
        <v>409</v>
      </c>
      <c r="B96" s="717"/>
      <c r="C96" s="717"/>
      <c r="D96" s="717"/>
      <c r="E96" s="717"/>
      <c r="F96" s="716">
        <f>'Project Sellout'!C37</f>
        <v>0</v>
      </c>
      <c r="G96" s="716">
        <f>'Project Sellout'!D37</f>
        <v>0</v>
      </c>
      <c r="H96" s="716">
        <f>'Project Sellout'!E37</f>
        <v>0</v>
      </c>
      <c r="I96" s="716">
        <f>'Project Sellout'!F37</f>
        <v>0</v>
      </c>
      <c r="J96" s="716">
        <f>'Project Sellout'!G37</f>
        <v>0</v>
      </c>
      <c r="K96" s="716">
        <f>'Project Sellout'!H37</f>
        <v>0</v>
      </c>
      <c r="L96" s="716">
        <f>'Project Sellout'!I37</f>
        <v>0</v>
      </c>
      <c r="M96" s="716">
        <f>'Project Sellout'!J37</f>
        <v>0</v>
      </c>
      <c r="N96" s="716">
        <f>'Project Sellout'!K37</f>
        <v>0</v>
      </c>
      <c r="O96" s="716">
        <f>'Project Sellout'!L37</f>
        <v>0</v>
      </c>
      <c r="P96" s="716">
        <f>'Project Sellout'!M37</f>
        <v>0</v>
      </c>
      <c r="Q96" s="716">
        <f>'Project Sellout'!N37</f>
        <v>0</v>
      </c>
      <c r="R96" s="716">
        <f>'Project Sellout'!O37</f>
        <v>0</v>
      </c>
      <c r="S96" s="716">
        <f>'Project Sellout'!P37</f>
        <v>0</v>
      </c>
      <c r="T96" s="716">
        <f>'Project Sellout'!Q37</f>
        <v>0</v>
      </c>
      <c r="U96" s="716">
        <f>'Project Sellout'!R37</f>
        <v>0</v>
      </c>
      <c r="V96" s="716">
        <f>'Project Sellout'!S37</f>
        <v>0</v>
      </c>
      <c r="W96" s="716">
        <f>'Project Sellout'!T37</f>
        <v>0</v>
      </c>
      <c r="X96" s="716">
        <f>'Project Sellout'!U37</f>
        <v>0</v>
      </c>
      <c r="Y96" s="716">
        <f>'Project Sellout'!V37</f>
        <v>0</v>
      </c>
      <c r="Z96" s="716">
        <f>'Project Sellout'!W37</f>
        <v>0</v>
      </c>
      <c r="AA96" s="716">
        <f>'Project Sellout'!X37</f>
        <v>0</v>
      </c>
      <c r="AB96" s="716">
        <f>'Project Sellout'!Y37</f>
        <v>0</v>
      </c>
      <c r="AC96" s="716">
        <f>'Project Sellout'!Z37</f>
        <v>0</v>
      </c>
      <c r="AD96" s="716">
        <f>'Project Sellout'!AA37</f>
        <v>0</v>
      </c>
      <c r="AE96" s="716">
        <f>'Project Sellout'!AB37</f>
        <v>0</v>
      </c>
      <c r="AF96" s="716">
        <f>'Project Sellout'!AC37</f>
        <v>0</v>
      </c>
      <c r="AG96" s="716">
        <f>'Project Sellout'!AD37</f>
        <v>0</v>
      </c>
    </row>
  </sheetData>
  <mergeCells count="1">
    <mergeCell ref="C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77"/>
  <sheetViews>
    <sheetView zoomScaleNormal="100" zoomScaleSheetLayoutView="85" workbookViewId="0">
      <selection activeCell="B20" sqref="B20"/>
    </sheetView>
  </sheetViews>
  <sheetFormatPr defaultColWidth="9.08984375" defaultRowHeight="14"/>
  <cols>
    <col min="1" max="1" width="46" style="79" customWidth="1"/>
    <col min="2" max="2" width="18.36328125" style="104" customWidth="1"/>
    <col min="3" max="3" width="13.453125" style="105" customWidth="1"/>
    <col min="4" max="4" width="13.90625" style="104" customWidth="1"/>
    <col min="5" max="5" width="12.6328125" style="79" customWidth="1"/>
    <col min="6" max="6" width="15.453125" style="79" customWidth="1"/>
    <col min="7" max="7" width="13.36328125" style="79" customWidth="1"/>
    <col min="8" max="8" width="15.453125" style="79" customWidth="1"/>
    <col min="9" max="10" width="10.6328125" style="79" customWidth="1"/>
    <col min="11" max="11" width="8.453125" style="79" customWidth="1"/>
    <col min="12" max="15" width="13.36328125" style="79" customWidth="1"/>
    <col min="16" max="16" width="11.36328125" style="79" bestFit="1" customWidth="1"/>
    <col min="17" max="16384" width="9.08984375" style="79"/>
  </cols>
  <sheetData>
    <row r="1" spans="1:14" ht="14.5">
      <c r="A1" s="250" t="str">
        <f>'Project Overview'!A1</f>
        <v>Project Name</v>
      </c>
      <c r="B1" s="251">
        <f>'Project Overview'!B1</f>
        <v>0</v>
      </c>
      <c r="C1" s="494"/>
      <c r="D1" s="325"/>
      <c r="E1" s="495"/>
      <c r="F1" s="87"/>
      <c r="G1" s="88"/>
      <c r="H1" s="89"/>
      <c r="L1" s="89"/>
      <c r="M1" s="89"/>
      <c r="N1" s="89"/>
    </row>
    <row r="2" spans="1:14" ht="14.5">
      <c r="A2" s="250" t="str">
        <f>'Project Overview'!A2</f>
        <v>Developer</v>
      </c>
      <c r="B2" s="254">
        <f>'Project Overview'!B2</f>
        <v>0</v>
      </c>
      <c r="C2" s="496"/>
      <c r="D2" s="496"/>
      <c r="E2" s="495"/>
      <c r="F2" s="87"/>
      <c r="G2" s="88"/>
      <c r="H2" s="89"/>
      <c r="L2" s="89"/>
      <c r="M2" s="89"/>
      <c r="N2" s="89"/>
    </row>
    <row r="3" spans="1:14" ht="15.5">
      <c r="A3" s="250" t="str">
        <f>'Project Overview'!A3</f>
        <v>Address</v>
      </c>
      <c r="B3" s="251">
        <f>'Project Overview'!B3</f>
        <v>0</v>
      </c>
      <c r="C3" s="255"/>
      <c r="D3" s="255" t="str">
        <f>'Project Overview'!$D$3</f>
        <v>Units:</v>
      </c>
      <c r="E3" s="256">
        <f>'Project Overview'!$E$3</f>
        <v>50</v>
      </c>
      <c r="F3" s="87"/>
      <c r="G3" s="88"/>
      <c r="H3" s="89"/>
      <c r="L3" s="89"/>
      <c r="M3" s="89"/>
      <c r="N3" s="89"/>
    </row>
    <row r="4" spans="1:14" ht="14.5">
      <c r="A4" s="250" t="str">
        <f>'Project Overview'!A4</f>
        <v>BBL</v>
      </c>
      <c r="B4" s="251">
        <f>'Project Overview'!B4</f>
        <v>0</v>
      </c>
      <c r="C4" s="494"/>
      <c r="D4" s="325"/>
      <c r="E4" s="495"/>
      <c r="F4" s="87"/>
      <c r="G4" s="88"/>
      <c r="H4" s="89"/>
      <c r="L4" s="89"/>
      <c r="M4" s="89"/>
      <c r="N4" s="89"/>
    </row>
    <row r="5" spans="1:14" ht="14.5">
      <c r="A5" s="250"/>
      <c r="B5" s="325"/>
      <c r="C5" s="494"/>
      <c r="D5" s="325"/>
      <c r="E5" s="495"/>
      <c r="F5" s="87"/>
      <c r="G5" s="88"/>
      <c r="H5" s="89"/>
      <c r="L5" s="89"/>
      <c r="M5" s="89"/>
      <c r="N5" s="89"/>
    </row>
    <row r="6" spans="1:14" ht="14.5">
      <c r="A6" s="250" t="s">
        <v>38</v>
      </c>
      <c r="B6" s="325"/>
      <c r="C6" s="494"/>
      <c r="D6" s="325"/>
      <c r="E6" s="495"/>
      <c r="F6" s="87"/>
      <c r="G6" s="88"/>
      <c r="H6" s="89"/>
      <c r="L6" s="89"/>
      <c r="M6" s="89"/>
      <c r="N6" s="89"/>
    </row>
    <row r="7" spans="1:14" ht="15" thickBot="1">
      <c r="A7" s="497"/>
      <c r="B7" s="498"/>
      <c r="C7" s="499"/>
      <c r="D7" s="498"/>
      <c r="E7" s="249"/>
    </row>
    <row r="8" spans="1:14" ht="15" thickTop="1">
      <c r="A8" s="558" t="s">
        <v>39</v>
      </c>
      <c r="B8" s="559"/>
      <c r="C8" s="560" t="s">
        <v>40</v>
      </c>
      <c r="D8" s="560" t="s">
        <v>41</v>
      </c>
      <c r="E8" s="664"/>
      <c r="F8" s="659"/>
    </row>
    <row r="9" spans="1:14" ht="14.5">
      <c r="A9" s="561" t="str">
        <f>'Dev Budget'!A79</f>
        <v>Construction Loan</v>
      </c>
      <c r="B9" s="562">
        <f>'Dev Budget'!B79</f>
        <v>1000000</v>
      </c>
      <c r="C9" s="563">
        <f>'Dev Budget'!C79</f>
        <v>20000</v>
      </c>
      <c r="D9" s="564">
        <f>'Dev Budget'!D79</f>
        <v>3.101159833777833</v>
      </c>
      <c r="E9" s="500"/>
      <c r="F9" s="91"/>
      <c r="G9" s="92"/>
    </row>
    <row r="10" spans="1:14" ht="14.5">
      <c r="A10" s="561" t="str">
        <f>'Dev Budget'!A80</f>
        <v>NYC HPD Open Door</v>
      </c>
      <c r="B10" s="562">
        <f>'Dev Budget'!B80</f>
        <v>15000000</v>
      </c>
      <c r="C10" s="563">
        <f>'Dev Budget'!C80</f>
        <v>300000</v>
      </c>
      <c r="D10" s="564">
        <f>'Dev Budget'!D80</f>
        <v>46.517397506667493</v>
      </c>
      <c r="E10" s="500"/>
      <c r="F10" s="91"/>
    </row>
    <row r="11" spans="1:14" ht="14.5">
      <c r="A11" s="561" t="str">
        <f>'Dev Budget'!A81</f>
        <v>NYS Affordable Housing Corporation (AHC)</v>
      </c>
      <c r="B11" s="562">
        <f>'Dev Budget'!B81</f>
        <v>0</v>
      </c>
      <c r="C11" s="563">
        <f>'Dev Budget'!C81</f>
        <v>0</v>
      </c>
      <c r="D11" s="564">
        <f>'Dev Budget'!D81</f>
        <v>0</v>
      </c>
      <c r="E11" s="500"/>
      <c r="F11" s="91"/>
      <c r="G11" s="88"/>
    </row>
    <row r="12" spans="1:14" ht="14.5">
      <c r="A12" s="561" t="str">
        <f>'Dev Budget'!A82</f>
        <v>Developer Equity</v>
      </c>
      <c r="B12" s="562">
        <f>'Dev Budget'!B82</f>
        <v>29442</v>
      </c>
      <c r="C12" s="563">
        <f>'Dev Budget'!C82</f>
        <v>588.84</v>
      </c>
      <c r="D12" s="564">
        <f>'Dev Budget'!D82</f>
        <v>9.1304347826086957E-2</v>
      </c>
      <c r="E12" s="500"/>
      <c r="F12" s="91"/>
      <c r="G12" s="92"/>
    </row>
    <row r="13" spans="1:14" ht="14.5">
      <c r="A13" s="561" t="str">
        <f>'Dev Budget'!A83</f>
        <v>Deferred Developer Fee</v>
      </c>
      <c r="B13" s="562">
        <f>'Dev Budget'!B83</f>
        <v>28040</v>
      </c>
      <c r="C13" s="563">
        <f>'Dev Budget'!C83</f>
        <v>560.79999999999995</v>
      </c>
      <c r="D13" s="564">
        <f>'Dev Budget'!D83</f>
        <v>8.6956521739130432E-2</v>
      </c>
      <c r="E13" s="500"/>
      <c r="F13" s="91"/>
      <c r="G13" s="92"/>
    </row>
    <row r="14" spans="1:14" ht="14.5">
      <c r="A14" s="561" t="str">
        <f>'Dev Budget'!A84</f>
        <v>Deferred Reserves</v>
      </c>
      <c r="B14" s="562">
        <f>'Dev Budget'!B84</f>
        <v>0</v>
      </c>
      <c r="C14" s="563">
        <f>'Dev Budget'!C84</f>
        <v>0</v>
      </c>
      <c r="D14" s="564">
        <f>'Dev Budget'!D84</f>
        <v>0</v>
      </c>
      <c r="E14" s="500"/>
      <c r="F14" s="91"/>
      <c r="G14" s="92"/>
    </row>
    <row r="15" spans="1:14" ht="14.5">
      <c r="A15" s="561" t="s">
        <v>42</v>
      </c>
      <c r="B15" s="562">
        <f>'Dev Budget'!B85</f>
        <v>-15735022</v>
      </c>
      <c r="C15" s="562">
        <f>'Dev Budget'!C85</f>
        <v>-314700.44</v>
      </c>
      <c r="D15" s="562">
        <f>'Dev Budget'!D85</f>
        <v>-48.796818210010542</v>
      </c>
      <c r="E15" s="500"/>
      <c r="F15" s="91"/>
      <c r="G15" s="92"/>
    </row>
    <row r="16" spans="1:14" ht="14.5">
      <c r="A16" s="561" t="s">
        <v>43</v>
      </c>
      <c r="B16" s="565">
        <f>SUM(B9:B15)</f>
        <v>322460</v>
      </c>
      <c r="C16" s="565">
        <f>SUM(C9:C15)</f>
        <v>6449.2000000000116</v>
      </c>
      <c r="D16" s="566">
        <f>SUM(D9:D15)</f>
        <v>1.0000000000000071</v>
      </c>
      <c r="E16" s="501"/>
      <c r="F16" s="93"/>
      <c r="G16" s="92"/>
    </row>
    <row r="17" spans="1:9" ht="15" thickBot="1">
      <c r="A17" s="667"/>
      <c r="B17" s="668"/>
      <c r="C17" s="668"/>
      <c r="D17" s="668"/>
      <c r="E17" s="282"/>
      <c r="F17" s="51"/>
      <c r="G17" s="94"/>
    </row>
    <row r="18" spans="1:9" ht="15" thickTop="1">
      <c r="A18" s="558" t="s">
        <v>44</v>
      </c>
      <c r="B18" s="559"/>
      <c r="C18" s="560" t="s">
        <v>40</v>
      </c>
      <c r="D18" s="560" t="s">
        <v>41</v>
      </c>
      <c r="E18" s="664"/>
      <c r="F18" s="659"/>
    </row>
    <row r="19" spans="1:9" ht="14.5">
      <c r="A19" s="567" t="str">
        <f>'Dev Budget'!A89</f>
        <v>NYC HPD Open Door</v>
      </c>
      <c r="B19" s="562">
        <f>'Dev Budget'!B89</f>
        <v>15000000</v>
      </c>
      <c r="C19" s="562">
        <f>'Dev Budget'!C89</f>
        <v>300000</v>
      </c>
      <c r="D19" s="564">
        <f>'Dev Budget'!D89</f>
        <v>46.517397506667493</v>
      </c>
      <c r="E19" s="500"/>
      <c r="F19" s="91"/>
    </row>
    <row r="20" spans="1:9" ht="14.5">
      <c r="A20" s="567" t="str">
        <f>'Dev Budget'!A90</f>
        <v>NYS Affordable Housing Corporation (AHC)</v>
      </c>
      <c r="B20" s="562">
        <f>'Dev Budget'!B90</f>
        <v>0</v>
      </c>
      <c r="C20" s="562">
        <f>'Dev Budget'!C90</f>
        <v>0</v>
      </c>
      <c r="D20" s="564">
        <f>'Dev Budget'!D90</f>
        <v>0</v>
      </c>
      <c r="E20" s="500"/>
      <c r="F20" s="91"/>
      <c r="G20" s="88"/>
    </row>
    <row r="21" spans="1:9" ht="14.5">
      <c r="A21" s="567" t="str">
        <f>'Dev Budget'!A91</f>
        <v>Sales Proceeds</v>
      </c>
      <c r="B21" s="562">
        <f>'Dev Budget'!B91</f>
        <v>0</v>
      </c>
      <c r="C21" s="562">
        <f>'Dev Budget'!C91</f>
        <v>0</v>
      </c>
      <c r="D21" s="564">
        <f>'Dev Budget'!D91</f>
        <v>0</v>
      </c>
      <c r="E21" s="500"/>
      <c r="F21" s="91"/>
      <c r="G21" s="92"/>
    </row>
    <row r="22" spans="1:9" ht="14.5">
      <c r="A22" s="567" t="s">
        <v>42</v>
      </c>
      <c r="B22" s="568">
        <f>'Dev Budget'!B92</f>
        <v>-14677540</v>
      </c>
      <c r="C22" s="568">
        <f>'Dev Budget'!C92</f>
        <v>-293550.8</v>
      </c>
      <c r="D22" s="568">
        <f>'Dev Budget'!D92</f>
        <v>-45.517397506667493</v>
      </c>
      <c r="E22" s="500"/>
      <c r="F22" s="91"/>
      <c r="G22" s="92"/>
    </row>
    <row r="23" spans="1:9" ht="14.5">
      <c r="A23" s="561" t="s">
        <v>43</v>
      </c>
      <c r="B23" s="565">
        <f>SUM(B19:B22)</f>
        <v>322460</v>
      </c>
      <c r="C23" s="565">
        <f>SUM(C19:C22)</f>
        <v>6449.2000000000116</v>
      </c>
      <c r="D23" s="566">
        <f>SUM(D19:D22)</f>
        <v>1</v>
      </c>
      <c r="E23" s="501"/>
      <c r="F23" s="93"/>
      <c r="G23" s="92"/>
    </row>
    <row r="24" spans="1:9" ht="15" thickBot="1">
      <c r="A24" s="667"/>
      <c r="B24" s="669"/>
      <c r="C24" s="670"/>
      <c r="D24" s="669"/>
      <c r="E24" s="282"/>
      <c r="F24" s="51"/>
      <c r="G24" s="94"/>
    </row>
    <row r="25" spans="1:9" ht="15" thickTop="1">
      <c r="A25" s="569" t="s">
        <v>45</v>
      </c>
      <c r="B25" s="559"/>
      <c r="C25" s="560" t="s">
        <v>40</v>
      </c>
      <c r="D25" s="560" t="s">
        <v>41</v>
      </c>
      <c r="E25" s="249"/>
      <c r="F25" s="62"/>
      <c r="G25" s="51"/>
    </row>
    <row r="26" spans="1:9" ht="14.5">
      <c r="A26" s="561" t="s">
        <v>46</v>
      </c>
      <c r="B26" s="570">
        <f>'Dev Budget'!B12</f>
        <v>0</v>
      </c>
      <c r="C26" s="562">
        <f>B26/TOTALDU</f>
        <v>0</v>
      </c>
      <c r="D26" s="571">
        <f>B26/$B$30</f>
        <v>0</v>
      </c>
      <c r="E26" s="502"/>
      <c r="F26" s="96"/>
      <c r="G26" s="97"/>
    </row>
    <row r="27" spans="1:9" ht="14.5">
      <c r="A27" s="561" t="s">
        <v>47</v>
      </c>
      <c r="B27" s="570">
        <f>'Dev Budget'!B22</f>
        <v>0</v>
      </c>
      <c r="C27" s="562">
        <f>B27/TOTALDU</f>
        <v>0</v>
      </c>
      <c r="D27" s="571">
        <f>B27/$B$30</f>
        <v>0</v>
      </c>
      <c r="E27" s="503"/>
      <c r="F27" s="98"/>
      <c r="G27" s="99"/>
      <c r="H27" s="90"/>
      <c r="I27" s="100"/>
    </row>
    <row r="28" spans="1:9" ht="14.5">
      <c r="A28" s="561" t="s">
        <v>48</v>
      </c>
      <c r="B28" s="570">
        <f>'Dev Budget'!B71</f>
        <v>294420</v>
      </c>
      <c r="C28" s="562">
        <f>B28/TOTALDU</f>
        <v>5888.4</v>
      </c>
      <c r="D28" s="571">
        <f>B28/$B$30</f>
        <v>0.91304347826086951</v>
      </c>
      <c r="E28" s="328"/>
      <c r="F28" s="62"/>
      <c r="G28" s="62"/>
    </row>
    <row r="29" spans="1:9" ht="14.5">
      <c r="A29" s="561" t="s">
        <v>49</v>
      </c>
      <c r="B29" s="570">
        <f>'Dev Budget'!B73</f>
        <v>28040</v>
      </c>
      <c r="C29" s="562">
        <f>B29/TOTALDU</f>
        <v>560.79999999999995</v>
      </c>
      <c r="D29" s="571">
        <f>B29/B30</f>
        <v>8.6956521739130432E-2</v>
      </c>
      <c r="E29" s="328"/>
      <c r="F29" s="102"/>
      <c r="G29" s="97"/>
    </row>
    <row r="30" spans="1:9" ht="14.5">
      <c r="A30" s="561" t="s">
        <v>50</v>
      </c>
      <c r="B30" s="565">
        <f>SUM(B26:B29)</f>
        <v>322460</v>
      </c>
      <c r="C30" s="565">
        <f t="shared" ref="C30:D30" si="0">SUM(C26:C29)</f>
        <v>6449.2</v>
      </c>
      <c r="D30" s="566">
        <f t="shared" si="0"/>
        <v>1</v>
      </c>
      <c r="E30" s="329"/>
      <c r="F30" s="103"/>
    </row>
    <row r="31" spans="1:9">
      <c r="A31" s="50"/>
      <c r="G31" s="52"/>
    </row>
    <row r="32" spans="1:9">
      <c r="A32" s="50"/>
      <c r="G32" s="106"/>
    </row>
    <row r="33" spans="1:13">
      <c r="A33" s="50"/>
      <c r="G33" s="106"/>
    </row>
    <row r="34" spans="1:13" s="51" customFormat="1">
      <c r="B34" s="74"/>
      <c r="C34" s="107"/>
      <c r="D34" s="107"/>
      <c r="G34" s="103"/>
      <c r="J34" s="79"/>
    </row>
    <row r="35" spans="1:13" s="51" customFormat="1">
      <c r="B35" s="85"/>
      <c r="C35" s="108"/>
      <c r="D35" s="86"/>
      <c r="E35" s="103"/>
      <c r="F35" s="103"/>
      <c r="J35" s="109"/>
    </row>
    <row r="36" spans="1:13" s="51" customFormat="1">
      <c r="B36" s="107"/>
      <c r="C36" s="107"/>
      <c r="D36" s="107"/>
      <c r="J36" s="79"/>
      <c r="K36" s="101"/>
      <c r="L36" s="101"/>
      <c r="M36" s="101"/>
    </row>
    <row r="37" spans="1:13" s="51" customFormat="1">
      <c r="B37" s="107"/>
      <c r="C37" s="107"/>
      <c r="D37" s="107"/>
      <c r="G37" s="110"/>
      <c r="J37" s="79"/>
    </row>
    <row r="38" spans="1:13" s="51" customFormat="1">
      <c r="A38" s="111"/>
      <c r="B38" s="112"/>
      <c r="C38" s="113"/>
      <c r="D38" s="113"/>
      <c r="E38" s="114"/>
      <c r="F38" s="115"/>
      <c r="J38" s="79"/>
    </row>
    <row r="39" spans="1:13" s="51" customFormat="1">
      <c r="A39" s="116"/>
      <c r="B39" s="112"/>
      <c r="C39" s="117"/>
      <c r="D39" s="112"/>
      <c r="E39" s="118"/>
      <c r="F39" s="119"/>
      <c r="J39" s="79"/>
    </row>
    <row r="40" spans="1:13" s="51" customFormat="1">
      <c r="A40" s="78"/>
      <c r="B40" s="112"/>
      <c r="C40" s="120"/>
      <c r="D40" s="112"/>
      <c r="E40" s="121"/>
      <c r="F40" s="122"/>
      <c r="G40" s="79"/>
      <c r="J40" s="79"/>
    </row>
    <row r="41" spans="1:13" s="51" customFormat="1">
      <c r="A41" s="78"/>
      <c r="B41" s="112"/>
      <c r="C41" s="120"/>
      <c r="D41" s="112"/>
      <c r="E41" s="121"/>
      <c r="F41" s="122"/>
      <c r="G41" s="79"/>
      <c r="J41" s="79"/>
    </row>
    <row r="42" spans="1:13" s="51" customFormat="1">
      <c r="A42" s="78"/>
      <c r="B42" s="112"/>
      <c r="C42" s="120"/>
      <c r="D42" s="112"/>
      <c r="E42" s="121"/>
      <c r="F42" s="123"/>
      <c r="G42" s="79"/>
      <c r="H42" s="79"/>
      <c r="I42" s="79"/>
      <c r="J42" s="79"/>
    </row>
    <row r="43" spans="1:13" s="51" customFormat="1">
      <c r="A43" s="124"/>
      <c r="B43" s="125"/>
      <c r="C43" s="126"/>
      <c r="D43" s="125"/>
      <c r="E43" s="127"/>
      <c r="F43" s="128"/>
      <c r="G43" s="129"/>
      <c r="H43" s="129"/>
      <c r="I43" s="129"/>
    </row>
    <row r="44" spans="1:13" s="51" customFormat="1">
      <c r="A44" s="124"/>
      <c r="B44" s="125"/>
      <c r="C44" s="130"/>
      <c r="D44" s="125"/>
      <c r="E44" s="128"/>
      <c r="F44" s="131"/>
      <c r="G44" s="129"/>
      <c r="H44" s="129"/>
      <c r="I44" s="129"/>
    </row>
    <row r="45" spans="1:13" s="51" customFormat="1">
      <c r="A45" s="124"/>
      <c r="B45" s="125"/>
      <c r="C45" s="126"/>
      <c r="D45" s="125"/>
      <c r="E45" s="127"/>
      <c r="F45" s="115"/>
      <c r="G45" s="132"/>
      <c r="H45" s="132"/>
      <c r="I45" s="132"/>
    </row>
    <row r="46" spans="1:13" s="51" customFormat="1">
      <c r="A46" s="124"/>
      <c r="B46" s="125"/>
      <c r="C46" s="130"/>
      <c r="D46" s="125"/>
      <c r="E46" s="128"/>
      <c r="F46" s="131"/>
      <c r="G46" s="129"/>
      <c r="H46" s="129"/>
      <c r="I46" s="129"/>
    </row>
    <row r="47" spans="1:13" s="51" customFormat="1">
      <c r="A47" s="133"/>
      <c r="B47" s="134"/>
      <c r="C47" s="117"/>
      <c r="D47" s="134"/>
      <c r="E47" s="118"/>
      <c r="F47" s="135"/>
      <c r="G47" s="136"/>
      <c r="H47" s="136"/>
      <c r="I47" s="136"/>
    </row>
    <row r="48" spans="1:13" s="51" customFormat="1">
      <c r="A48" s="133"/>
      <c r="B48" s="134"/>
      <c r="C48" s="117"/>
      <c r="D48" s="134"/>
      <c r="E48" s="118"/>
      <c r="F48" s="126"/>
      <c r="G48" s="137"/>
      <c r="H48" s="136"/>
      <c r="I48" s="136"/>
    </row>
    <row r="49" spans="1:18" s="51" customFormat="1">
      <c r="A49" s="138"/>
      <c r="B49" s="117"/>
      <c r="C49" s="139"/>
      <c r="D49" s="117"/>
      <c r="E49" s="140"/>
      <c r="F49" s="141"/>
      <c r="G49" s="142"/>
      <c r="I49" s="143"/>
    </row>
    <row r="50" spans="1:18" s="51" customFormat="1">
      <c r="A50" s="138"/>
      <c r="B50" s="117"/>
      <c r="C50" s="117"/>
      <c r="D50" s="117"/>
      <c r="E50" s="118"/>
      <c r="F50" s="118"/>
      <c r="G50" s="142"/>
      <c r="H50" s="137"/>
      <c r="I50" s="143"/>
      <c r="K50" s="110"/>
    </row>
    <row r="51" spans="1:18" s="51" customFormat="1">
      <c r="A51" s="138"/>
      <c r="B51" s="117"/>
      <c r="C51" s="117"/>
      <c r="D51" s="117"/>
      <c r="E51" s="118"/>
      <c r="F51" s="118"/>
      <c r="G51" s="144"/>
      <c r="H51" s="80"/>
      <c r="I51" s="145"/>
    </row>
    <row r="52" spans="1:18" s="51" customFormat="1">
      <c r="A52" s="138"/>
      <c r="B52" s="117"/>
      <c r="C52" s="117"/>
      <c r="D52" s="117"/>
      <c r="E52" s="118"/>
      <c r="F52" s="118"/>
      <c r="G52" s="137"/>
      <c r="H52" s="137"/>
      <c r="I52" s="137"/>
    </row>
    <row r="53" spans="1:18" s="51" customFormat="1">
      <c r="A53" s="133"/>
      <c r="B53" s="134"/>
      <c r="C53" s="117"/>
      <c r="D53" s="134"/>
      <c r="E53" s="118"/>
      <c r="F53" s="135"/>
      <c r="G53" s="136"/>
      <c r="H53" s="137"/>
      <c r="I53" s="136"/>
    </row>
    <row r="54" spans="1:18" s="51" customFormat="1">
      <c r="A54" s="133"/>
      <c r="B54" s="134"/>
      <c r="C54" s="139"/>
      <c r="D54" s="134"/>
      <c r="E54" s="140"/>
      <c r="F54" s="115"/>
    </row>
    <row r="55" spans="1:18" s="51" customFormat="1">
      <c r="A55" s="138"/>
      <c r="B55" s="134"/>
      <c r="C55" s="117"/>
      <c r="D55" s="134"/>
      <c r="E55" s="118"/>
      <c r="F55" s="115"/>
    </row>
    <row r="56" spans="1:18" s="51" customFormat="1">
      <c r="A56" s="138"/>
      <c r="B56" s="134"/>
      <c r="C56" s="117"/>
      <c r="D56" s="134"/>
      <c r="E56" s="118"/>
      <c r="F56" s="115"/>
    </row>
    <row r="57" spans="1:18" s="51" customFormat="1">
      <c r="A57" s="138"/>
      <c r="B57" s="134"/>
      <c r="C57" s="117"/>
      <c r="D57" s="134"/>
      <c r="E57" s="118"/>
      <c r="F57" s="115"/>
    </row>
    <row r="58" spans="1:18" s="51" customFormat="1">
      <c r="A58" s="138"/>
      <c r="B58" s="117"/>
      <c r="C58" s="146"/>
      <c r="D58" s="117"/>
      <c r="E58" s="147"/>
      <c r="F58" s="118"/>
    </row>
    <row r="59" spans="1:18" s="51" customFormat="1">
      <c r="A59" s="148"/>
      <c r="B59" s="149"/>
      <c r="C59" s="149"/>
      <c r="D59" s="149"/>
      <c r="E59" s="150"/>
      <c r="F59" s="137"/>
      <c r="G59" s="137"/>
      <c r="H59" s="137"/>
    </row>
    <row r="60" spans="1:18" s="51" customFormat="1">
      <c r="A60" s="148"/>
      <c r="B60" s="149"/>
      <c r="C60" s="149"/>
      <c r="D60" s="149"/>
    </row>
    <row r="61" spans="1:18" s="51" customFormat="1">
      <c r="A61" s="136"/>
      <c r="B61" s="107"/>
      <c r="C61" s="149"/>
      <c r="D61" s="151"/>
      <c r="E61" s="150"/>
    </row>
    <row r="62" spans="1:18" s="51" customFormat="1">
      <c r="A62" s="136"/>
      <c r="B62" s="107"/>
      <c r="C62" s="149"/>
      <c r="D62" s="152"/>
      <c r="E62" s="150"/>
    </row>
    <row r="63" spans="1:18">
      <c r="A63" s="51"/>
      <c r="B63" s="95"/>
      <c r="C63" s="149"/>
      <c r="D63" s="149"/>
      <c r="E63" s="153"/>
      <c r="F63" s="153"/>
      <c r="G63" s="154"/>
      <c r="H63" s="154"/>
      <c r="I63" s="153"/>
      <c r="J63" s="153"/>
      <c r="K63" s="153"/>
      <c r="L63" s="155"/>
      <c r="M63" s="155"/>
      <c r="N63" s="155"/>
      <c r="O63" s="155"/>
      <c r="P63" s="155"/>
      <c r="Q63" s="155"/>
      <c r="R63" s="155"/>
    </row>
    <row r="64" spans="1:18">
      <c r="A64" s="80"/>
      <c r="B64" s="95"/>
      <c r="C64" s="149"/>
      <c r="D64" s="149"/>
      <c r="E64" s="153"/>
      <c r="F64" s="153"/>
      <c r="G64" s="154"/>
      <c r="H64" s="154"/>
      <c r="I64" s="153"/>
      <c r="J64" s="153"/>
      <c r="K64" s="153"/>
      <c r="L64" s="155"/>
      <c r="M64" s="155"/>
      <c r="N64" s="155"/>
      <c r="O64" s="155"/>
      <c r="P64" s="155"/>
      <c r="Q64" s="155"/>
      <c r="R64" s="155"/>
    </row>
    <row r="65" spans="1:17">
      <c r="A65" s="51"/>
      <c r="B65" s="156"/>
      <c r="C65" s="107"/>
      <c r="D65" s="157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Q65" s="51"/>
    </row>
    <row r="66" spans="1:17">
      <c r="A66" s="51"/>
      <c r="B66" s="156"/>
      <c r="C66" s="107"/>
      <c r="D66" s="157"/>
      <c r="E66" s="118"/>
      <c r="F66" s="118"/>
      <c r="G66" s="154"/>
      <c r="H66" s="154"/>
      <c r="I66" s="154"/>
      <c r="J66" s="154"/>
      <c r="K66" s="154"/>
      <c r="L66" s="154"/>
      <c r="M66" s="154"/>
      <c r="N66" s="154"/>
      <c r="O66" s="154"/>
      <c r="Q66" s="158"/>
    </row>
    <row r="67" spans="1:17">
      <c r="A67" s="51"/>
      <c r="B67" s="159"/>
      <c r="C67" s="107"/>
      <c r="D67" s="139"/>
      <c r="E67" s="51"/>
      <c r="F67" s="51"/>
      <c r="G67" s="118"/>
      <c r="H67" s="118"/>
      <c r="I67" s="118"/>
      <c r="J67" s="118"/>
      <c r="K67" s="118"/>
      <c r="L67" s="118"/>
      <c r="M67" s="118"/>
      <c r="N67" s="118"/>
      <c r="O67" s="118"/>
      <c r="Q67" s="51"/>
    </row>
    <row r="68" spans="1:17">
      <c r="A68" s="51"/>
      <c r="B68" s="95"/>
      <c r="C68" s="75"/>
      <c r="D68" s="95"/>
      <c r="E68" s="51"/>
      <c r="F68" s="51"/>
      <c r="G68" s="51"/>
      <c r="H68" s="51"/>
      <c r="I68" s="51"/>
      <c r="J68" s="51"/>
      <c r="K68" s="51"/>
    </row>
    <row r="69" spans="1:17">
      <c r="A69" s="107"/>
      <c r="B69" s="160"/>
      <c r="C69" s="75"/>
      <c r="D69" s="161"/>
      <c r="E69" s="51"/>
      <c r="F69" s="51"/>
      <c r="G69" s="51"/>
      <c r="H69" s="51"/>
      <c r="I69" s="51"/>
      <c r="J69" s="51"/>
      <c r="K69" s="51"/>
    </row>
    <row r="70" spans="1:17">
      <c r="A70" s="162"/>
      <c r="B70" s="163"/>
      <c r="C70" s="75"/>
      <c r="D70" s="164"/>
      <c r="E70" s="51"/>
      <c r="F70" s="51"/>
      <c r="G70" s="51"/>
      <c r="H70" s="51"/>
      <c r="I70" s="51"/>
      <c r="J70" s="51"/>
      <c r="K70" s="51"/>
    </row>
    <row r="71" spans="1:17">
      <c r="A71" s="53"/>
      <c r="B71" s="163"/>
      <c r="C71" s="75"/>
      <c r="D71" s="164"/>
      <c r="E71" s="51"/>
      <c r="F71" s="51"/>
      <c r="G71" s="51"/>
      <c r="H71" s="51"/>
      <c r="I71" s="51"/>
      <c r="J71" s="51"/>
      <c r="K71" s="51"/>
    </row>
    <row r="72" spans="1:17">
      <c r="A72" s="162"/>
      <c r="B72" s="163"/>
      <c r="C72" s="165"/>
      <c r="D72" s="164"/>
      <c r="E72" s="51"/>
      <c r="F72" s="51"/>
      <c r="G72" s="51"/>
      <c r="H72" s="51"/>
      <c r="I72" s="51"/>
      <c r="J72" s="51"/>
      <c r="K72" s="51"/>
    </row>
    <row r="73" spans="1:17">
      <c r="A73" s="53"/>
      <c r="B73" s="163"/>
      <c r="C73" s="75"/>
      <c r="D73" s="164"/>
      <c r="E73" s="51"/>
      <c r="F73" s="51"/>
      <c r="G73" s="51"/>
      <c r="H73" s="51"/>
      <c r="I73" s="51"/>
      <c r="J73" s="51"/>
      <c r="K73" s="51"/>
    </row>
    <row r="74" spans="1:17">
      <c r="A74" s="162"/>
      <c r="B74" s="163"/>
      <c r="C74" s="75"/>
      <c r="D74" s="164"/>
      <c r="E74" s="51"/>
      <c r="F74" s="51"/>
      <c r="G74" s="51"/>
      <c r="H74" s="51"/>
      <c r="I74" s="51"/>
      <c r="J74" s="51"/>
      <c r="K74" s="51"/>
    </row>
    <row r="75" spans="1:17">
      <c r="A75" s="53"/>
      <c r="B75" s="163"/>
      <c r="C75" s="75"/>
      <c r="D75" s="164"/>
      <c r="E75" s="51"/>
      <c r="F75" s="51"/>
      <c r="G75" s="51"/>
      <c r="H75" s="51"/>
      <c r="I75" s="51"/>
      <c r="J75" s="51"/>
      <c r="K75" s="51"/>
    </row>
    <row r="76" spans="1:17">
      <c r="A76" s="53"/>
      <c r="B76" s="163"/>
      <c r="C76" s="75"/>
      <c r="D76" s="166"/>
      <c r="E76" s="51"/>
      <c r="F76" s="51"/>
      <c r="G76" s="51"/>
      <c r="H76" s="51"/>
      <c r="I76" s="51"/>
      <c r="J76" s="51"/>
      <c r="K76" s="51"/>
    </row>
    <row r="77" spans="1:17">
      <c r="A77" s="167"/>
      <c r="B77" s="163"/>
      <c r="D77" s="168"/>
    </row>
  </sheetData>
  <dataConsolidate/>
  <conditionalFormatting sqref="G53 A53:B53 I53">
    <cfRule type="cellIs" dxfId="7" priority="3" stopIfTrue="1" operator="lessThan">
      <formula>10000</formula>
    </cfRule>
  </conditionalFormatting>
  <conditionalFormatting sqref="B39">
    <cfRule type="cellIs" dxfId="6" priority="4" stopIfTrue="1" operator="greaterThan">
      <formula>0</formula>
    </cfRule>
  </conditionalFormatting>
  <conditionalFormatting sqref="B60">
    <cfRule type="cellIs" dxfId="5" priority="5" stopIfTrue="1" operator="notEqual">
      <formula>0</formula>
    </cfRule>
  </conditionalFormatting>
  <pageMargins left="0.7" right="0.7" top="0.75" bottom="0.75" header="0.3" footer="0.3"/>
  <pageSetup scale="99" orientation="portrait" r:id="rId1"/>
  <headerFooter>
    <oddHeader>&amp;L&amp;"Arial,Bold"&amp;12&amp;A&amp;R&amp;"Arial,Regular"&amp;D</oddHeader>
    <oddFooter>&amp;L&amp;"Arial,Regular"&amp;9&amp;F&amp;R&amp;"Arial,Italic"&amp;10&amp;P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100"/>
  <sheetViews>
    <sheetView topLeftCell="A13" zoomScaleNormal="100" zoomScaleSheetLayoutView="85" workbookViewId="0">
      <selection activeCell="E33" sqref="E33"/>
    </sheetView>
  </sheetViews>
  <sheetFormatPr defaultColWidth="9.08984375" defaultRowHeight="14"/>
  <cols>
    <col min="1" max="1" width="46" style="79" customWidth="1"/>
    <col min="2" max="2" width="19.6328125" style="89" customWidth="1"/>
    <col min="3" max="3" width="13.453125" style="169" customWidth="1"/>
    <col min="4" max="4" width="13.36328125" style="169" customWidth="1"/>
    <col min="5" max="5" width="11.453125" style="169" customWidth="1"/>
    <col min="6" max="6" width="49.36328125" style="79" customWidth="1"/>
    <col min="7" max="7" width="15.6328125" style="79" customWidth="1"/>
    <col min="8" max="8" width="16" style="79" customWidth="1"/>
    <col min="9" max="9" width="17.36328125" style="79" bestFit="1" customWidth="1"/>
    <col min="10" max="10" width="15.453125" style="79" customWidth="1"/>
    <col min="11" max="11" width="10.453125" style="79" bestFit="1" customWidth="1"/>
    <col min="12" max="16384" width="9.08984375" style="79"/>
  </cols>
  <sheetData>
    <row r="1" spans="1:13" ht="14.5">
      <c r="A1" s="250" t="str">
        <f>'Project Overview'!A1</f>
        <v>Project Name</v>
      </c>
      <c r="B1" s="251">
        <f>'Project Overview'!B1</f>
        <v>0</v>
      </c>
      <c r="C1" s="436"/>
      <c r="D1" s="436"/>
      <c r="E1" s="436"/>
      <c r="F1" s="249"/>
      <c r="G1" s="249"/>
    </row>
    <row r="2" spans="1:13" ht="14.5">
      <c r="A2" s="250" t="str">
        <f>'Project Overview'!A2</f>
        <v>Developer</v>
      </c>
      <c r="B2" s="254">
        <f>'Project Overview'!B2</f>
        <v>0</v>
      </c>
      <c r="C2" s="436"/>
      <c r="D2" s="436"/>
      <c r="E2" s="436"/>
      <c r="F2" s="249"/>
      <c r="G2" s="249"/>
    </row>
    <row r="3" spans="1:13" ht="15.5">
      <c r="A3" s="250" t="str">
        <f>'Project Overview'!A3</f>
        <v>Address</v>
      </c>
      <c r="B3" s="251">
        <f>'Project Overview'!B3</f>
        <v>0</v>
      </c>
      <c r="C3" s="255"/>
      <c r="D3" s="255" t="str">
        <f>'Project Overview'!$D$3</f>
        <v>Units:</v>
      </c>
      <c r="E3" s="256">
        <f>'Project Overview'!$E$3</f>
        <v>50</v>
      </c>
      <c r="F3" s="249"/>
      <c r="G3" s="249"/>
    </row>
    <row r="4" spans="1:13" ht="14.5">
      <c r="A4" s="250" t="str">
        <f>'Project Overview'!A4</f>
        <v>BBL</v>
      </c>
      <c r="B4" s="251">
        <f>'Project Overview'!B4</f>
        <v>0</v>
      </c>
      <c r="C4" s="436"/>
      <c r="D4" s="436"/>
      <c r="E4" s="436"/>
      <c r="F4" s="249"/>
      <c r="G4" s="249"/>
    </row>
    <row r="5" spans="1:13" ht="14.5">
      <c r="A5" s="249"/>
      <c r="B5" s="437"/>
      <c r="C5" s="436"/>
      <c r="D5" s="436"/>
      <c r="E5" s="436"/>
      <c r="F5" s="249"/>
      <c r="G5" s="249"/>
    </row>
    <row r="6" spans="1:13" ht="14.5">
      <c r="A6" s="438" t="s">
        <v>51</v>
      </c>
      <c r="B6" s="437"/>
      <c r="C6" s="436"/>
      <c r="D6" s="436"/>
      <c r="E6" s="436"/>
      <c r="F6" s="249"/>
      <c r="G6" s="249"/>
    </row>
    <row r="7" spans="1:13" ht="14.5">
      <c r="A7" s="438"/>
      <c r="B7" s="437"/>
      <c r="C7" s="436"/>
      <c r="D7" s="436"/>
      <c r="E7" s="436"/>
      <c r="F7" s="249"/>
      <c r="G7" s="249"/>
    </row>
    <row r="8" spans="1:13" s="51" customFormat="1" ht="14.5">
      <c r="A8" s="671" t="s">
        <v>52</v>
      </c>
      <c r="B8" s="658" t="s">
        <v>27</v>
      </c>
      <c r="C8" s="658" t="s">
        <v>40</v>
      </c>
      <c r="D8" s="658" t="s">
        <v>53</v>
      </c>
      <c r="E8" s="780" t="s">
        <v>54</v>
      </c>
      <c r="F8" s="781"/>
      <c r="G8" s="282"/>
      <c r="M8" s="79"/>
    </row>
    <row r="9" spans="1:13" ht="14.5">
      <c r="A9" s="572"/>
      <c r="B9" s="282"/>
      <c r="C9" s="439"/>
      <c r="D9" s="439"/>
      <c r="E9" s="439"/>
      <c r="F9" s="440"/>
      <c r="G9" s="249"/>
      <c r="H9" s="109"/>
      <c r="M9" s="169"/>
    </row>
    <row r="10" spans="1:13" ht="14.5">
      <c r="A10" s="573" t="s">
        <v>46</v>
      </c>
      <c r="B10" s="441"/>
      <c r="C10" s="442"/>
      <c r="D10" s="443"/>
      <c r="E10" s="443"/>
      <c r="F10" s="444"/>
      <c r="G10" s="249"/>
      <c r="H10" s="109"/>
      <c r="I10" s="109"/>
      <c r="M10" s="169"/>
    </row>
    <row r="11" spans="1:13" ht="14.5">
      <c r="A11" s="574" t="s">
        <v>55</v>
      </c>
      <c r="B11" s="445"/>
      <c r="C11" s="446">
        <f>B11/TOTALDU</f>
        <v>0</v>
      </c>
      <c r="D11" s="447">
        <f>B11/GSF</f>
        <v>0</v>
      </c>
      <c r="E11" s="448"/>
      <c r="F11" s="449"/>
      <c r="G11" s="249"/>
      <c r="H11" s="89"/>
      <c r="I11" s="109"/>
      <c r="M11" s="169"/>
    </row>
    <row r="12" spans="1:13" ht="14.5">
      <c r="A12" s="575" t="s">
        <v>56</v>
      </c>
      <c r="B12" s="450">
        <f>SUM(B11:B11)</f>
        <v>0</v>
      </c>
      <c r="C12" s="451">
        <f>B12/TOTALDU</f>
        <v>0</v>
      </c>
      <c r="D12" s="452">
        <f>B12/GSF</f>
        <v>0</v>
      </c>
      <c r="E12" s="448"/>
      <c r="F12" s="449"/>
      <c r="G12" s="249"/>
      <c r="I12" s="109"/>
      <c r="M12" s="169"/>
    </row>
    <row r="13" spans="1:13" ht="14.5">
      <c r="A13" s="572"/>
      <c r="B13" s="453"/>
      <c r="C13" s="454"/>
      <c r="D13" s="455"/>
      <c r="E13" s="456"/>
      <c r="F13" s="444"/>
      <c r="G13" s="249"/>
      <c r="I13" s="169"/>
      <c r="M13" s="169"/>
    </row>
    <row r="14" spans="1:13" ht="14.5">
      <c r="A14" s="573" t="s">
        <v>47</v>
      </c>
      <c r="B14" s="457"/>
      <c r="C14" s="458"/>
      <c r="D14" s="459"/>
      <c r="E14" s="443"/>
      <c r="F14" s="444"/>
      <c r="G14" s="249"/>
    </row>
    <row r="15" spans="1:13" ht="14.5">
      <c r="A15" s="574" t="s">
        <v>57</v>
      </c>
      <c r="B15" s="445"/>
      <c r="C15" s="446">
        <f>B15/TOTALDU</f>
        <v>0</v>
      </c>
      <c r="D15" s="447">
        <f>B15/GSF</f>
        <v>0</v>
      </c>
      <c r="E15" s="448"/>
      <c r="F15" s="444"/>
      <c r="G15" s="249"/>
    </row>
    <row r="16" spans="1:13" ht="14.5">
      <c r="A16" s="574" t="s">
        <v>58</v>
      </c>
      <c r="B16" s="457"/>
      <c r="C16" s="458"/>
      <c r="D16" s="459"/>
      <c r="E16" s="443"/>
      <c r="F16" s="444"/>
      <c r="G16" s="249"/>
    </row>
    <row r="17" spans="1:10" ht="14.5">
      <c r="A17" s="552" t="s">
        <v>59</v>
      </c>
      <c r="B17" s="445"/>
      <c r="C17" s="446">
        <f t="shared" ref="C17:C22" si="0">B17/TOTALDU</f>
        <v>0</v>
      </c>
      <c r="D17" s="447">
        <f t="shared" ref="D17:D22" si="1">B17/GSF</f>
        <v>0</v>
      </c>
      <c r="E17" s="448"/>
      <c r="F17" s="444"/>
      <c r="G17" s="249"/>
    </row>
    <row r="18" spans="1:10" ht="14.5">
      <c r="A18" s="552" t="s">
        <v>60</v>
      </c>
      <c r="B18" s="445"/>
      <c r="C18" s="446">
        <f t="shared" si="0"/>
        <v>0</v>
      </c>
      <c r="D18" s="447">
        <f t="shared" si="1"/>
        <v>0</v>
      </c>
      <c r="E18" s="448"/>
      <c r="F18" s="444"/>
      <c r="G18" s="249"/>
    </row>
    <row r="19" spans="1:10" ht="14.5">
      <c r="A19" s="552" t="s">
        <v>61</v>
      </c>
      <c r="B19" s="445"/>
      <c r="C19" s="446">
        <f t="shared" si="0"/>
        <v>0</v>
      </c>
      <c r="D19" s="447">
        <f t="shared" si="1"/>
        <v>0</v>
      </c>
      <c r="E19" s="448"/>
      <c r="F19" s="444"/>
      <c r="G19" s="249"/>
    </row>
    <row r="20" spans="1:10" ht="14.5">
      <c r="A20" s="552" t="s">
        <v>13</v>
      </c>
      <c r="B20" s="445"/>
      <c r="C20" s="446">
        <f t="shared" si="0"/>
        <v>0</v>
      </c>
      <c r="D20" s="447">
        <f t="shared" si="1"/>
        <v>0</v>
      </c>
      <c r="E20" s="448"/>
      <c r="F20" s="444"/>
      <c r="G20" s="249"/>
    </row>
    <row r="21" spans="1:10" ht="14.5">
      <c r="A21" s="574" t="s">
        <v>62</v>
      </c>
      <c r="B21" s="460">
        <f>SUM(B15:B20)*E21</f>
        <v>0</v>
      </c>
      <c r="C21" s="446">
        <f t="shared" si="0"/>
        <v>0</v>
      </c>
      <c r="D21" s="447">
        <f t="shared" si="1"/>
        <v>0</v>
      </c>
      <c r="E21" s="461">
        <v>0.05</v>
      </c>
      <c r="F21" s="449" t="s">
        <v>63</v>
      </c>
      <c r="G21" s="462"/>
      <c r="I21" s="89"/>
      <c r="J21" s="89"/>
    </row>
    <row r="22" spans="1:10" ht="14.5">
      <c r="A22" s="575" t="s">
        <v>64</v>
      </c>
      <c r="B22" s="450">
        <f>SUM(B15:B21)</f>
        <v>0</v>
      </c>
      <c r="C22" s="451">
        <f t="shared" si="0"/>
        <v>0</v>
      </c>
      <c r="D22" s="452">
        <f t="shared" si="1"/>
        <v>0</v>
      </c>
      <c r="E22" s="448"/>
      <c r="F22" s="449"/>
      <c r="G22" s="249"/>
      <c r="J22" s="170"/>
    </row>
    <row r="23" spans="1:10" ht="14.5">
      <c r="A23" s="572"/>
      <c r="B23" s="453"/>
      <c r="C23" s="460"/>
      <c r="D23" s="463"/>
      <c r="E23" s="464"/>
      <c r="F23" s="465"/>
      <c r="G23" s="249"/>
    </row>
    <row r="24" spans="1:10" ht="14.5">
      <c r="A24" s="573" t="s">
        <v>48</v>
      </c>
      <c r="B24" s="457"/>
      <c r="C24" s="443"/>
      <c r="D24" s="466"/>
      <c r="E24" s="443"/>
      <c r="F24" s="444"/>
      <c r="G24" s="249"/>
    </row>
    <row r="25" spans="1:10" ht="14.5">
      <c r="A25" s="576" t="s">
        <v>65</v>
      </c>
      <c r="B25" s="457"/>
      <c r="C25" s="443"/>
      <c r="D25" s="466"/>
      <c r="E25" s="443"/>
      <c r="F25" s="444"/>
      <c r="G25" s="249"/>
    </row>
    <row r="26" spans="1:10" ht="14.5">
      <c r="A26" s="577" t="s">
        <v>66</v>
      </c>
      <c r="B26" s="445"/>
      <c r="C26" s="446">
        <f t="shared" ref="C26" si="2">B26/TOTALDU</f>
        <v>0</v>
      </c>
      <c r="D26" s="447">
        <f t="shared" ref="D26" si="3">B26/GSF</f>
        <v>0</v>
      </c>
      <c r="E26" s="443"/>
      <c r="F26" s="444"/>
      <c r="G26" s="249"/>
    </row>
    <row r="27" spans="1:10" ht="14.5">
      <c r="A27" s="577" t="s">
        <v>67</v>
      </c>
      <c r="B27" s="445"/>
      <c r="C27" s="446">
        <f t="shared" ref="C27" si="4">B27/TOTALDU</f>
        <v>0</v>
      </c>
      <c r="D27" s="447">
        <f t="shared" ref="D27" si="5">B27/GSF</f>
        <v>0</v>
      </c>
      <c r="E27" s="443"/>
      <c r="F27" s="444"/>
      <c r="G27" s="249"/>
    </row>
    <row r="28" spans="1:10" ht="14.5">
      <c r="A28" s="577" t="s">
        <v>68</v>
      </c>
      <c r="B28" s="445"/>
      <c r="C28" s="446">
        <f t="shared" ref="C28:C29" si="6">B28/TOTALDU</f>
        <v>0</v>
      </c>
      <c r="D28" s="447">
        <f t="shared" ref="D28:D29" si="7">B28/GSF</f>
        <v>0</v>
      </c>
      <c r="E28" s="443"/>
      <c r="F28" s="444"/>
      <c r="G28" s="249"/>
    </row>
    <row r="29" spans="1:10" ht="14.5">
      <c r="A29" s="577" t="s">
        <v>69</v>
      </c>
      <c r="B29" s="445"/>
      <c r="C29" s="446">
        <f t="shared" si="6"/>
        <v>0</v>
      </c>
      <c r="D29" s="447">
        <f t="shared" si="7"/>
        <v>0</v>
      </c>
      <c r="E29" s="461" t="e">
        <f>B29/SUM(B17:B20)</f>
        <v>#DIV/0!</v>
      </c>
      <c r="F29" s="449" t="s">
        <v>70</v>
      </c>
      <c r="G29" s="249"/>
    </row>
    <row r="30" spans="1:10" ht="14.5">
      <c r="A30" s="577" t="s">
        <v>71</v>
      </c>
      <c r="B30" s="445"/>
      <c r="C30" s="446">
        <f t="shared" ref="C30:C33" si="8">B30/TOTALDU</f>
        <v>0</v>
      </c>
      <c r="D30" s="447">
        <f t="shared" ref="D30:D33" si="9">B30/GSF</f>
        <v>0</v>
      </c>
      <c r="E30" s="467"/>
      <c r="F30" s="449"/>
      <c r="G30" s="249"/>
    </row>
    <row r="31" spans="1:10" ht="14.5">
      <c r="A31" s="577" t="s">
        <v>72</v>
      </c>
      <c r="B31" s="445"/>
      <c r="C31" s="446">
        <f t="shared" ref="C31" si="10">B31/TOTALDU</f>
        <v>0</v>
      </c>
      <c r="D31" s="447">
        <f t="shared" ref="D31" si="11">B31/GSF</f>
        <v>0</v>
      </c>
      <c r="E31" s="468"/>
      <c r="F31" s="449" t="s">
        <v>73</v>
      </c>
      <c r="G31" s="249"/>
    </row>
    <row r="32" spans="1:10" ht="14.5">
      <c r="A32" s="577" t="s">
        <v>74</v>
      </c>
      <c r="B32" s="445"/>
      <c r="C32" s="446">
        <f t="shared" si="8"/>
        <v>0</v>
      </c>
      <c r="D32" s="447">
        <f t="shared" si="9"/>
        <v>0</v>
      </c>
      <c r="E32" s="467"/>
      <c r="F32" s="449"/>
      <c r="G32" s="249"/>
    </row>
    <row r="33" spans="1:8" ht="14.5">
      <c r="A33" s="578" t="s">
        <v>75</v>
      </c>
      <c r="B33" s="445"/>
      <c r="C33" s="446">
        <f t="shared" si="8"/>
        <v>0</v>
      </c>
      <c r="D33" s="447">
        <f t="shared" si="9"/>
        <v>0</v>
      </c>
      <c r="E33" s="461" t="e">
        <f>B33/SUM(B17:B20)</f>
        <v>#DIV/0!</v>
      </c>
      <c r="F33" s="449" t="s">
        <v>76</v>
      </c>
      <c r="G33" s="249"/>
    </row>
    <row r="34" spans="1:8" ht="14.5">
      <c r="A34" s="577" t="s">
        <v>77</v>
      </c>
      <c r="B34" s="445"/>
      <c r="C34" s="446">
        <f t="shared" ref="C34:C36" si="12">B34/TOTALDU</f>
        <v>0</v>
      </c>
      <c r="D34" s="447">
        <f t="shared" ref="D34:D36" si="13">B34/GSF</f>
        <v>0</v>
      </c>
      <c r="E34" s="448"/>
      <c r="F34" s="449"/>
      <c r="G34" s="249"/>
    </row>
    <row r="35" spans="1:8" ht="14.5">
      <c r="A35" s="577" t="s">
        <v>78</v>
      </c>
      <c r="B35" s="445"/>
      <c r="C35" s="446">
        <f t="shared" si="12"/>
        <v>0</v>
      </c>
      <c r="D35" s="447">
        <f t="shared" si="13"/>
        <v>0</v>
      </c>
      <c r="E35" s="448"/>
      <c r="F35" s="449"/>
      <c r="G35" s="249"/>
    </row>
    <row r="36" spans="1:8" ht="14.5">
      <c r="A36" s="574" t="s">
        <v>79</v>
      </c>
      <c r="B36" s="445"/>
      <c r="C36" s="446">
        <f t="shared" si="12"/>
        <v>0</v>
      </c>
      <c r="D36" s="447">
        <f t="shared" si="13"/>
        <v>0</v>
      </c>
      <c r="E36" s="448"/>
      <c r="F36" s="449"/>
      <c r="G36" s="249"/>
    </row>
    <row r="37" spans="1:8" ht="14.5">
      <c r="A37" s="574" t="s">
        <v>80</v>
      </c>
      <c r="B37" s="445"/>
      <c r="C37" s="446">
        <f t="shared" ref="C37:C38" si="14">B37/TOTALDU</f>
        <v>0</v>
      </c>
      <c r="D37" s="447">
        <f t="shared" ref="D37:D38" si="15">B37/GSF</f>
        <v>0</v>
      </c>
      <c r="E37" s="448"/>
      <c r="F37" s="449"/>
      <c r="G37" s="249"/>
    </row>
    <row r="38" spans="1:8" ht="14.5">
      <c r="A38" s="574" t="s">
        <v>81</v>
      </c>
      <c r="B38" s="445"/>
      <c r="C38" s="446">
        <f t="shared" si="14"/>
        <v>0</v>
      </c>
      <c r="D38" s="447">
        <f t="shared" si="15"/>
        <v>0</v>
      </c>
      <c r="E38" s="469"/>
      <c r="F38" s="449"/>
      <c r="G38" s="249"/>
    </row>
    <row r="39" spans="1:8" ht="14.5">
      <c r="A39" s="578" t="s">
        <v>82</v>
      </c>
      <c r="B39" s="445"/>
      <c r="C39" s="446">
        <f t="shared" ref="C39:C40" si="16">B39/TOTALDU</f>
        <v>0</v>
      </c>
      <c r="D39" s="447">
        <f t="shared" ref="D39:D40" si="17">B39/GSF</f>
        <v>0</v>
      </c>
      <c r="E39" s="461"/>
      <c r="F39" s="449"/>
      <c r="G39" s="249"/>
    </row>
    <row r="40" spans="1:8" ht="14.5">
      <c r="A40" s="575" t="s">
        <v>83</v>
      </c>
      <c r="B40" s="450">
        <f>SUM(B26:B39)</f>
        <v>0</v>
      </c>
      <c r="C40" s="451">
        <f t="shared" si="16"/>
        <v>0</v>
      </c>
      <c r="D40" s="452">
        <f t="shared" si="17"/>
        <v>0</v>
      </c>
      <c r="E40" s="448"/>
      <c r="F40" s="449"/>
      <c r="G40" s="249"/>
    </row>
    <row r="41" spans="1:8" ht="14.5">
      <c r="A41" s="574"/>
      <c r="B41" s="470"/>
      <c r="C41" s="470"/>
      <c r="D41" s="471"/>
      <c r="E41" s="448"/>
      <c r="F41" s="449"/>
      <c r="G41" s="249"/>
    </row>
    <row r="42" spans="1:8" ht="14.5">
      <c r="A42" s="576" t="s">
        <v>84</v>
      </c>
      <c r="B42" s="441"/>
      <c r="C42" s="442"/>
      <c r="D42" s="443"/>
      <c r="E42" s="443"/>
      <c r="F42" s="444"/>
      <c r="G42" s="249"/>
    </row>
    <row r="43" spans="1:8" ht="14.5">
      <c r="A43" s="574" t="s">
        <v>85</v>
      </c>
      <c r="B43" s="472">
        <f>E43*B79</f>
        <v>0</v>
      </c>
      <c r="C43" s="446">
        <f>B43/TOTALDU</f>
        <v>0</v>
      </c>
      <c r="D43" s="447">
        <f>B43/GSF</f>
        <v>0</v>
      </c>
      <c r="E43" s="473"/>
      <c r="F43" s="449" t="s">
        <v>86</v>
      </c>
      <c r="G43" s="249"/>
    </row>
    <row r="44" spans="1:8" ht="14.5">
      <c r="A44" s="574" t="s">
        <v>87</v>
      </c>
      <c r="B44" s="474">
        <v>1400</v>
      </c>
      <c r="C44" s="446">
        <f>B44/TOTALDU</f>
        <v>28</v>
      </c>
      <c r="D44" s="447">
        <f>B44/GSF</f>
        <v>26.25</v>
      </c>
      <c r="E44" s="469"/>
      <c r="F44" s="449"/>
      <c r="G44" s="249"/>
    </row>
    <row r="45" spans="1:8" ht="14.5">
      <c r="A45" s="574" t="s">
        <v>88</v>
      </c>
      <c r="B45" s="460">
        <f>E45*TOTALDU</f>
        <v>0</v>
      </c>
      <c r="C45" s="446">
        <f t="shared" ref="C45" si="18">B45/TOTALDU</f>
        <v>0</v>
      </c>
      <c r="D45" s="447">
        <f t="shared" ref="D45" si="19">B45/GSF</f>
        <v>0</v>
      </c>
      <c r="E45" s="475"/>
      <c r="F45" s="449" t="s">
        <v>89</v>
      </c>
      <c r="G45" s="249"/>
    </row>
    <row r="46" spans="1:8" ht="14.5">
      <c r="A46" s="574" t="s">
        <v>90</v>
      </c>
      <c r="B46" s="445"/>
      <c r="C46" s="446">
        <f t="shared" ref="C46" si="20">B46/TOTALDU</f>
        <v>0</v>
      </c>
      <c r="D46" s="447">
        <f t="shared" ref="D46" si="21">B46/GSF</f>
        <v>0</v>
      </c>
      <c r="E46" s="476">
        <v>100</v>
      </c>
      <c r="F46" s="449" t="s">
        <v>91</v>
      </c>
      <c r="G46" s="249"/>
    </row>
    <row r="47" spans="1:8" ht="14.5">
      <c r="A47" s="574" t="s">
        <v>92</v>
      </c>
      <c r="B47" s="446">
        <f>E47*SUM(B79:B81)</f>
        <v>144000</v>
      </c>
      <c r="C47" s="446">
        <f>B47/TOTALDU</f>
        <v>2880</v>
      </c>
      <c r="D47" s="447">
        <f>B47/GSF</f>
        <v>2700</v>
      </c>
      <c r="E47" s="477">
        <v>8.9999999999999993E-3</v>
      </c>
      <c r="F47" s="449" t="s">
        <v>93</v>
      </c>
      <c r="G47" s="249"/>
      <c r="H47" s="95"/>
    </row>
    <row r="48" spans="1:8" ht="14.5">
      <c r="A48" s="575" t="s">
        <v>83</v>
      </c>
      <c r="B48" s="450">
        <f>SUM(B43:B47)</f>
        <v>145400</v>
      </c>
      <c r="C48" s="451">
        <f t="shared" ref="C48" si="22">B48/TOTALDU</f>
        <v>2908</v>
      </c>
      <c r="D48" s="452">
        <f t="shared" ref="D48" si="23">B48/GSF</f>
        <v>2726.25</v>
      </c>
      <c r="E48" s="467"/>
      <c r="F48" s="449"/>
      <c r="G48" s="249"/>
    </row>
    <row r="49" spans="1:9" ht="14.5">
      <c r="A49" s="579"/>
      <c r="B49" s="457"/>
      <c r="C49" s="458"/>
      <c r="D49" s="459"/>
      <c r="E49" s="443"/>
      <c r="F49" s="444"/>
      <c r="G49" s="249"/>
    </row>
    <row r="50" spans="1:9" ht="14.5">
      <c r="A50" s="576" t="s">
        <v>94</v>
      </c>
      <c r="B50" s="457"/>
      <c r="C50" s="458"/>
      <c r="D50" s="459"/>
      <c r="E50" s="443"/>
      <c r="F50" s="444"/>
      <c r="G50" s="249"/>
    </row>
    <row r="51" spans="1:9" ht="14.5">
      <c r="A51" s="574" t="s">
        <v>95</v>
      </c>
      <c r="B51" s="446">
        <f>E51*B91</f>
        <v>0</v>
      </c>
      <c r="C51" s="446">
        <f t="shared" ref="C51" si="24">B51/TOTALDU</f>
        <v>0</v>
      </c>
      <c r="D51" s="447">
        <f>B51/GSF</f>
        <v>0</v>
      </c>
      <c r="E51" s="467">
        <v>6.0000000000000001E-3</v>
      </c>
      <c r="F51" s="449" t="s">
        <v>96</v>
      </c>
      <c r="G51" s="249"/>
    </row>
    <row r="52" spans="1:9" ht="14.5">
      <c r="A52" s="580" t="s">
        <v>97</v>
      </c>
      <c r="B52" s="453">
        <f>'Const. Loan Interest'!F23</f>
        <v>0</v>
      </c>
      <c r="C52" s="446">
        <f>B52/TOTALDU</f>
        <v>0</v>
      </c>
      <c r="D52" s="447">
        <f>B52/GSF</f>
        <v>0</v>
      </c>
      <c r="E52" s="448"/>
      <c r="F52" s="449"/>
      <c r="G52" s="249"/>
      <c r="I52" s="95"/>
    </row>
    <row r="53" spans="1:9" ht="14.5">
      <c r="A53" s="574" t="s">
        <v>98</v>
      </c>
      <c r="B53" s="460">
        <f>E53*TOTALDU</f>
        <v>0</v>
      </c>
      <c r="C53" s="446">
        <f t="shared" ref="C53" si="25">B53/TOTALDU</f>
        <v>0</v>
      </c>
      <c r="D53" s="447">
        <f t="shared" ref="D53" si="26">B53/GSF</f>
        <v>0</v>
      </c>
      <c r="E53" s="478"/>
      <c r="F53" s="449" t="s">
        <v>89</v>
      </c>
      <c r="G53" s="249"/>
      <c r="I53" s="95"/>
    </row>
    <row r="54" spans="1:9" ht="14.5">
      <c r="A54" s="574" t="s">
        <v>99</v>
      </c>
      <c r="B54" s="445"/>
      <c r="C54" s="446">
        <f t="shared" ref="C54:C69" si="27">B54/TOTALDU</f>
        <v>0</v>
      </c>
      <c r="D54" s="447">
        <f t="shared" ref="D54:D69" si="28">B54/GSF</f>
        <v>0</v>
      </c>
      <c r="E54" s="448"/>
      <c r="F54" s="449"/>
      <c r="G54" s="249"/>
    </row>
    <row r="55" spans="1:9" ht="14.5">
      <c r="A55" s="574" t="s">
        <v>100</v>
      </c>
      <c r="B55" s="446">
        <f>E55*TOTALDU</f>
        <v>75000</v>
      </c>
      <c r="C55" s="446">
        <f t="shared" si="27"/>
        <v>1500</v>
      </c>
      <c r="D55" s="447">
        <f t="shared" si="28"/>
        <v>1406.25</v>
      </c>
      <c r="E55" s="475">
        <v>1500</v>
      </c>
      <c r="F55" s="449" t="s">
        <v>89</v>
      </c>
      <c r="G55" s="249"/>
    </row>
    <row r="56" spans="1:9" ht="14.5">
      <c r="A56" s="574" t="s">
        <v>101</v>
      </c>
      <c r="B56" s="445"/>
      <c r="C56" s="446">
        <f t="shared" si="27"/>
        <v>0</v>
      </c>
      <c r="D56" s="447">
        <f t="shared" si="28"/>
        <v>0</v>
      </c>
      <c r="E56" s="448"/>
      <c r="F56" s="449"/>
      <c r="G56" s="249"/>
    </row>
    <row r="57" spans="1:9" ht="14.5">
      <c r="A57" s="574" t="s">
        <v>102</v>
      </c>
      <c r="B57" s="460">
        <f>E57*TOTALDU</f>
        <v>0</v>
      </c>
      <c r="C57" s="446">
        <f t="shared" si="27"/>
        <v>0</v>
      </c>
      <c r="D57" s="447">
        <f t="shared" si="28"/>
        <v>0</v>
      </c>
      <c r="E57" s="478"/>
      <c r="F57" s="449" t="s">
        <v>89</v>
      </c>
      <c r="G57" s="249"/>
    </row>
    <row r="58" spans="1:9" ht="14.5">
      <c r="A58" s="574" t="s">
        <v>103</v>
      </c>
      <c r="B58" s="718">
        <f>(B89+B90+B91)*0.004</f>
        <v>60000</v>
      </c>
      <c r="C58" s="446">
        <f t="shared" si="27"/>
        <v>1200</v>
      </c>
      <c r="D58" s="447">
        <f t="shared" si="28"/>
        <v>1125</v>
      </c>
      <c r="E58" s="467">
        <v>4.0000000000000001E-3</v>
      </c>
      <c r="F58" s="449" t="s">
        <v>104</v>
      </c>
      <c r="G58" s="249"/>
    </row>
    <row r="59" spans="1:9" ht="14.5">
      <c r="A59" s="574" t="s">
        <v>105</v>
      </c>
      <c r="B59" s="445"/>
      <c r="C59" s="446">
        <f t="shared" si="27"/>
        <v>0</v>
      </c>
      <c r="D59" s="447">
        <f t="shared" si="28"/>
        <v>0</v>
      </c>
      <c r="E59" s="448"/>
      <c r="F59" s="449"/>
      <c r="G59" s="249"/>
    </row>
    <row r="60" spans="1:9" ht="14.5">
      <c r="A60" s="574" t="s">
        <v>106</v>
      </c>
      <c r="B60" s="445"/>
      <c r="C60" s="446">
        <f t="shared" si="27"/>
        <v>0</v>
      </c>
      <c r="D60" s="447">
        <f t="shared" si="28"/>
        <v>0</v>
      </c>
      <c r="E60" s="448"/>
      <c r="F60" s="449"/>
      <c r="G60" s="249"/>
    </row>
    <row r="61" spans="1:9" ht="14.5">
      <c r="A61" s="574" t="s">
        <v>107</v>
      </c>
      <c r="B61" s="445"/>
      <c r="C61" s="446">
        <f t="shared" ref="C61:C62" si="29">B61/TOTALDU</f>
        <v>0</v>
      </c>
      <c r="D61" s="447">
        <f t="shared" ref="D61:D62" si="30">B61/GSF</f>
        <v>0</v>
      </c>
      <c r="E61" s="448"/>
      <c r="F61" s="449"/>
      <c r="G61" s="249"/>
    </row>
    <row r="62" spans="1:9" ht="14.5">
      <c r="A62" s="575" t="s">
        <v>83</v>
      </c>
      <c r="B62" s="450">
        <f>SUM(B51:B61)</f>
        <v>135000</v>
      </c>
      <c r="C62" s="451">
        <f t="shared" si="29"/>
        <v>2700</v>
      </c>
      <c r="D62" s="452">
        <f t="shared" si="30"/>
        <v>2531.25</v>
      </c>
      <c r="E62" s="448"/>
      <c r="F62" s="449"/>
      <c r="G62" s="249"/>
    </row>
    <row r="63" spans="1:9" ht="14.5">
      <c r="A63" s="579"/>
      <c r="B63" s="450"/>
      <c r="C63" s="450"/>
      <c r="D63" s="479"/>
      <c r="E63" s="448"/>
      <c r="F63" s="449"/>
      <c r="G63" s="249"/>
    </row>
    <row r="64" spans="1:9" ht="14.5">
      <c r="A64" s="576" t="s">
        <v>108</v>
      </c>
      <c r="B64" s="450"/>
      <c r="C64" s="450"/>
      <c r="D64" s="479"/>
      <c r="E64" s="448"/>
      <c r="F64" s="449"/>
      <c r="G64" s="249"/>
    </row>
    <row r="65" spans="1:8" ht="14.5">
      <c r="A65" s="574" t="s">
        <v>109</v>
      </c>
      <c r="B65" s="445"/>
      <c r="C65" s="446">
        <f t="shared" ref="C65:C67" si="31">B65/TOTALDU</f>
        <v>0</v>
      </c>
      <c r="D65" s="447">
        <f t="shared" ref="D65:D67" si="32">B65/GSF</f>
        <v>0</v>
      </c>
      <c r="E65" s="448"/>
      <c r="F65" s="449"/>
      <c r="G65" s="249"/>
    </row>
    <row r="66" spans="1:8" ht="14.5">
      <c r="A66" s="574" t="s">
        <v>110</v>
      </c>
      <c r="B66" s="460">
        <f>E66*TOTALDU</f>
        <v>0</v>
      </c>
      <c r="C66" s="446">
        <f t="shared" si="31"/>
        <v>0</v>
      </c>
      <c r="D66" s="447">
        <f t="shared" si="32"/>
        <v>0</v>
      </c>
      <c r="E66" s="478"/>
      <c r="F66" s="449" t="s">
        <v>111</v>
      </c>
      <c r="G66" s="249"/>
    </row>
    <row r="67" spans="1:8" ht="14.5">
      <c r="A67" s="575" t="s">
        <v>83</v>
      </c>
      <c r="B67" s="450">
        <f>SUM(B65:B66)</f>
        <v>0</v>
      </c>
      <c r="C67" s="451">
        <f t="shared" si="31"/>
        <v>0</v>
      </c>
      <c r="D67" s="452">
        <f t="shared" si="32"/>
        <v>0</v>
      </c>
      <c r="E67" s="480"/>
      <c r="F67" s="449"/>
      <c r="G67" s="249"/>
    </row>
    <row r="68" spans="1:8" ht="14.5">
      <c r="A68" s="579"/>
      <c r="B68" s="450"/>
      <c r="C68" s="450"/>
      <c r="D68" s="479"/>
      <c r="E68" s="448"/>
      <c r="F68" s="449"/>
      <c r="G68" s="249"/>
    </row>
    <row r="69" spans="1:8" ht="14.5">
      <c r="A69" s="574" t="s">
        <v>112</v>
      </c>
      <c r="B69" s="460">
        <f>SUM(B40,B48,B62)*E69</f>
        <v>14020</v>
      </c>
      <c r="C69" s="446">
        <f t="shared" si="27"/>
        <v>280.39999999999998</v>
      </c>
      <c r="D69" s="447">
        <f t="shared" si="28"/>
        <v>262.875</v>
      </c>
      <c r="E69" s="469">
        <v>0.05</v>
      </c>
      <c r="F69" s="449" t="s">
        <v>113</v>
      </c>
      <c r="G69" s="481"/>
      <c r="H69" s="109"/>
    </row>
    <row r="70" spans="1:8" ht="14.5">
      <c r="A70" s="579"/>
      <c r="B70" s="450"/>
      <c r="C70" s="450"/>
      <c r="D70" s="479"/>
      <c r="E70" s="448"/>
      <c r="F70" s="449"/>
      <c r="G70" s="481"/>
      <c r="H70" s="109"/>
    </row>
    <row r="71" spans="1:8" ht="14.5">
      <c r="A71" s="575" t="s">
        <v>114</v>
      </c>
      <c r="B71" s="450">
        <f>SUM(B62,B48,B40,B69,B67)</f>
        <v>294420</v>
      </c>
      <c r="C71" s="451">
        <f t="shared" ref="C71" si="33">B71/TOTALDU</f>
        <v>5888.4</v>
      </c>
      <c r="D71" s="452">
        <f t="shared" ref="D71" si="34">B71/GSF</f>
        <v>5520.375</v>
      </c>
      <c r="E71" s="469"/>
      <c r="F71" s="449"/>
      <c r="G71" s="249"/>
    </row>
    <row r="72" spans="1:8" ht="14.5">
      <c r="A72" s="574"/>
      <c r="B72" s="482"/>
      <c r="C72" s="460"/>
      <c r="D72" s="463"/>
      <c r="E72" s="464"/>
      <c r="F72" s="465"/>
      <c r="G72" s="249"/>
    </row>
    <row r="73" spans="1:8" ht="14.5">
      <c r="A73" s="573" t="s">
        <v>49</v>
      </c>
      <c r="B73" s="483">
        <f>SUM(B22,B40,B48,B62)*E73</f>
        <v>28040</v>
      </c>
      <c r="C73" s="483">
        <f>B73/TOTALDU</f>
        <v>560.79999999999995</v>
      </c>
      <c r="D73" s="484">
        <f>B73/GSF</f>
        <v>525.75</v>
      </c>
      <c r="E73" s="485">
        <v>0.1</v>
      </c>
      <c r="F73" s="486" t="s">
        <v>115</v>
      </c>
      <c r="G73" s="487"/>
    </row>
    <row r="74" spans="1:8" ht="14.5">
      <c r="A74" s="581"/>
      <c r="B74" s="460"/>
      <c r="C74" s="460"/>
      <c r="D74" s="463"/>
      <c r="E74" s="488"/>
      <c r="F74" s="486"/>
      <c r="G74" s="489"/>
    </row>
    <row r="75" spans="1:8" ht="14.5">
      <c r="A75" s="582" t="s">
        <v>116</v>
      </c>
      <c r="B75" s="583">
        <f>SUM(B73,B71,B22,B12)</f>
        <v>322460</v>
      </c>
      <c r="C75" s="583">
        <f>B75/TOTALDU</f>
        <v>6449.2</v>
      </c>
      <c r="D75" s="584">
        <f>B75/GSF</f>
        <v>6046.125</v>
      </c>
      <c r="E75" s="585"/>
      <c r="F75" s="586"/>
      <c r="G75" s="490"/>
    </row>
    <row r="76" spans="1:8" ht="14.5">
      <c r="A76" s="282"/>
      <c r="B76" s="282"/>
      <c r="C76" s="282"/>
      <c r="D76" s="282"/>
      <c r="E76" s="282"/>
      <c r="F76" s="282"/>
      <c r="G76" s="282"/>
    </row>
    <row r="77" spans="1:8" ht="14.5">
      <c r="A77" s="282"/>
      <c r="B77" s="282"/>
      <c r="C77" s="282"/>
      <c r="D77" s="282"/>
      <c r="E77" s="282"/>
      <c r="F77" s="282"/>
      <c r="G77" s="282"/>
    </row>
    <row r="78" spans="1:8" ht="14.5">
      <c r="A78" s="672" t="s">
        <v>39</v>
      </c>
      <c r="B78" s="587" t="s">
        <v>117</v>
      </c>
      <c r="C78" s="587" t="s">
        <v>40</v>
      </c>
      <c r="D78" s="673" t="s">
        <v>118</v>
      </c>
      <c r="E78" s="282"/>
      <c r="F78" s="282"/>
      <c r="G78" s="249"/>
      <c r="H78" s="51"/>
    </row>
    <row r="79" spans="1:8" ht="14.5">
      <c r="A79" s="574" t="s">
        <v>119</v>
      </c>
      <c r="B79" s="445">
        <v>1000000</v>
      </c>
      <c r="C79" s="446">
        <f>B79/TOTALDU</f>
        <v>20000</v>
      </c>
      <c r="D79" s="491">
        <f t="shared" ref="D79:D83" si="35">B79/TDC</f>
        <v>3.101159833777833</v>
      </c>
      <c r="E79" s="282"/>
      <c r="F79" s="282"/>
      <c r="G79" s="249"/>
    </row>
    <row r="80" spans="1:8" ht="14.5">
      <c r="A80" s="574" t="s">
        <v>120</v>
      </c>
      <c r="B80" s="446">
        <f>B89</f>
        <v>15000000</v>
      </c>
      <c r="C80" s="447">
        <f t="shared" ref="C80:C82" si="36">B80/TOTALDU</f>
        <v>300000</v>
      </c>
      <c r="D80" s="491">
        <f t="shared" si="35"/>
        <v>46.517397506667493</v>
      </c>
      <c r="E80" s="282"/>
      <c r="F80" s="282"/>
      <c r="G80" s="249"/>
    </row>
    <row r="81" spans="1:8" ht="14.5">
      <c r="A81" s="574" t="s">
        <v>121</v>
      </c>
      <c r="B81" s="446">
        <f>TOTALAHC</f>
        <v>0</v>
      </c>
      <c r="C81" s="447">
        <f t="shared" si="36"/>
        <v>0</v>
      </c>
      <c r="D81" s="491">
        <f t="shared" si="35"/>
        <v>0</v>
      </c>
      <c r="E81" s="282"/>
      <c r="F81" s="282"/>
      <c r="G81" s="249"/>
    </row>
    <row r="82" spans="1:8" ht="14.5">
      <c r="A82" s="552" t="s">
        <v>122</v>
      </c>
      <c r="B82" s="446">
        <f>(TDC-B73)*0.1</f>
        <v>29442</v>
      </c>
      <c r="C82" s="447">
        <f t="shared" si="36"/>
        <v>588.84</v>
      </c>
      <c r="D82" s="491">
        <f t="shared" si="35"/>
        <v>9.1304347826086957E-2</v>
      </c>
      <c r="E82" s="492"/>
      <c r="F82" s="282"/>
      <c r="G82" s="249"/>
    </row>
    <row r="83" spans="1:8" ht="14.5">
      <c r="A83" s="552" t="s">
        <v>123</v>
      </c>
      <c r="B83" s="472">
        <f>B73</f>
        <v>28040</v>
      </c>
      <c r="C83" s="446">
        <f t="shared" ref="C83" si="37">B83/TOTALDU</f>
        <v>560.79999999999995</v>
      </c>
      <c r="D83" s="491">
        <f t="shared" si="35"/>
        <v>8.6956521739130432E-2</v>
      </c>
      <c r="E83" s="492"/>
      <c r="F83" s="282"/>
      <c r="G83" s="249"/>
    </row>
    <row r="84" spans="1:8" ht="14.5">
      <c r="A84" s="552" t="s">
        <v>124</v>
      </c>
      <c r="B84" s="460">
        <f>B67</f>
        <v>0</v>
      </c>
      <c r="C84" s="446">
        <f>B84/TOTALDU</f>
        <v>0</v>
      </c>
      <c r="D84" s="491">
        <f t="shared" ref="D84:D85" si="38">B84/TDC</f>
        <v>0</v>
      </c>
      <c r="E84" s="492"/>
      <c r="F84" s="282"/>
      <c r="G84" s="249"/>
    </row>
    <row r="85" spans="1:8" ht="14.5">
      <c r="A85" s="552" t="s">
        <v>125</v>
      </c>
      <c r="B85" s="472">
        <f>TDC-B79-B80-B81-B82-B83-B84</f>
        <v>-15735022</v>
      </c>
      <c r="C85" s="446">
        <f>B85/TOTALDU</f>
        <v>-314700.44</v>
      </c>
      <c r="D85" s="491">
        <f t="shared" si="38"/>
        <v>-48.796818210010542</v>
      </c>
      <c r="E85" s="492"/>
      <c r="F85" s="282"/>
      <c r="G85" s="249"/>
    </row>
    <row r="86" spans="1:8" ht="14.5">
      <c r="A86" s="588" t="s">
        <v>27</v>
      </c>
      <c r="B86" s="589">
        <f>SUM(B79:B85)</f>
        <v>322460</v>
      </c>
      <c r="C86" s="583">
        <f>B86/TOTALDU</f>
        <v>6449.2</v>
      </c>
      <c r="D86" s="590">
        <f>B86/TDC</f>
        <v>1</v>
      </c>
      <c r="E86" s="492"/>
      <c r="F86" s="282"/>
      <c r="G86" s="249"/>
    </row>
    <row r="87" spans="1:8" ht="14.5">
      <c r="A87" s="282"/>
      <c r="B87" s="446"/>
      <c r="C87" s="446"/>
      <c r="D87" s="446"/>
      <c r="E87" s="492"/>
      <c r="F87" s="282"/>
      <c r="G87" s="249"/>
    </row>
    <row r="88" spans="1:8" ht="14.5">
      <c r="A88" s="672" t="s">
        <v>126</v>
      </c>
      <c r="B88" s="587" t="s">
        <v>27</v>
      </c>
      <c r="C88" s="587" t="s">
        <v>40</v>
      </c>
      <c r="D88" s="673" t="s">
        <v>118</v>
      </c>
      <c r="E88" s="492"/>
      <c r="F88" s="282"/>
      <c r="G88" s="249"/>
    </row>
    <row r="89" spans="1:8" ht="14.5">
      <c r="A89" s="574" t="str">
        <f>A80</f>
        <v>NYC HPD Open Door</v>
      </c>
      <c r="B89" s="460">
        <v>15000000</v>
      </c>
      <c r="C89" s="446">
        <f>B89/TOTALDU</f>
        <v>300000</v>
      </c>
      <c r="D89" s="491">
        <f>B89/TDC</f>
        <v>46.517397506667493</v>
      </c>
      <c r="E89" s="492"/>
      <c r="F89" s="282"/>
      <c r="G89" s="249"/>
    </row>
    <row r="90" spans="1:8" ht="14.5">
      <c r="A90" s="574" t="str">
        <f>A81</f>
        <v>NYS Affordable Housing Corporation (AHC)</v>
      </c>
      <c r="B90" s="446">
        <f>B81</f>
        <v>0</v>
      </c>
      <c r="C90" s="446">
        <f>C81</f>
        <v>0</v>
      </c>
      <c r="D90" s="491">
        <f>B90/TDC</f>
        <v>0</v>
      </c>
      <c r="E90" s="492"/>
      <c r="F90" s="282"/>
      <c r="G90" s="493"/>
    </row>
    <row r="91" spans="1:8" ht="14.5">
      <c r="A91" s="574" t="s">
        <v>127</v>
      </c>
      <c r="B91" s="446">
        <f>'Sale Proceeds'!C79</f>
        <v>0</v>
      </c>
      <c r="C91" s="446">
        <f t="shared" ref="C91" si="39">B91/TOTALDU</f>
        <v>0</v>
      </c>
      <c r="D91" s="491">
        <f>B91/TDC</f>
        <v>0</v>
      </c>
      <c r="E91" s="282"/>
      <c r="F91" s="282"/>
      <c r="G91" s="249"/>
    </row>
    <row r="92" spans="1:8" ht="14.5">
      <c r="A92" s="552" t="s">
        <v>125</v>
      </c>
      <c r="B92" s="472">
        <f>TDC-B89-B90-B91</f>
        <v>-14677540</v>
      </c>
      <c r="C92" s="446">
        <f>B92/TOTALDU</f>
        <v>-293550.8</v>
      </c>
      <c r="D92" s="491">
        <f>B92/TDC</f>
        <v>-45.517397506667493</v>
      </c>
      <c r="E92" s="282"/>
      <c r="F92" s="282"/>
      <c r="G92" s="249"/>
    </row>
    <row r="93" spans="1:8" ht="14.5">
      <c r="A93" s="588" t="s">
        <v>128</v>
      </c>
      <c r="B93" s="589">
        <f>SUM(B89:B92)</f>
        <v>322460</v>
      </c>
      <c r="C93" s="583">
        <f>B93/TOTALDU</f>
        <v>6449.2</v>
      </c>
      <c r="D93" s="590">
        <f>B93/TDC</f>
        <v>1</v>
      </c>
      <c r="E93" s="492"/>
      <c r="F93" s="282"/>
      <c r="G93" s="249"/>
      <c r="H93" s="109"/>
    </row>
    <row r="94" spans="1:8" ht="14.5">
      <c r="A94" s="282"/>
      <c r="B94" s="453"/>
      <c r="C94" s="492"/>
      <c r="D94" s="485"/>
      <c r="E94" s="492"/>
      <c r="F94" s="282"/>
      <c r="G94" s="249"/>
    </row>
    <row r="95" spans="1:8" ht="14.5">
      <c r="A95" s="249"/>
      <c r="B95" s="437"/>
      <c r="C95" s="436"/>
      <c r="D95" s="436"/>
      <c r="E95" s="436"/>
      <c r="F95" s="249"/>
      <c r="G95" s="249"/>
    </row>
    <row r="96" spans="1:8" ht="14.5">
      <c r="A96" s="249" t="s">
        <v>129</v>
      </c>
      <c r="B96" s="445"/>
      <c r="C96" s="436"/>
      <c r="D96" s="436"/>
      <c r="E96" s="436"/>
      <c r="F96" s="249"/>
      <c r="G96" s="249"/>
    </row>
    <row r="97" spans="1:7" ht="14.5">
      <c r="A97" s="249"/>
      <c r="B97" s="437"/>
      <c r="C97" s="436"/>
      <c r="D97" s="436"/>
      <c r="E97" s="436"/>
      <c r="F97" s="249"/>
      <c r="G97" s="249"/>
    </row>
    <row r="98" spans="1:7" ht="14.5">
      <c r="A98" s="249"/>
      <c r="B98" s="437"/>
      <c r="C98" s="436"/>
      <c r="D98" s="436"/>
      <c r="E98" s="436"/>
      <c r="F98" s="249"/>
      <c r="G98" s="249"/>
    </row>
    <row r="99" spans="1:7" ht="14.5">
      <c r="A99" s="249"/>
      <c r="B99" s="437"/>
      <c r="C99" s="436"/>
      <c r="D99" s="436"/>
      <c r="E99" s="436"/>
      <c r="F99" s="249"/>
      <c r="G99" s="249"/>
    </row>
    <row r="100" spans="1:7" ht="14.5">
      <c r="A100" s="249"/>
      <c r="B100" s="437"/>
      <c r="C100" s="436"/>
      <c r="D100" s="436"/>
      <c r="E100" s="436"/>
      <c r="F100" s="249"/>
      <c r="G100" s="249"/>
    </row>
  </sheetData>
  <sheetProtection selectLockedCells="1"/>
  <mergeCells count="1">
    <mergeCell ref="E8:F8"/>
  </mergeCells>
  <pageMargins left="0.7" right="0.7" top="0.75" bottom="0.75" header="0.3" footer="0.3"/>
  <pageSetup scale="59" orientation="portrait" r:id="rId1"/>
  <headerFooter>
    <oddHeader>&amp;L&amp;"Arial,Bold"&amp;12&amp;A&amp;R&amp;"Arial,Regular"&amp;D</oddHeader>
    <oddFooter>&amp;L&amp;"Arial,Regular"&amp;9&amp;F&amp;R&amp;"Arial,Italic"&amp;10&amp;P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9"/>
  <sheetViews>
    <sheetView zoomScaleNormal="100" zoomScaleSheetLayoutView="115" workbookViewId="0">
      <selection activeCell="E32" sqref="E32"/>
    </sheetView>
  </sheetViews>
  <sheetFormatPr defaultColWidth="9.08984375" defaultRowHeight="14"/>
  <cols>
    <col min="1" max="1" width="22.36328125" style="171" customWidth="1"/>
    <col min="2" max="2" width="16.6328125" style="171" customWidth="1"/>
    <col min="3" max="3" width="15.6328125" style="172" customWidth="1"/>
    <col min="4" max="4" width="24.08984375" style="172" bestFit="1" customWidth="1"/>
    <col min="5" max="5" width="14.453125" style="172" bestFit="1" customWidth="1"/>
    <col min="6" max="6" width="15.6328125" style="172" bestFit="1" customWidth="1"/>
    <col min="7" max="7" width="20.6328125" style="172" bestFit="1" customWidth="1"/>
    <col min="8" max="8" width="14.453125" style="172" bestFit="1" customWidth="1"/>
    <col min="9" max="9" width="17.453125" style="172" customWidth="1"/>
    <col min="10" max="10" width="17.90625" style="172" customWidth="1"/>
    <col min="11" max="16384" width="9.08984375" style="172"/>
  </cols>
  <sheetData>
    <row r="1" spans="1:7" ht="14.5">
      <c r="A1" s="250" t="str">
        <f>'Project Overview'!A1</f>
        <v>Project Name</v>
      </c>
      <c r="B1" s="409"/>
      <c r="C1" s="325">
        <f>'Project Overview'!C1</f>
        <v>0</v>
      </c>
      <c r="D1" s="410"/>
      <c r="E1" s="410"/>
      <c r="F1" s="410"/>
      <c r="G1" s="410"/>
    </row>
    <row r="2" spans="1:7" ht="14.5">
      <c r="A2" s="250" t="str">
        <f>'Project Overview'!A2</f>
        <v>Developer</v>
      </c>
      <c r="B2" s="409"/>
      <c r="C2" s="330">
        <f>'Project Overview'!C2</f>
        <v>0</v>
      </c>
      <c r="D2" s="410"/>
      <c r="E2" s="410"/>
      <c r="F2" s="410"/>
      <c r="G2" s="410"/>
    </row>
    <row r="3" spans="1:7" ht="15.5">
      <c r="A3" s="250" t="str">
        <f>'Project Overview'!A3</f>
        <v>Address</v>
      </c>
      <c r="B3" s="409"/>
      <c r="C3" s="325">
        <f>'Project Overview'!C3</f>
        <v>0</v>
      </c>
      <c r="D3" s="255"/>
      <c r="E3" s="255" t="str">
        <f>'Project Overview'!$D$3</f>
        <v>Units:</v>
      </c>
      <c r="F3" s="256">
        <f>'Project Overview'!$E$3</f>
        <v>50</v>
      </c>
      <c r="G3" s="410"/>
    </row>
    <row r="4" spans="1:7" ht="14.5">
      <c r="A4" s="250" t="str">
        <f>'Project Overview'!A4</f>
        <v>BBL</v>
      </c>
      <c r="B4" s="409"/>
      <c r="C4" s="325">
        <f>'Project Overview'!C4</f>
        <v>0</v>
      </c>
      <c r="D4" s="410"/>
      <c r="E4" s="410"/>
      <c r="F4" s="410"/>
      <c r="G4" s="410"/>
    </row>
    <row r="5" spans="1:7" ht="14.5">
      <c r="A5" s="409"/>
      <c r="B5" s="409"/>
      <c r="C5" s="410"/>
      <c r="D5" s="410"/>
      <c r="E5" s="410"/>
      <c r="F5" s="410"/>
      <c r="G5" s="410"/>
    </row>
    <row r="6" spans="1:7" ht="14.5">
      <c r="A6" s="411" t="s">
        <v>97</v>
      </c>
      <c r="B6" s="409"/>
      <c r="C6" s="410"/>
      <c r="D6" s="412"/>
      <c r="E6" s="412"/>
      <c r="F6" s="410"/>
      <c r="G6" s="410"/>
    </row>
    <row r="7" spans="1:7" ht="15" thickBot="1">
      <c r="A7" s="409"/>
      <c r="B7" s="409"/>
      <c r="C7" s="410"/>
      <c r="D7" s="413"/>
      <c r="E7" s="412"/>
      <c r="F7" s="410"/>
      <c r="G7" s="410"/>
    </row>
    <row r="8" spans="1:7" ht="14.5">
      <c r="A8" s="414" t="s">
        <v>130</v>
      </c>
      <c r="B8" s="591" t="s">
        <v>131</v>
      </c>
      <c r="C8" s="410"/>
      <c r="D8" s="415"/>
      <c r="E8" s="412"/>
      <c r="F8" s="328"/>
      <c r="G8" s="410"/>
    </row>
    <row r="9" spans="1:7" ht="14.5">
      <c r="A9" s="416" t="s">
        <v>132</v>
      </c>
      <c r="B9" s="417"/>
      <c r="C9" s="410"/>
      <c r="D9" s="418"/>
      <c r="E9" s="410"/>
      <c r="F9" s="410"/>
      <c r="G9" s="410"/>
    </row>
    <row r="10" spans="1:7" ht="14.5">
      <c r="A10" s="419" t="s">
        <v>102</v>
      </c>
      <c r="B10" s="592"/>
      <c r="C10" s="410"/>
      <c r="D10" s="412"/>
      <c r="E10" s="410"/>
      <c r="F10" s="410"/>
      <c r="G10" s="410"/>
    </row>
    <row r="11" spans="1:7" ht="15" thickBot="1">
      <c r="A11" s="593" t="s">
        <v>133</v>
      </c>
      <c r="B11" s="674">
        <f>B10+B9</f>
        <v>0</v>
      </c>
      <c r="C11" s="410"/>
      <c r="D11" s="415"/>
      <c r="E11" s="410"/>
      <c r="F11" s="410"/>
      <c r="G11" s="410"/>
    </row>
    <row r="12" spans="1:7" ht="15" thickBot="1">
      <c r="A12" s="409"/>
      <c r="B12" s="409"/>
      <c r="C12" s="410"/>
      <c r="D12" s="329"/>
      <c r="E12" s="412"/>
      <c r="F12" s="328"/>
      <c r="G12" s="410"/>
    </row>
    <row r="13" spans="1:7" ht="14.5">
      <c r="A13" s="414" t="s">
        <v>134</v>
      </c>
      <c r="B13" s="591"/>
      <c r="C13" s="410"/>
      <c r="D13" s="329"/>
      <c r="E13" s="412"/>
      <c r="F13" s="328"/>
      <c r="G13" s="410"/>
    </row>
    <row r="14" spans="1:7" ht="14.5">
      <c r="A14" s="416" t="s">
        <v>119</v>
      </c>
      <c r="B14" s="420"/>
      <c r="C14" s="410"/>
      <c r="D14" s="329"/>
      <c r="E14" s="412"/>
      <c r="F14" s="328"/>
      <c r="G14" s="410"/>
    </row>
    <row r="15" spans="1:7" ht="15" thickBot="1">
      <c r="A15" s="594" t="s">
        <v>135</v>
      </c>
      <c r="B15" s="675">
        <v>2.5000000000000001E-3</v>
      </c>
      <c r="C15" s="410"/>
      <c r="D15" s="329"/>
      <c r="E15" s="412"/>
      <c r="F15" s="328"/>
      <c r="G15" s="410"/>
    </row>
    <row r="16" spans="1:7" ht="14.5">
      <c r="A16" s="409"/>
      <c r="B16" s="409"/>
      <c r="C16" s="410"/>
      <c r="D16" s="329"/>
      <c r="E16" s="412"/>
      <c r="F16" s="328"/>
      <c r="G16" s="410"/>
    </row>
    <row r="17" spans="1:10" ht="15" thickBot="1">
      <c r="A17" s="409"/>
      <c r="B17" s="409"/>
      <c r="C17" s="410"/>
      <c r="D17" s="329"/>
      <c r="E17" s="412"/>
      <c r="F17" s="328"/>
      <c r="G17" s="410"/>
    </row>
    <row r="18" spans="1:10" ht="14.5">
      <c r="A18" s="414" t="s">
        <v>136</v>
      </c>
      <c r="B18" s="421"/>
      <c r="C18" s="422"/>
      <c r="D18" s="422"/>
      <c r="E18" s="422"/>
      <c r="F18" s="595"/>
      <c r="G18" s="410"/>
    </row>
    <row r="19" spans="1:10" ht="14.5">
      <c r="A19" s="423"/>
      <c r="B19" s="424" t="s">
        <v>137</v>
      </c>
      <c r="C19" s="425" t="s">
        <v>138</v>
      </c>
      <c r="D19" s="426" t="s">
        <v>139</v>
      </c>
      <c r="E19" s="425" t="s">
        <v>140</v>
      </c>
      <c r="F19" s="427" t="s">
        <v>141</v>
      </c>
      <c r="G19" s="410"/>
    </row>
    <row r="20" spans="1:10" ht="14.5">
      <c r="A20" s="416" t="s">
        <v>119</v>
      </c>
      <c r="B20" s="428">
        <f>'Dev Budget'!B79</f>
        <v>1000000</v>
      </c>
      <c r="C20" s="429"/>
      <c r="D20" s="426">
        <f>B9/12</f>
        <v>0</v>
      </c>
      <c r="E20" s="430">
        <f>B14</f>
        <v>0</v>
      </c>
      <c r="F20" s="431">
        <f>B20*C20*D20*E20</f>
        <v>0</v>
      </c>
      <c r="G20" s="328"/>
    </row>
    <row r="21" spans="1:10" ht="14.5">
      <c r="A21" s="416"/>
      <c r="B21" s="428">
        <f>B20</f>
        <v>1000000</v>
      </c>
      <c r="C21" s="432">
        <v>1</v>
      </c>
      <c r="D21" s="426">
        <f>B10/12</f>
        <v>0</v>
      </c>
      <c r="E21" s="430">
        <f>E20</f>
        <v>0</v>
      </c>
      <c r="F21" s="431">
        <f>B21*C21*D21*E21</f>
        <v>0</v>
      </c>
      <c r="G21" s="328"/>
    </row>
    <row r="22" spans="1:10" ht="14.5">
      <c r="A22" s="416" t="s">
        <v>135</v>
      </c>
      <c r="B22" s="428">
        <f>'Dev Budget'!B80</f>
        <v>15000000</v>
      </c>
      <c r="C22" s="432">
        <v>1</v>
      </c>
      <c r="D22" s="426">
        <f>B11/12</f>
        <v>0</v>
      </c>
      <c r="E22" s="430">
        <f>B15</f>
        <v>2.5000000000000001E-3</v>
      </c>
      <c r="F22" s="431">
        <f>B22*C22*D22*E22</f>
        <v>0</v>
      </c>
      <c r="G22" s="328"/>
    </row>
    <row r="23" spans="1:10" ht="15" thickBot="1">
      <c r="A23" s="596"/>
      <c r="B23" s="433"/>
      <c r="C23" s="433"/>
      <c r="D23" s="434"/>
      <c r="E23" s="597" t="s">
        <v>142</v>
      </c>
      <c r="F23" s="676">
        <f>SUM(F20:F22)</f>
        <v>0</v>
      </c>
      <c r="G23" s="410"/>
    </row>
    <row r="24" spans="1:10" ht="14.5">
      <c r="A24" s="435"/>
      <c r="B24" s="435"/>
      <c r="C24" s="412"/>
      <c r="D24" s="329"/>
      <c r="E24" s="412"/>
      <c r="F24" s="329"/>
      <c r="G24" s="410"/>
    </row>
    <row r="25" spans="1:10" ht="14.5">
      <c r="A25" s="409"/>
      <c r="B25" s="409"/>
      <c r="C25" s="410"/>
      <c r="D25" s="412"/>
      <c r="E25" s="412"/>
      <c r="F25" s="328"/>
      <c r="G25" s="410"/>
    </row>
    <row r="26" spans="1:10">
      <c r="A26" s="176"/>
      <c r="B26" s="176"/>
      <c r="C26" s="101"/>
      <c r="D26" s="173"/>
      <c r="E26" s="173"/>
      <c r="F26" s="101"/>
    </row>
    <row r="27" spans="1:10">
      <c r="C27" s="101"/>
      <c r="D27" s="174"/>
      <c r="E27" s="173"/>
      <c r="F27" s="101"/>
    </row>
    <row r="28" spans="1:10">
      <c r="C28" s="101"/>
      <c r="D28" s="103"/>
      <c r="E28" s="173"/>
      <c r="F28" s="101"/>
    </row>
    <row r="29" spans="1:10">
      <c r="C29" s="101"/>
      <c r="D29" s="103"/>
      <c r="E29" s="173"/>
      <c r="F29" s="101"/>
    </row>
    <row r="30" spans="1:10">
      <c r="A30" s="116"/>
      <c r="B30" s="177"/>
      <c r="C30" s="178"/>
      <c r="D30" s="103"/>
      <c r="E30" s="173"/>
    </row>
    <row r="31" spans="1:10">
      <c r="A31" s="138"/>
      <c r="B31" s="177"/>
      <c r="C31" s="178"/>
      <c r="D31" s="103"/>
      <c r="E31" s="173"/>
    </row>
    <row r="32" spans="1:10">
      <c r="A32" s="179"/>
      <c r="B32" s="147"/>
      <c r="C32" s="178"/>
      <c r="D32" s="103"/>
      <c r="E32" s="173"/>
      <c r="G32" s="180"/>
      <c r="H32" s="180"/>
      <c r="I32" s="782"/>
      <c r="J32" s="782"/>
    </row>
    <row r="33" spans="1:10">
      <c r="A33" s="175"/>
      <c r="B33" s="175"/>
      <c r="C33" s="173"/>
      <c r="D33" s="173"/>
      <c r="E33" s="173"/>
      <c r="G33" s="181"/>
      <c r="H33" s="102"/>
      <c r="I33" s="178"/>
      <c r="J33" s="103"/>
    </row>
    <row r="34" spans="1:10">
      <c r="G34" s="181"/>
      <c r="H34" s="102"/>
      <c r="I34" s="178"/>
      <c r="J34" s="103"/>
    </row>
    <row r="35" spans="1:10">
      <c r="G35" s="103"/>
      <c r="H35" s="102"/>
      <c r="I35" s="178"/>
      <c r="J35" s="103"/>
    </row>
    <row r="36" spans="1:10">
      <c r="G36" s="103"/>
      <c r="H36" s="102"/>
      <c r="I36" s="178"/>
      <c r="J36" s="103"/>
    </row>
    <row r="37" spans="1:10">
      <c r="G37" s="103"/>
      <c r="H37" s="102"/>
      <c r="I37" s="178"/>
      <c r="J37" s="103"/>
    </row>
    <row r="38" spans="1:10">
      <c r="G38" s="103"/>
      <c r="H38" s="182"/>
      <c r="I38" s="178"/>
      <c r="J38" s="103"/>
    </row>
    <row r="39" spans="1:10">
      <c r="G39" s="50"/>
      <c r="H39" s="183"/>
      <c r="I39" s="103"/>
      <c r="J39" s="103"/>
    </row>
  </sheetData>
  <mergeCells count="1">
    <mergeCell ref="I32:J32"/>
  </mergeCells>
  <pageMargins left="0.7" right="0.7" top="0.75" bottom="0.75" header="0.3" footer="0.3"/>
  <pageSetup scale="83" orientation="portrait" r:id="rId1"/>
  <colBreaks count="1" manualBreakCount="1">
    <brk id="6" max="2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113"/>
  <sheetViews>
    <sheetView zoomScaleNormal="100" zoomScaleSheetLayoutView="100" workbookViewId="0">
      <selection activeCell="F17" sqref="F17"/>
    </sheetView>
  </sheetViews>
  <sheetFormatPr defaultColWidth="25.08984375" defaultRowHeight="14"/>
  <cols>
    <col min="1" max="1" width="19.90625" style="54" customWidth="1"/>
    <col min="2" max="2" width="18.36328125" style="54" customWidth="1"/>
    <col min="3" max="4" width="21.90625" style="54" customWidth="1"/>
    <col min="5" max="5" width="27.08984375" style="54" customWidth="1"/>
    <col min="6" max="6" width="21.08984375" style="54" customWidth="1"/>
    <col min="7" max="7" width="9.6328125" style="54" customWidth="1"/>
    <col min="8" max="10" width="15.6328125" style="54" customWidth="1"/>
    <col min="11" max="11" width="5.6328125" style="54" customWidth="1"/>
    <col min="12" max="14" width="15.6328125" style="54" customWidth="1"/>
    <col min="15" max="16384" width="25.08984375" style="54"/>
  </cols>
  <sheetData>
    <row r="1" spans="1:14" s="63" customFormat="1">
      <c r="A1" s="50" t="str">
        <f>'Project Overview'!A1</f>
        <v>Project Name</v>
      </c>
      <c r="I1" s="78"/>
      <c r="J1" s="78"/>
    </row>
    <row r="2" spans="1:14" s="63" customFormat="1">
      <c r="A2" s="50" t="str">
        <f>'Project Overview'!A2</f>
        <v>Developer</v>
      </c>
      <c r="I2" s="78"/>
      <c r="J2" s="78"/>
    </row>
    <row r="3" spans="1:14" s="63" customFormat="1">
      <c r="A3" s="50" t="str">
        <f>'Project Overview'!A3</f>
        <v>Address</v>
      </c>
      <c r="F3" s="69"/>
      <c r="G3" s="69"/>
      <c r="H3" s="69"/>
      <c r="I3" s="196"/>
      <c r="J3" s="196"/>
      <c r="K3" s="67"/>
    </row>
    <row r="4" spans="1:14" s="63" customFormat="1">
      <c r="A4" s="50" t="str">
        <f>'Project Overview'!A4</f>
        <v>BBL</v>
      </c>
      <c r="D4" s="185"/>
      <c r="F4" s="69"/>
      <c r="G4" s="69"/>
      <c r="H4" s="187"/>
      <c r="I4" s="187"/>
      <c r="J4" s="187"/>
      <c r="K4" s="187"/>
    </row>
    <row r="5" spans="1:14" s="63" customFormat="1">
      <c r="A5" s="64"/>
      <c r="D5" s="185"/>
      <c r="F5" s="69"/>
      <c r="G5" s="69"/>
      <c r="H5" s="187"/>
      <c r="I5" s="187"/>
      <c r="J5" s="187"/>
      <c r="K5" s="187"/>
    </row>
    <row r="6" spans="1:14" s="63" customFormat="1">
      <c r="A6" s="64" t="s">
        <v>143</v>
      </c>
      <c r="F6" s="69"/>
      <c r="G6" s="69"/>
      <c r="H6" s="224" t="s">
        <v>144</v>
      </c>
      <c r="I6" s="187"/>
      <c r="J6" s="187"/>
      <c r="K6" s="187"/>
      <c r="L6" s="226" t="s">
        <v>145</v>
      </c>
      <c r="M6" s="136"/>
      <c r="N6" s="193"/>
    </row>
    <row r="7" spans="1:14" s="63" customFormat="1">
      <c r="B7" s="598" t="s">
        <v>146</v>
      </c>
      <c r="C7" s="724">
        <v>0.7</v>
      </c>
      <c r="D7" s="599">
        <v>0.33</v>
      </c>
      <c r="E7" s="599">
        <v>0.33</v>
      </c>
      <c r="G7" s="69"/>
      <c r="H7" s="677" t="s">
        <v>147</v>
      </c>
      <c r="I7" s="599">
        <v>0.5</v>
      </c>
      <c r="J7" s="599">
        <v>1</v>
      </c>
      <c r="K7" s="187"/>
      <c r="L7" s="677" t="s">
        <v>147</v>
      </c>
      <c r="M7" s="599">
        <v>0.5</v>
      </c>
      <c r="N7" s="599">
        <v>1</v>
      </c>
    </row>
    <row r="8" spans="1:14" s="58" customFormat="1">
      <c r="A8" s="725" t="s">
        <v>16</v>
      </c>
      <c r="B8" s="726" t="s">
        <v>148</v>
      </c>
      <c r="C8" s="678" t="s">
        <v>149</v>
      </c>
      <c r="D8" s="726" t="s">
        <v>150</v>
      </c>
      <c r="E8" s="726" t="s">
        <v>151</v>
      </c>
      <c r="H8" s="600"/>
      <c r="I8" s="727" t="s">
        <v>152</v>
      </c>
      <c r="J8" s="727" t="s">
        <v>152</v>
      </c>
      <c r="K8" s="187"/>
      <c r="L8" s="600"/>
      <c r="M8" s="727" t="s">
        <v>152</v>
      </c>
      <c r="N8" s="727" t="s">
        <v>152</v>
      </c>
    </row>
    <row r="9" spans="1:14" s="58" customFormat="1">
      <c r="A9" s="728" t="s">
        <v>153</v>
      </c>
      <c r="B9" s="729">
        <f>'HH Factor'!F25</f>
        <v>68000</v>
      </c>
      <c r="C9" s="679">
        <f t="shared" ref="C9:D13" si="0">B9*C$7</f>
        <v>47600</v>
      </c>
      <c r="D9" s="601">
        <f t="shared" si="0"/>
        <v>15708</v>
      </c>
      <c r="E9" s="601">
        <f>D9/12</f>
        <v>1309</v>
      </c>
      <c r="H9" s="602">
        <v>1</v>
      </c>
      <c r="I9" s="730">
        <v>31750</v>
      </c>
      <c r="J9" s="730">
        <f>I9*2</f>
        <v>63500</v>
      </c>
      <c r="K9" s="187"/>
      <c r="L9" s="602">
        <v>1</v>
      </c>
      <c r="M9" s="730">
        <f>I9*103%</f>
        <v>32702.5</v>
      </c>
      <c r="N9" s="730">
        <f>M9*2</f>
        <v>65405</v>
      </c>
    </row>
    <row r="10" spans="1:14" s="58" customFormat="1">
      <c r="A10" s="728" t="s">
        <v>154</v>
      </c>
      <c r="B10" s="729">
        <f>'HH Factor'!F26</f>
        <v>81600</v>
      </c>
      <c r="C10" s="679">
        <f t="shared" si="0"/>
        <v>57120</v>
      </c>
      <c r="D10" s="601">
        <f t="shared" si="0"/>
        <v>18849.600000000002</v>
      </c>
      <c r="E10" s="601">
        <f>D10/12</f>
        <v>1570.8000000000002</v>
      </c>
      <c r="H10" s="731">
        <v>2</v>
      </c>
      <c r="I10" s="730">
        <v>36250</v>
      </c>
      <c r="J10" s="730">
        <f t="shared" ref="J10:J16" si="1">I10*2</f>
        <v>72500</v>
      </c>
      <c r="K10" s="187"/>
      <c r="L10" s="731">
        <v>2</v>
      </c>
      <c r="M10" s="730">
        <f t="shared" ref="M10:M16" si="2">I10*103%</f>
        <v>37337.5</v>
      </c>
      <c r="N10" s="730">
        <f t="shared" ref="N10:N16" si="3">M10*2</f>
        <v>74675</v>
      </c>
    </row>
    <row r="11" spans="1:14" s="58" customFormat="1">
      <c r="A11" s="728" t="s">
        <v>155</v>
      </c>
      <c r="B11" s="729">
        <f>'HH Factor'!F27</f>
        <v>94250</v>
      </c>
      <c r="C11" s="679">
        <f t="shared" si="0"/>
        <v>65975</v>
      </c>
      <c r="D11" s="601">
        <f t="shared" si="0"/>
        <v>21771.75</v>
      </c>
      <c r="E11" s="601">
        <f>D11/12</f>
        <v>1814.3125</v>
      </c>
      <c r="H11" s="731">
        <v>3</v>
      </c>
      <c r="I11" s="730">
        <v>40800</v>
      </c>
      <c r="J11" s="730">
        <f t="shared" si="1"/>
        <v>81600</v>
      </c>
      <c r="K11" s="187"/>
      <c r="L11" s="731">
        <v>3</v>
      </c>
      <c r="M11" s="730">
        <f t="shared" si="2"/>
        <v>42024</v>
      </c>
      <c r="N11" s="730">
        <f t="shared" si="3"/>
        <v>84048</v>
      </c>
    </row>
    <row r="12" spans="1:14" s="58" customFormat="1">
      <c r="A12" s="728" t="s">
        <v>156</v>
      </c>
      <c r="B12" s="729">
        <f>'HH Factor'!F28</f>
        <v>105100</v>
      </c>
      <c r="C12" s="679">
        <f t="shared" si="0"/>
        <v>73570</v>
      </c>
      <c r="D12" s="601">
        <f t="shared" si="0"/>
        <v>24278.100000000002</v>
      </c>
      <c r="E12" s="601">
        <f>D12/12</f>
        <v>2023.1750000000002</v>
      </c>
      <c r="H12" s="731">
        <v>4</v>
      </c>
      <c r="I12" s="730">
        <v>45300</v>
      </c>
      <c r="J12" s="730">
        <f t="shared" si="1"/>
        <v>90600</v>
      </c>
      <c r="K12" s="187"/>
      <c r="L12" s="731">
        <v>4</v>
      </c>
      <c r="M12" s="730">
        <f t="shared" si="2"/>
        <v>46659</v>
      </c>
      <c r="N12" s="730">
        <f t="shared" si="3"/>
        <v>93318</v>
      </c>
    </row>
    <row r="13" spans="1:14" s="58" customFormat="1">
      <c r="A13" s="728" t="s">
        <v>157</v>
      </c>
      <c r="B13" s="729">
        <f>'HH Factor'!F29</f>
        <v>116000</v>
      </c>
      <c r="C13" s="732">
        <f t="shared" si="0"/>
        <v>81200</v>
      </c>
      <c r="D13" s="729">
        <f t="shared" si="0"/>
        <v>26796</v>
      </c>
      <c r="E13" s="729">
        <f>D13/12</f>
        <v>2233</v>
      </c>
      <c r="H13" s="731">
        <v>5</v>
      </c>
      <c r="I13" s="730">
        <v>48950</v>
      </c>
      <c r="J13" s="730">
        <f t="shared" si="1"/>
        <v>97900</v>
      </c>
      <c r="K13" s="187"/>
      <c r="L13" s="731">
        <v>5</v>
      </c>
      <c r="M13" s="730">
        <f t="shared" si="2"/>
        <v>50418.5</v>
      </c>
      <c r="N13" s="730">
        <f t="shared" si="3"/>
        <v>100837</v>
      </c>
    </row>
    <row r="14" spans="1:14" s="58" customFormat="1">
      <c r="A14" s="77"/>
      <c r="B14" s="54"/>
      <c r="C14" s="189"/>
      <c r="D14" s="55"/>
      <c r="E14" s="55"/>
      <c r="H14" s="731">
        <v>6</v>
      </c>
      <c r="I14" s="730">
        <v>52550</v>
      </c>
      <c r="J14" s="730">
        <f t="shared" si="1"/>
        <v>105100</v>
      </c>
      <c r="K14" s="187"/>
      <c r="L14" s="731">
        <v>6</v>
      </c>
      <c r="M14" s="730">
        <f t="shared" si="2"/>
        <v>54126.5</v>
      </c>
      <c r="N14" s="730">
        <f t="shared" si="3"/>
        <v>108253</v>
      </c>
    </row>
    <row r="15" spans="1:14" s="63" customFormat="1">
      <c r="E15" s="67"/>
      <c r="F15" s="67"/>
      <c r="G15" s="67"/>
      <c r="H15" s="733">
        <v>7</v>
      </c>
      <c r="I15" s="734">
        <v>56200</v>
      </c>
      <c r="J15" s="734">
        <f t="shared" si="1"/>
        <v>112400</v>
      </c>
      <c r="K15" s="187"/>
      <c r="L15" s="733">
        <v>7</v>
      </c>
      <c r="M15" s="734">
        <f t="shared" si="2"/>
        <v>57886</v>
      </c>
      <c r="N15" s="734">
        <f t="shared" si="3"/>
        <v>115772</v>
      </c>
    </row>
    <row r="16" spans="1:14" s="63" customFormat="1">
      <c r="A16" s="64" t="s">
        <v>158</v>
      </c>
      <c r="F16" s="230"/>
      <c r="G16" s="69"/>
      <c r="H16" s="733">
        <v>8</v>
      </c>
      <c r="I16" s="734">
        <v>59800</v>
      </c>
      <c r="J16" s="734">
        <f t="shared" si="1"/>
        <v>119600</v>
      </c>
      <c r="K16" s="187"/>
      <c r="L16" s="733">
        <v>8</v>
      </c>
      <c r="M16" s="734">
        <f t="shared" si="2"/>
        <v>61594</v>
      </c>
      <c r="N16" s="734">
        <f t="shared" si="3"/>
        <v>123188</v>
      </c>
    </row>
    <row r="17" spans="1:14" s="63" customFormat="1">
      <c r="A17" s="64"/>
      <c r="B17" s="680" t="s">
        <v>159</v>
      </c>
      <c r="C17" s="681" t="s">
        <v>159</v>
      </c>
      <c r="D17" s="680" t="s">
        <v>160</v>
      </c>
      <c r="E17" s="681" t="s">
        <v>161</v>
      </c>
      <c r="G17" s="197"/>
      <c r="H17" s="187"/>
      <c r="I17" s="187"/>
      <c r="J17" s="187"/>
      <c r="K17" s="187"/>
      <c r="L17" s="78"/>
      <c r="M17" s="78"/>
      <c r="N17" s="78"/>
    </row>
    <row r="18" spans="1:14" s="63" customFormat="1">
      <c r="A18" s="598" t="s">
        <v>16</v>
      </c>
      <c r="B18" s="603" t="s">
        <v>162</v>
      </c>
      <c r="C18" s="603" t="s">
        <v>163</v>
      </c>
      <c r="D18" s="604" t="s">
        <v>164</v>
      </c>
      <c r="E18" s="605" t="s">
        <v>165</v>
      </c>
      <c r="G18" s="188"/>
      <c r="I18" s="197"/>
      <c r="J18" s="197"/>
      <c r="K18" s="190"/>
      <c r="L18" s="76"/>
      <c r="M18" s="78"/>
      <c r="N18" s="78"/>
    </row>
    <row r="19" spans="1:14" s="63" customFormat="1">
      <c r="A19" s="735" t="s">
        <v>166</v>
      </c>
      <c r="B19" s="606" t="e">
        <f>AVERAGE(#REF!)/12</f>
        <v>#REF!</v>
      </c>
      <c r="C19" s="606">
        <v>55</v>
      </c>
      <c r="D19" s="607" t="e">
        <f>(E9-B19-C19)</f>
        <v>#REF!</v>
      </c>
      <c r="E19" s="607" t="e">
        <f>SUM(B19:D19)</f>
        <v>#REF!</v>
      </c>
      <c r="G19" s="132"/>
      <c r="I19" s="195"/>
      <c r="J19" s="195"/>
      <c r="K19" s="191"/>
      <c r="M19" s="76"/>
      <c r="N19" s="78"/>
    </row>
    <row r="20" spans="1:14" s="63" customFormat="1">
      <c r="A20" s="735" t="s">
        <v>167</v>
      </c>
      <c r="B20" s="606" t="e">
        <f>AVERAGE(#REF!)/12</f>
        <v>#REF!</v>
      </c>
      <c r="C20" s="606">
        <v>55</v>
      </c>
      <c r="D20" s="607" t="e">
        <f>((D10/12)-B20-C20)</f>
        <v>#REF!</v>
      </c>
      <c r="E20" s="736" t="e">
        <f t="shared" ref="E20:E21" si="4">SUM(B20:D20)</f>
        <v>#REF!</v>
      </c>
      <c r="G20" s="132"/>
      <c r="H20" s="226" t="s">
        <v>168</v>
      </c>
      <c r="I20" s="195"/>
      <c r="J20" s="195"/>
      <c r="K20" s="193"/>
      <c r="L20" s="226" t="s">
        <v>169</v>
      </c>
      <c r="M20" s="78"/>
      <c r="N20" s="78"/>
    </row>
    <row r="21" spans="1:14" s="63" customFormat="1">
      <c r="A21" s="737" t="s">
        <v>170</v>
      </c>
      <c r="B21" s="682" t="e">
        <f>AVERAGE(#REF!)/12</f>
        <v>#REF!</v>
      </c>
      <c r="C21" s="608">
        <v>55</v>
      </c>
      <c r="D21" s="607" t="e">
        <f>((D11/12)-B21-C21)</f>
        <v>#REF!</v>
      </c>
      <c r="E21" s="738" t="e">
        <f t="shared" si="4"/>
        <v>#REF!</v>
      </c>
      <c r="G21" s="132"/>
      <c r="H21" s="677" t="s">
        <v>147</v>
      </c>
      <c r="I21" s="599">
        <v>0.5</v>
      </c>
      <c r="J21" s="599">
        <v>1</v>
      </c>
      <c r="K21" s="193"/>
      <c r="L21" s="677" t="s">
        <v>147</v>
      </c>
      <c r="M21" s="599">
        <v>0.5</v>
      </c>
      <c r="N21" s="599">
        <v>1</v>
      </c>
    </row>
    <row r="22" spans="1:14" s="63" customFormat="1">
      <c r="A22" s="63" t="s">
        <v>171</v>
      </c>
      <c r="B22" s="77"/>
      <c r="C22" s="55"/>
      <c r="D22" s="609"/>
      <c r="E22" s="67"/>
      <c r="F22" s="67"/>
      <c r="G22" s="76"/>
      <c r="H22" s="600"/>
      <c r="I22" s="727" t="s">
        <v>152</v>
      </c>
      <c r="J22" s="727" t="s">
        <v>152</v>
      </c>
      <c r="K22" s="194"/>
      <c r="L22" s="600"/>
      <c r="M22" s="727" t="s">
        <v>152</v>
      </c>
      <c r="N22" s="727" t="s">
        <v>152</v>
      </c>
    </row>
    <row r="23" spans="1:14" s="63" customFormat="1">
      <c r="A23" s="64"/>
      <c r="D23" s="610"/>
      <c r="E23" s="67"/>
      <c r="F23" s="67"/>
      <c r="G23" s="67"/>
      <c r="H23" s="602">
        <v>1</v>
      </c>
      <c r="I23" s="739">
        <f>M9*103%</f>
        <v>33683.575000000004</v>
      </c>
      <c r="J23" s="730">
        <f>I23*2</f>
        <v>67367.150000000009</v>
      </c>
      <c r="K23" s="187"/>
      <c r="L23" s="602">
        <v>1</v>
      </c>
      <c r="M23" s="730">
        <f t="shared" ref="M23:M30" si="5">I23*103%</f>
        <v>34694.082250000007</v>
      </c>
      <c r="N23" s="730">
        <f>M23*2</f>
        <v>69388.164500000014</v>
      </c>
    </row>
    <row r="24" spans="1:14" s="63" customFormat="1">
      <c r="A24" s="64" t="s">
        <v>172</v>
      </c>
      <c r="D24" s="610"/>
      <c r="E24" s="67"/>
      <c r="F24" s="67"/>
      <c r="G24" s="67"/>
      <c r="H24" s="731">
        <v>2</v>
      </c>
      <c r="I24" s="730">
        <f t="shared" ref="I24:I30" si="6">M10*103%</f>
        <v>38457.625</v>
      </c>
      <c r="J24" s="730">
        <f t="shared" ref="J24:J30" si="7">I24*2</f>
        <v>76915.25</v>
      </c>
      <c r="K24" s="187"/>
      <c r="L24" s="731">
        <v>2</v>
      </c>
      <c r="M24" s="730">
        <f t="shared" si="5"/>
        <v>39611.353750000002</v>
      </c>
      <c r="N24" s="730">
        <f t="shared" ref="N24:N30" si="8">M24*2</f>
        <v>79222.707500000004</v>
      </c>
    </row>
    <row r="25" spans="1:14" s="63" customFormat="1">
      <c r="A25" s="598" t="s">
        <v>16</v>
      </c>
      <c r="B25" s="725" t="s">
        <v>147</v>
      </c>
      <c r="C25" s="740">
        <v>0.8</v>
      </c>
      <c r="D25" s="740">
        <v>0.7</v>
      </c>
      <c r="E25" s="740">
        <v>0.6</v>
      </c>
      <c r="F25" s="67"/>
      <c r="G25" s="67"/>
      <c r="H25" s="731">
        <v>3</v>
      </c>
      <c r="I25" s="730">
        <f t="shared" si="6"/>
        <v>43284.72</v>
      </c>
      <c r="J25" s="730">
        <f t="shared" si="7"/>
        <v>86569.44</v>
      </c>
      <c r="K25" s="187"/>
      <c r="L25" s="731">
        <v>3</v>
      </c>
      <c r="M25" s="730">
        <f t="shared" si="5"/>
        <v>44583.261600000005</v>
      </c>
      <c r="N25" s="730">
        <f t="shared" si="8"/>
        <v>89166.523200000011</v>
      </c>
    </row>
    <row r="26" spans="1:14" s="63" customFormat="1">
      <c r="A26" s="598"/>
      <c r="B26" s="725"/>
      <c r="C26" s="741" t="s">
        <v>149</v>
      </c>
      <c r="D26" s="741" t="s">
        <v>149</v>
      </c>
      <c r="E26" s="741" t="s">
        <v>149</v>
      </c>
      <c r="F26" s="67"/>
      <c r="G26" s="67"/>
      <c r="H26" s="731">
        <v>4</v>
      </c>
      <c r="I26" s="730">
        <f t="shared" si="6"/>
        <v>48058.770000000004</v>
      </c>
      <c r="J26" s="730">
        <f t="shared" si="7"/>
        <v>96117.540000000008</v>
      </c>
      <c r="K26" s="187"/>
      <c r="L26" s="731">
        <v>4</v>
      </c>
      <c r="M26" s="730">
        <f t="shared" si="5"/>
        <v>49500.533100000008</v>
      </c>
      <c r="N26" s="730">
        <f t="shared" si="8"/>
        <v>99001.066200000016</v>
      </c>
    </row>
    <row r="27" spans="1:14" s="63" customFormat="1">
      <c r="A27" s="735" t="s">
        <v>166</v>
      </c>
      <c r="B27" s="742">
        <v>1</v>
      </c>
      <c r="C27" s="743" t="e">
        <f t="shared" ref="C27:E28" si="9">$E$19/($J9*C$25/12)</f>
        <v>#REF!</v>
      </c>
      <c r="D27" s="611" t="e">
        <f t="shared" si="9"/>
        <v>#REF!</v>
      </c>
      <c r="E27" s="611" t="e">
        <f t="shared" si="9"/>
        <v>#REF!</v>
      </c>
      <c r="F27" s="67"/>
      <c r="G27" s="67"/>
      <c r="H27" s="731">
        <v>5</v>
      </c>
      <c r="I27" s="730">
        <f t="shared" si="6"/>
        <v>51931.055</v>
      </c>
      <c r="J27" s="730">
        <f t="shared" si="7"/>
        <v>103862.11</v>
      </c>
      <c r="K27" s="187"/>
      <c r="L27" s="731">
        <v>5</v>
      </c>
      <c r="M27" s="730">
        <f t="shared" si="5"/>
        <v>53488.986649999999</v>
      </c>
      <c r="N27" s="730">
        <f t="shared" si="8"/>
        <v>106977.9733</v>
      </c>
    </row>
    <row r="28" spans="1:14" s="63" customFormat="1">
      <c r="A28" s="735" t="s">
        <v>166</v>
      </c>
      <c r="B28" s="742">
        <v>2</v>
      </c>
      <c r="C28" s="743" t="e">
        <f t="shared" si="9"/>
        <v>#REF!</v>
      </c>
      <c r="D28" s="611" t="e">
        <f t="shared" si="9"/>
        <v>#REF!</v>
      </c>
      <c r="E28" s="611" t="e">
        <f t="shared" si="9"/>
        <v>#REF!</v>
      </c>
      <c r="F28" s="67"/>
      <c r="G28" s="67"/>
      <c r="H28" s="731">
        <v>6</v>
      </c>
      <c r="I28" s="730">
        <f t="shared" si="6"/>
        <v>55750.294999999998</v>
      </c>
      <c r="J28" s="730">
        <f t="shared" si="7"/>
        <v>111500.59</v>
      </c>
      <c r="K28" s="187"/>
      <c r="L28" s="731">
        <v>6</v>
      </c>
      <c r="M28" s="730">
        <f t="shared" si="5"/>
        <v>57422.803849999997</v>
      </c>
      <c r="N28" s="730">
        <f t="shared" si="8"/>
        <v>114845.60769999999</v>
      </c>
    </row>
    <row r="29" spans="1:14" s="63" customFormat="1">
      <c r="A29" s="735" t="s">
        <v>167</v>
      </c>
      <c r="B29" s="742">
        <v>2</v>
      </c>
      <c r="C29" s="743" t="e">
        <f t="shared" ref="C29:E31" si="10">$E$20/($J10*C$25/12)</f>
        <v>#REF!</v>
      </c>
      <c r="D29" s="611" t="e">
        <f t="shared" si="10"/>
        <v>#REF!</v>
      </c>
      <c r="E29" s="611" t="e">
        <f t="shared" si="10"/>
        <v>#REF!</v>
      </c>
      <c r="F29" s="67"/>
      <c r="G29" s="67"/>
      <c r="H29" s="733">
        <v>7</v>
      </c>
      <c r="I29" s="734">
        <f t="shared" si="6"/>
        <v>59622.58</v>
      </c>
      <c r="J29" s="734">
        <f t="shared" si="7"/>
        <v>119245.16</v>
      </c>
      <c r="K29" s="187"/>
      <c r="L29" s="733">
        <v>7</v>
      </c>
      <c r="M29" s="734">
        <f t="shared" si="5"/>
        <v>61411.257400000002</v>
      </c>
      <c r="N29" s="734">
        <f t="shared" si="8"/>
        <v>122822.5148</v>
      </c>
    </row>
    <row r="30" spans="1:14" s="63" customFormat="1">
      <c r="A30" s="735" t="s">
        <v>167</v>
      </c>
      <c r="B30" s="742">
        <v>3</v>
      </c>
      <c r="C30" s="743" t="e">
        <f t="shared" si="10"/>
        <v>#REF!</v>
      </c>
      <c r="D30" s="743" t="e">
        <f t="shared" si="10"/>
        <v>#REF!</v>
      </c>
      <c r="E30" s="743" t="e">
        <f t="shared" si="10"/>
        <v>#REF!</v>
      </c>
      <c r="F30" s="67"/>
      <c r="G30" s="67"/>
      <c r="H30" s="733">
        <v>8</v>
      </c>
      <c r="I30" s="734">
        <f t="shared" si="6"/>
        <v>63441.82</v>
      </c>
      <c r="J30" s="734">
        <f t="shared" si="7"/>
        <v>126883.64</v>
      </c>
      <c r="K30" s="187"/>
      <c r="L30" s="733">
        <v>8</v>
      </c>
      <c r="M30" s="734">
        <f t="shared" si="5"/>
        <v>65345.0746</v>
      </c>
      <c r="N30" s="734">
        <f t="shared" si="8"/>
        <v>130690.1492</v>
      </c>
    </row>
    <row r="31" spans="1:14" s="63" customFormat="1">
      <c r="A31" s="737" t="s">
        <v>167</v>
      </c>
      <c r="B31" s="728">
        <v>4</v>
      </c>
      <c r="C31" s="743" t="e">
        <f t="shared" si="10"/>
        <v>#REF!</v>
      </c>
      <c r="D31" s="743" t="e">
        <f t="shared" si="10"/>
        <v>#REF!</v>
      </c>
      <c r="E31" s="743" t="e">
        <f t="shared" si="10"/>
        <v>#REF!</v>
      </c>
      <c r="F31" s="67"/>
      <c r="G31" s="67"/>
      <c r="H31" s="192"/>
      <c r="I31" s="195"/>
      <c r="J31" s="195"/>
      <c r="K31" s="187"/>
      <c r="L31" s="78"/>
      <c r="M31" s="78"/>
    </row>
    <row r="32" spans="1:14" s="63" customFormat="1">
      <c r="A32" s="737" t="s">
        <v>170</v>
      </c>
      <c r="B32" s="728">
        <v>3</v>
      </c>
      <c r="C32" s="743" t="e">
        <f t="shared" ref="C32:E35" si="11">$E$21/($J11*C$25/12)</f>
        <v>#REF!</v>
      </c>
      <c r="D32" s="743" t="e">
        <f t="shared" si="11"/>
        <v>#REF!</v>
      </c>
      <c r="E32" s="743" t="e">
        <f t="shared" si="11"/>
        <v>#REF!</v>
      </c>
      <c r="F32" s="67"/>
      <c r="G32" s="67"/>
      <c r="H32" s="77"/>
      <c r="I32" s="195"/>
      <c r="J32" s="195"/>
      <c r="K32" s="187"/>
      <c r="L32" s="78"/>
      <c r="M32" s="78"/>
    </row>
    <row r="33" spans="1:17" s="63" customFormat="1">
      <c r="A33" s="737" t="s">
        <v>170</v>
      </c>
      <c r="B33" s="728">
        <v>4</v>
      </c>
      <c r="C33" s="743" t="e">
        <f t="shared" si="11"/>
        <v>#REF!</v>
      </c>
      <c r="D33" s="743" t="e">
        <f t="shared" si="11"/>
        <v>#REF!</v>
      </c>
      <c r="E33" s="743" t="e">
        <f t="shared" si="11"/>
        <v>#REF!</v>
      </c>
      <c r="F33" s="67"/>
      <c r="G33" s="67"/>
      <c r="K33" s="187"/>
      <c r="L33" s="78"/>
      <c r="M33" s="78"/>
    </row>
    <row r="34" spans="1:17" s="63" customFormat="1">
      <c r="A34" s="737" t="s">
        <v>170</v>
      </c>
      <c r="B34" s="728">
        <v>5</v>
      </c>
      <c r="C34" s="743" t="e">
        <f t="shared" si="11"/>
        <v>#REF!</v>
      </c>
      <c r="D34" s="743" t="e">
        <f t="shared" si="11"/>
        <v>#REF!</v>
      </c>
      <c r="E34" s="743" t="e">
        <f t="shared" si="11"/>
        <v>#REF!</v>
      </c>
      <c r="F34" s="67"/>
      <c r="G34" s="67"/>
      <c r="K34" s="187"/>
      <c r="L34" s="78"/>
      <c r="M34" s="78"/>
    </row>
    <row r="35" spans="1:17" s="63" customFormat="1">
      <c r="A35" s="737" t="s">
        <v>170</v>
      </c>
      <c r="B35" s="728">
        <v>6</v>
      </c>
      <c r="C35" s="743" t="e">
        <f t="shared" si="11"/>
        <v>#REF!</v>
      </c>
      <c r="D35" s="743" t="e">
        <f t="shared" si="11"/>
        <v>#REF!</v>
      </c>
      <c r="E35" s="743" t="e">
        <f t="shared" si="11"/>
        <v>#REF!</v>
      </c>
      <c r="F35" s="67"/>
      <c r="G35" s="67"/>
      <c r="K35" s="187"/>
      <c r="L35" s="78"/>
      <c r="M35" s="78"/>
    </row>
    <row r="36" spans="1:17" s="63" customFormat="1">
      <c r="A36" s="64"/>
      <c r="E36" s="67"/>
      <c r="F36" s="67"/>
      <c r="G36" s="67"/>
      <c r="K36" s="187"/>
      <c r="L36" s="78"/>
      <c r="M36" s="78"/>
    </row>
    <row r="37" spans="1:17" s="63" customFormat="1">
      <c r="A37" s="70" t="s">
        <v>173</v>
      </c>
      <c r="B37" s="54"/>
      <c r="C37" s="54"/>
      <c r="D37" s="55"/>
      <c r="E37" s="54"/>
      <c r="F37" s="68"/>
      <c r="G37" s="235"/>
      <c r="I37" s="232"/>
      <c r="K37" s="187"/>
      <c r="L37" s="78"/>
      <c r="M37" s="78"/>
    </row>
    <row r="38" spans="1:17" s="63" customFormat="1">
      <c r="A38" s="70"/>
      <c r="B38" s="54"/>
      <c r="C38" s="54"/>
      <c r="D38" s="55"/>
      <c r="E38" s="233"/>
      <c r="F38" s="68"/>
      <c r="G38" s="68"/>
      <c r="K38" s="187"/>
      <c r="L38" s="78"/>
      <c r="M38" s="78"/>
    </row>
    <row r="39" spans="1:17" s="63" customFormat="1">
      <c r="A39" s="82" t="s">
        <v>174</v>
      </c>
      <c r="B39" s="54"/>
      <c r="C39" s="54"/>
      <c r="D39" s="55"/>
      <c r="E39" s="233"/>
      <c r="F39" s="68"/>
      <c r="G39" s="68"/>
      <c r="K39" s="187"/>
      <c r="L39" s="78"/>
      <c r="M39" s="78"/>
    </row>
    <row r="40" spans="1:17" s="63" customFormat="1">
      <c r="A40" s="744" t="s">
        <v>175</v>
      </c>
      <c r="B40" s="745">
        <v>0.02</v>
      </c>
      <c r="E40" s="229"/>
      <c r="F40" s="69"/>
      <c r="G40" s="69"/>
      <c r="K40" s="187"/>
      <c r="L40" s="78"/>
      <c r="M40" s="78"/>
    </row>
    <row r="41" spans="1:17" s="63" customFormat="1">
      <c r="A41" s="744" t="s">
        <v>176</v>
      </c>
      <c r="B41" s="746">
        <v>30</v>
      </c>
      <c r="E41" s="229"/>
      <c r="F41" s="69"/>
      <c r="G41" s="69"/>
      <c r="K41" s="187"/>
      <c r="L41" s="78"/>
      <c r="M41" s="78"/>
    </row>
    <row r="42" spans="1:17" s="63" customFormat="1">
      <c r="A42" s="747" t="s">
        <v>177</v>
      </c>
      <c r="B42" s="745">
        <v>0.01</v>
      </c>
      <c r="C42" s="54"/>
      <c r="D42" s="55"/>
      <c r="E42" s="57"/>
      <c r="F42" s="68"/>
      <c r="G42" s="68"/>
      <c r="K42" s="187"/>
      <c r="L42" s="78"/>
      <c r="M42" s="78"/>
    </row>
    <row r="43" spans="1:17" s="63" customFormat="1">
      <c r="A43" s="70"/>
      <c r="B43" s="54"/>
      <c r="C43" s="54"/>
      <c r="D43" s="227"/>
      <c r="E43" s="57"/>
      <c r="F43" s="68"/>
      <c r="H43" s="68"/>
      <c r="K43" s="187"/>
      <c r="L43" s="78"/>
      <c r="M43" s="78"/>
    </row>
    <row r="44" spans="1:17" s="63" customFormat="1">
      <c r="A44" s="598" t="s">
        <v>16</v>
      </c>
      <c r="B44" s="725" t="s">
        <v>147</v>
      </c>
      <c r="C44" s="598" t="s">
        <v>178</v>
      </c>
      <c r="D44" s="598" t="s">
        <v>179</v>
      </c>
      <c r="E44" s="74"/>
      <c r="F44" s="95"/>
      <c r="G44" s="75"/>
      <c r="K44" s="187"/>
      <c r="L44" s="51"/>
      <c r="M44" s="78"/>
      <c r="N44" s="78"/>
    </row>
    <row r="45" spans="1:17" s="63" customFormat="1">
      <c r="A45" s="737" t="s">
        <v>166</v>
      </c>
      <c r="B45" s="728">
        <v>1</v>
      </c>
      <c r="C45" s="612" t="e">
        <f>PV($B$40/12,$B$41*12,-(D19))</f>
        <v>#REF!</v>
      </c>
      <c r="D45" s="601" t="e">
        <f>C45/99%</f>
        <v>#REF!</v>
      </c>
      <c r="E45" s="83"/>
      <c r="F45" s="228"/>
      <c r="H45" s="228"/>
      <c r="I45" s="187"/>
      <c r="J45" s="187"/>
      <c r="K45" s="187"/>
      <c r="L45" s="51"/>
      <c r="M45" s="51"/>
      <c r="N45" s="78"/>
    </row>
    <row r="46" spans="1:17">
      <c r="A46" s="737" t="s">
        <v>167</v>
      </c>
      <c r="B46" s="728">
        <v>2</v>
      </c>
      <c r="C46" s="612" t="e">
        <f>PV($B$40/12,$B$41*12,-(D20))</f>
        <v>#REF!</v>
      </c>
      <c r="D46" s="601" t="e">
        <f t="shared" ref="D46:D47" si="12">C46/99%</f>
        <v>#REF!</v>
      </c>
      <c r="E46" s="67"/>
      <c r="G46" s="67"/>
      <c r="H46" s="187"/>
      <c r="I46" s="231"/>
      <c r="J46" s="187"/>
      <c r="K46" s="187"/>
      <c r="L46" s="51"/>
      <c r="M46" s="51"/>
      <c r="N46" s="51"/>
      <c r="O46" s="56"/>
      <c r="P46" s="57"/>
      <c r="Q46" s="56"/>
    </row>
    <row r="47" spans="1:17">
      <c r="A47" s="737" t="s">
        <v>170</v>
      </c>
      <c r="B47" s="728">
        <v>3</v>
      </c>
      <c r="C47" s="612" t="e">
        <f>PV($B$40/12,$B$41*12,-(D21))</f>
        <v>#REF!</v>
      </c>
      <c r="D47" s="601" t="e">
        <f t="shared" si="12"/>
        <v>#REF!</v>
      </c>
      <c r="E47" s="67"/>
      <c r="G47" s="67"/>
      <c r="H47" s="66"/>
      <c r="I47" s="67"/>
      <c r="J47" s="187"/>
      <c r="K47" s="187"/>
      <c r="L47" s="78"/>
      <c r="M47" s="51"/>
      <c r="N47" s="51"/>
      <c r="O47" s="56"/>
      <c r="P47" s="57"/>
      <c r="Q47" s="56"/>
    </row>
    <row r="48" spans="1:17">
      <c r="A48" s="747"/>
      <c r="B48" s="747"/>
      <c r="C48" s="613"/>
      <c r="G48" s="68"/>
      <c r="H48" s="187"/>
      <c r="I48" s="57"/>
      <c r="J48" s="187"/>
      <c r="K48" s="187"/>
      <c r="L48" s="78"/>
      <c r="M48" s="51"/>
      <c r="N48" s="51"/>
      <c r="O48" s="56"/>
      <c r="P48" s="57"/>
      <c r="Q48" s="56"/>
    </row>
    <row r="49" spans="1:17" s="63" customFormat="1">
      <c r="A49" s="726" t="s">
        <v>16</v>
      </c>
      <c r="B49" s="726" t="s">
        <v>180</v>
      </c>
      <c r="C49" s="726" t="s">
        <v>181</v>
      </c>
      <c r="D49" s="726" t="s">
        <v>182</v>
      </c>
      <c r="E49" s="54"/>
      <c r="G49" s="54"/>
      <c r="H49" s="234"/>
      <c r="I49" s="66"/>
      <c r="J49" s="187"/>
      <c r="K49" s="187"/>
      <c r="L49" s="78"/>
      <c r="M49" s="78"/>
      <c r="N49" s="78"/>
    </row>
    <row r="50" spans="1:17" s="63" customFormat="1">
      <c r="A50" s="748" t="s">
        <v>166</v>
      </c>
      <c r="B50" s="749" t="e">
        <f>ONEBRTOTAL</f>
        <v>#NAME?</v>
      </c>
      <c r="C50" s="738" t="e">
        <f>C45*B50</f>
        <v>#REF!</v>
      </c>
      <c r="D50" s="750" t="e">
        <f>D45*B50</f>
        <v>#REF!</v>
      </c>
      <c r="E50" s="54"/>
      <c r="F50" s="54"/>
      <c r="G50" s="54"/>
      <c r="H50" s="187"/>
      <c r="I50" s="187"/>
      <c r="J50" s="187"/>
      <c r="K50" s="187"/>
      <c r="L50" s="78"/>
      <c r="M50" s="51"/>
      <c r="N50" s="78"/>
    </row>
    <row r="51" spans="1:17">
      <c r="A51" s="748" t="s">
        <v>167</v>
      </c>
      <c r="B51" s="749" t="e">
        <f>TWOBRTOTAL</f>
        <v>#NAME?</v>
      </c>
      <c r="C51" s="738" t="e">
        <f>C46*B51</f>
        <v>#REF!</v>
      </c>
      <c r="D51" s="750" t="e">
        <f>D46*B51</f>
        <v>#REF!</v>
      </c>
      <c r="H51" s="187"/>
      <c r="I51" s="187"/>
      <c r="J51" s="187"/>
      <c r="K51" s="187"/>
      <c r="L51" s="78"/>
      <c r="M51" s="51"/>
      <c r="N51" s="51"/>
      <c r="O51" s="56"/>
      <c r="P51" s="57"/>
      <c r="Q51" s="56"/>
    </row>
    <row r="52" spans="1:17">
      <c r="A52" s="748" t="s">
        <v>170</v>
      </c>
      <c r="B52" s="749" t="e">
        <f>THREEBRTOTAL</f>
        <v>#NAME?</v>
      </c>
      <c r="C52" s="738" t="e">
        <f>C47*B52</f>
        <v>#REF!</v>
      </c>
      <c r="D52" s="750" t="e">
        <f>D47*B52</f>
        <v>#REF!</v>
      </c>
      <c r="H52" s="187"/>
      <c r="I52" s="187"/>
      <c r="J52" s="187"/>
      <c r="K52" s="187"/>
      <c r="L52" s="78"/>
      <c r="M52" s="78"/>
      <c r="N52" s="51"/>
      <c r="O52" s="56"/>
      <c r="P52" s="57"/>
      <c r="Q52" s="56"/>
    </row>
    <row r="53" spans="1:17" s="63" customFormat="1">
      <c r="A53" s="751" t="s">
        <v>27</v>
      </c>
      <c r="B53" s="726" t="e">
        <f>SUM(B50:B52)</f>
        <v>#NAME?</v>
      </c>
      <c r="C53" s="752" t="e">
        <f>SUMPRODUCT(B50:B52,C45:C47)</f>
        <v>#NAME?</v>
      </c>
      <c r="D53" s="753" t="e">
        <f>SUM(D50:D52)</f>
        <v>#REF!</v>
      </c>
      <c r="E53" s="54"/>
      <c r="F53" s="57"/>
      <c r="G53" s="54"/>
      <c r="H53" s="187"/>
      <c r="I53" s="187"/>
      <c r="J53" s="187"/>
      <c r="K53" s="187"/>
      <c r="L53" s="78"/>
      <c r="M53" s="78"/>
      <c r="N53" s="78"/>
    </row>
    <row r="54" spans="1:17" s="63" customFormat="1">
      <c r="A54" s="54"/>
      <c r="B54" s="54"/>
      <c r="C54" s="54"/>
      <c r="D54" s="54"/>
      <c r="E54" s="54"/>
      <c r="F54" s="57"/>
      <c r="G54" s="54"/>
      <c r="H54" s="187"/>
      <c r="I54" s="187"/>
      <c r="J54" s="187"/>
      <c r="K54" s="187"/>
      <c r="L54" s="78"/>
      <c r="M54" s="78"/>
      <c r="N54" s="78"/>
    </row>
    <row r="55" spans="1:17" s="63" customFormat="1">
      <c r="A55" s="54"/>
      <c r="B55" s="54"/>
      <c r="C55" s="54"/>
      <c r="D55" s="54"/>
      <c r="E55" s="54"/>
      <c r="F55" s="54"/>
      <c r="G55" s="54"/>
      <c r="H55" s="54"/>
      <c r="I55" s="51"/>
      <c r="J55" s="51"/>
      <c r="K55" s="51"/>
      <c r="L55" s="78"/>
      <c r="M55" s="78"/>
      <c r="N55" s="78"/>
    </row>
    <row r="56" spans="1:17" s="63" customFormat="1">
      <c r="A56" s="683" t="s">
        <v>183</v>
      </c>
      <c r="B56" s="684"/>
      <c r="C56" s="684"/>
      <c r="D56" s="685"/>
      <c r="E56" s="58"/>
      <c r="F56" s="58"/>
      <c r="G56" s="58"/>
      <c r="H56" s="54"/>
      <c r="I56" s="51"/>
      <c r="J56" s="51"/>
      <c r="K56" s="51"/>
      <c r="L56" s="51"/>
      <c r="M56" s="78"/>
      <c r="N56" s="78"/>
    </row>
    <row r="57" spans="1:17" s="63" customFormat="1">
      <c r="A57" s="754"/>
      <c r="B57" s="751" t="s">
        <v>184</v>
      </c>
      <c r="C57" s="751" t="s">
        <v>185</v>
      </c>
      <c r="D57" s="751" t="s">
        <v>186</v>
      </c>
      <c r="E57" s="58"/>
      <c r="F57" s="58"/>
      <c r="G57" s="58"/>
      <c r="H57" s="58"/>
      <c r="I57" s="79"/>
      <c r="J57" s="84"/>
      <c r="K57" s="51"/>
      <c r="L57" s="51"/>
      <c r="M57" s="78"/>
      <c r="N57" s="78"/>
    </row>
    <row r="58" spans="1:17" s="63" customFormat="1">
      <c r="A58" s="754" t="s">
        <v>140</v>
      </c>
      <c r="B58" s="755">
        <v>0.02</v>
      </c>
      <c r="C58" s="755">
        <v>3.6249999999999998E-2</v>
      </c>
      <c r="D58" s="755">
        <v>0.04</v>
      </c>
      <c r="E58" s="58"/>
      <c r="F58" s="58"/>
      <c r="G58" s="58"/>
      <c r="H58" s="58"/>
      <c r="I58" s="79"/>
      <c r="J58" s="81"/>
      <c r="K58" s="84"/>
      <c r="L58" s="51"/>
      <c r="M58" s="78"/>
      <c r="N58" s="78"/>
    </row>
    <row r="59" spans="1:17" s="63" customFormat="1">
      <c r="A59" s="754" t="s">
        <v>187</v>
      </c>
      <c r="B59" s="755">
        <v>0.01</v>
      </c>
      <c r="C59" s="755">
        <v>0.03</v>
      </c>
      <c r="D59" s="755">
        <v>0.01</v>
      </c>
      <c r="E59" s="58"/>
      <c r="F59" s="58"/>
      <c r="G59" s="58"/>
      <c r="H59" s="58"/>
      <c r="I59" s="79"/>
      <c r="J59" s="51"/>
      <c r="K59" s="81"/>
      <c r="L59" s="51"/>
      <c r="M59" s="78"/>
      <c r="N59" s="78"/>
    </row>
    <row r="60" spans="1:17" s="63" customFormat="1">
      <c r="A60" s="754" t="s">
        <v>130</v>
      </c>
      <c r="B60" s="748">
        <v>30</v>
      </c>
      <c r="C60" s="748">
        <v>30</v>
      </c>
      <c r="D60" s="748">
        <v>30</v>
      </c>
      <c r="E60" s="66"/>
      <c r="F60" s="72"/>
      <c r="G60" s="72"/>
      <c r="H60" s="58"/>
      <c r="I60" s="79"/>
      <c r="J60" s="51"/>
      <c r="K60" s="51"/>
      <c r="L60" s="51"/>
      <c r="M60" s="51"/>
      <c r="N60" s="78"/>
    </row>
    <row r="61" spans="1:17">
      <c r="A61" s="754" t="s">
        <v>188</v>
      </c>
      <c r="B61" s="748">
        <v>1</v>
      </c>
      <c r="C61" s="748">
        <v>1</v>
      </c>
      <c r="D61" s="748">
        <v>1</v>
      </c>
      <c r="E61" s="66"/>
      <c r="F61" s="72"/>
      <c r="G61" s="72"/>
      <c r="H61" s="65"/>
      <c r="I61" s="79"/>
      <c r="J61" s="79"/>
      <c r="K61" s="51"/>
      <c r="L61" s="51"/>
      <c r="M61" s="51"/>
      <c r="N61" s="51"/>
      <c r="O61" s="56"/>
      <c r="P61" s="57"/>
      <c r="Q61" s="56"/>
    </row>
    <row r="62" spans="1:17">
      <c r="A62" s="754" t="s">
        <v>189</v>
      </c>
      <c r="B62" s="748">
        <v>6</v>
      </c>
      <c r="C62" s="748">
        <v>6</v>
      </c>
      <c r="D62" s="748">
        <v>2</v>
      </c>
      <c r="E62" s="66"/>
      <c r="F62" s="73"/>
      <c r="G62" s="73"/>
      <c r="H62" s="65"/>
      <c r="I62" s="79"/>
      <c r="J62" s="79"/>
      <c r="K62" s="79"/>
      <c r="L62" s="51"/>
      <c r="M62" s="51"/>
      <c r="N62" s="51"/>
      <c r="O62" s="56"/>
      <c r="P62" s="57"/>
      <c r="Q62" s="56"/>
    </row>
    <row r="63" spans="1:17">
      <c r="A63" s="754" t="s">
        <v>148</v>
      </c>
      <c r="B63" s="756">
        <v>82000</v>
      </c>
      <c r="C63" s="756">
        <v>108720</v>
      </c>
      <c r="D63" s="756">
        <v>103000</v>
      </c>
      <c r="E63" s="66"/>
      <c r="F63" s="58"/>
      <c r="G63" s="58"/>
      <c r="H63" s="65"/>
      <c r="I63" s="79"/>
      <c r="J63" s="79"/>
      <c r="K63" s="79"/>
      <c r="L63" s="51"/>
      <c r="M63" s="51"/>
      <c r="N63" s="51"/>
      <c r="O63" s="56"/>
      <c r="P63" s="57"/>
      <c r="Q63" s="56"/>
    </row>
    <row r="64" spans="1:17">
      <c r="A64" s="757" t="s">
        <v>190</v>
      </c>
      <c r="B64" s="748" t="s">
        <v>191</v>
      </c>
      <c r="C64" s="758">
        <v>589780</v>
      </c>
      <c r="D64" s="757"/>
      <c r="E64" s="58"/>
      <c r="F64" s="58"/>
      <c r="G64" s="58"/>
      <c r="H64" s="65"/>
      <c r="I64" s="79"/>
      <c r="J64" s="79"/>
      <c r="K64" s="79"/>
      <c r="L64" s="84"/>
      <c r="M64" s="51"/>
      <c r="N64" s="51"/>
      <c r="O64" s="56"/>
      <c r="P64" s="57"/>
      <c r="Q64" s="56"/>
    </row>
    <row r="65" spans="1:17">
      <c r="I65" s="58"/>
      <c r="J65" s="58"/>
      <c r="K65" s="79"/>
      <c r="L65" s="81"/>
      <c r="M65" s="51"/>
      <c r="N65" s="51"/>
      <c r="O65" s="56"/>
      <c r="P65" s="57"/>
      <c r="Q65" s="56"/>
    </row>
    <row r="66" spans="1:17">
      <c r="A66" s="58"/>
      <c r="B66" s="58"/>
      <c r="C66" s="71"/>
      <c r="D66" s="58"/>
      <c r="E66" s="58"/>
      <c r="F66" s="58"/>
      <c r="G66" s="58"/>
      <c r="I66" s="58"/>
      <c r="J66" s="58"/>
      <c r="K66" s="58"/>
      <c r="L66" s="62"/>
      <c r="M66" s="51"/>
      <c r="N66" s="51"/>
      <c r="O66" s="56"/>
      <c r="P66" s="57"/>
      <c r="Q66" s="56"/>
    </row>
    <row r="67" spans="1:17">
      <c r="A67" s="58"/>
      <c r="B67" s="58"/>
      <c r="C67" s="58"/>
      <c r="D67" s="58"/>
      <c r="E67" s="58"/>
      <c r="F67" s="58"/>
      <c r="G67" s="58"/>
      <c r="H67" s="60"/>
      <c r="I67" s="58"/>
      <c r="J67" s="58"/>
      <c r="K67" s="58"/>
      <c r="L67" s="62"/>
      <c r="M67" s="51"/>
      <c r="N67" s="51"/>
      <c r="O67" s="56"/>
      <c r="P67" s="57"/>
      <c r="Q67" s="56"/>
    </row>
    <row r="68" spans="1:17">
      <c r="A68" s="58"/>
      <c r="B68" s="58"/>
      <c r="C68" s="58"/>
      <c r="D68" s="58"/>
      <c r="E68" s="58"/>
      <c r="F68" s="58"/>
      <c r="G68" s="58"/>
      <c r="H68" s="61"/>
      <c r="I68" s="58"/>
      <c r="J68" s="58"/>
      <c r="K68" s="58"/>
      <c r="L68" s="79"/>
      <c r="M68" s="84"/>
      <c r="N68" s="51"/>
      <c r="O68" s="56"/>
      <c r="P68" s="57"/>
      <c r="Q68" s="56"/>
    </row>
    <row r="69" spans="1:17" s="58" customFormat="1">
      <c r="L69" s="79"/>
      <c r="M69" s="81"/>
      <c r="N69" s="79"/>
    </row>
    <row r="70" spans="1:17" s="58" customFormat="1">
      <c r="H70" s="61"/>
      <c r="L70" s="79"/>
      <c r="M70" s="62"/>
      <c r="N70" s="79"/>
    </row>
    <row r="71" spans="1:17" s="58" customFormat="1">
      <c r="L71" s="79"/>
      <c r="M71" s="62"/>
      <c r="N71" s="79"/>
    </row>
    <row r="72" spans="1:17" s="58" customFormat="1" ht="15.9" customHeight="1">
      <c r="M72" s="79"/>
      <c r="N72" s="79"/>
    </row>
    <row r="73" spans="1:17" s="58" customFormat="1">
      <c r="M73" s="79"/>
      <c r="N73" s="79"/>
    </row>
    <row r="74" spans="1:17" s="58" customFormat="1">
      <c r="M74" s="79"/>
      <c r="N74" s="79"/>
    </row>
    <row r="75" spans="1:17" s="58" customFormat="1">
      <c r="M75" s="79"/>
      <c r="N75" s="79"/>
    </row>
    <row r="76" spans="1:17" s="58" customFormat="1">
      <c r="H76" s="53"/>
      <c r="N76" s="79"/>
    </row>
    <row r="77" spans="1:17" s="58" customFormat="1">
      <c r="H77" s="54"/>
    </row>
    <row r="78" spans="1:17" s="58" customFormat="1">
      <c r="H78" s="59"/>
    </row>
    <row r="79" spans="1:17" s="58" customFormat="1">
      <c r="H79" s="60"/>
    </row>
    <row r="80" spans="1:17" s="58" customFormat="1"/>
    <row r="81" spans="1:17" s="58" customFormat="1">
      <c r="A81" s="54"/>
      <c r="B81" s="54"/>
      <c r="C81" s="54"/>
      <c r="D81" s="54"/>
      <c r="E81" s="54"/>
      <c r="F81" s="54"/>
      <c r="G81" s="54"/>
      <c r="H81" s="54"/>
      <c r="I81" s="54"/>
      <c r="J81" s="54"/>
    </row>
    <row r="82" spans="1:17" s="58" customFormat="1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</row>
    <row r="83" spans="1:17" s="58" customFormat="1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</row>
    <row r="84" spans="1:17" s="58" customFormat="1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</row>
    <row r="85" spans="1:17" s="58" customFormat="1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</row>
    <row r="86" spans="1:17" s="58" customFormat="1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</row>
    <row r="87" spans="1:17">
      <c r="O87" s="56"/>
      <c r="P87" s="57"/>
      <c r="Q87" s="56"/>
    </row>
    <row r="88" spans="1:17">
      <c r="O88" s="56"/>
      <c r="P88" s="57"/>
      <c r="Q88" s="56"/>
    </row>
    <row r="89" spans="1:17">
      <c r="O89" s="56"/>
      <c r="P89" s="57"/>
      <c r="Q89" s="56"/>
    </row>
    <row r="90" spans="1:17">
      <c r="O90" s="56"/>
      <c r="P90" s="57"/>
      <c r="Q90" s="56"/>
    </row>
    <row r="94" spans="1:17">
      <c r="A94" s="186"/>
      <c r="B94" s="186"/>
      <c r="C94" s="186"/>
      <c r="D94" s="186"/>
      <c r="E94" s="186"/>
    </row>
    <row r="95" spans="1:17">
      <c r="A95" s="186"/>
      <c r="B95" s="186"/>
      <c r="C95" s="186"/>
      <c r="D95" s="186"/>
      <c r="E95" s="186"/>
    </row>
    <row r="96" spans="1:17">
      <c r="A96" s="186"/>
      <c r="B96" s="186"/>
      <c r="C96" s="186"/>
      <c r="D96" s="186"/>
      <c r="E96" s="186"/>
    </row>
    <row r="97" spans="1:5">
      <c r="A97" s="186"/>
      <c r="B97" s="186"/>
      <c r="C97" s="186"/>
      <c r="D97" s="186"/>
      <c r="E97" s="186"/>
    </row>
    <row r="98" spans="1:5">
      <c r="A98" s="186"/>
      <c r="B98" s="186"/>
      <c r="C98" s="186"/>
      <c r="D98" s="186"/>
      <c r="E98" s="186"/>
    </row>
    <row r="99" spans="1:5" ht="15" customHeight="1">
      <c r="A99" s="186"/>
      <c r="B99" s="186"/>
      <c r="C99" s="186"/>
      <c r="D99" s="186"/>
      <c r="E99" s="186"/>
    </row>
    <row r="100" spans="1:5" ht="15" customHeight="1">
      <c r="A100" s="186"/>
      <c r="B100" s="186"/>
      <c r="C100" s="186"/>
      <c r="D100" s="186"/>
      <c r="E100" s="186"/>
    </row>
    <row r="101" spans="1:5" ht="15" customHeight="1">
      <c r="A101" s="186"/>
      <c r="B101" s="186"/>
      <c r="C101" s="186"/>
      <c r="D101" s="186"/>
      <c r="E101" s="186"/>
    </row>
    <row r="102" spans="1:5" ht="15" customHeight="1">
      <c r="A102" s="186"/>
      <c r="B102" s="186"/>
      <c r="C102" s="186"/>
      <c r="D102" s="186"/>
      <c r="E102" s="186"/>
    </row>
    <row r="103" spans="1:5" ht="15" customHeight="1">
      <c r="A103" s="186"/>
      <c r="B103" s="186"/>
      <c r="C103" s="186"/>
      <c r="D103" s="186"/>
      <c r="E103" s="186"/>
    </row>
    <row r="104" spans="1:5" ht="15" customHeight="1">
      <c r="A104" s="186"/>
      <c r="B104" s="186"/>
      <c r="C104" s="186"/>
      <c r="D104" s="186"/>
      <c r="E104" s="186"/>
    </row>
    <row r="105" spans="1:5" ht="15" customHeight="1">
      <c r="A105" s="186"/>
      <c r="B105" s="186"/>
      <c r="C105" s="186"/>
      <c r="D105" s="186"/>
      <c r="E105" s="186"/>
    </row>
    <row r="106" spans="1:5" ht="15" customHeight="1">
      <c r="A106" s="186"/>
      <c r="B106" s="186"/>
      <c r="C106" s="186"/>
      <c r="D106" s="186"/>
      <c r="E106" s="186"/>
    </row>
    <row r="107" spans="1:5" ht="15" customHeight="1">
      <c r="A107" s="186"/>
      <c r="B107" s="186"/>
      <c r="C107" s="186"/>
      <c r="D107" s="186"/>
      <c r="E107" s="186"/>
    </row>
    <row r="108" spans="1:5" ht="15" customHeight="1">
      <c r="A108" s="186"/>
      <c r="B108" s="186"/>
      <c r="C108" s="186"/>
      <c r="D108" s="186"/>
      <c r="E108" s="186"/>
    </row>
    <row r="109" spans="1:5" ht="15" customHeight="1">
      <c r="A109" s="186"/>
      <c r="B109" s="186"/>
      <c r="C109" s="186"/>
      <c r="D109" s="186"/>
      <c r="E109" s="186"/>
    </row>
    <row r="110" spans="1:5" ht="15" customHeight="1">
      <c r="A110" s="186"/>
      <c r="B110" s="186"/>
      <c r="C110" s="186"/>
      <c r="D110" s="186"/>
      <c r="E110" s="186"/>
    </row>
    <row r="111" spans="1:5" ht="15" customHeight="1">
      <c r="A111" s="186"/>
      <c r="B111" s="186"/>
      <c r="C111" s="186"/>
      <c r="D111" s="186"/>
      <c r="E111" s="186"/>
    </row>
    <row r="112" spans="1:5" ht="15" customHeight="1">
      <c r="A112" s="186"/>
      <c r="B112" s="186"/>
      <c r="C112" s="186"/>
      <c r="D112" s="186"/>
      <c r="E112" s="186"/>
    </row>
    <row r="113" spans="1:5">
      <c r="A113" s="186"/>
      <c r="B113" s="186"/>
      <c r="C113" s="186"/>
      <c r="D113" s="186"/>
      <c r="E113" s="186"/>
    </row>
  </sheetData>
  <pageMargins left="0.25" right="0.25" top="0.75" bottom="0.7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39"/>
  <sheetViews>
    <sheetView workbookViewId="0">
      <selection activeCell="C17" sqref="C17"/>
    </sheetView>
  </sheetViews>
  <sheetFormatPr defaultColWidth="8.90625" defaultRowHeight="14.5"/>
  <cols>
    <col min="1" max="1" width="25.453125" style="1" bestFit="1" customWidth="1"/>
    <col min="2" max="12" width="13.6328125" style="1" customWidth="1"/>
    <col min="13" max="16384" width="8.90625" style="1"/>
  </cols>
  <sheetData>
    <row r="1" spans="1:12" s="12" customFormat="1">
      <c r="A1" s="49" t="str">
        <f>'S+U'!A1</f>
        <v>Project Name</v>
      </c>
      <c r="B1" s="49">
        <f>'S+U'!B1</f>
        <v>0</v>
      </c>
      <c r="C1" s="49">
        <f>'S+U'!D1</f>
        <v>0</v>
      </c>
      <c r="D1" s="49">
        <f>'S+U'!C1</f>
        <v>0</v>
      </c>
      <c r="E1" s="11"/>
      <c r="F1" s="11"/>
    </row>
    <row r="2" spans="1:12">
      <c r="A2" s="783" t="str">
        <f>'S+U'!A3</f>
        <v>Address</v>
      </c>
      <c r="B2" s="783"/>
      <c r="C2" s="783"/>
      <c r="D2" s="49"/>
      <c r="E2" s="11"/>
      <c r="F2" s="11"/>
    </row>
    <row r="4" spans="1:12" ht="29.5" thickBot="1">
      <c r="A4" s="759" t="s">
        <v>16</v>
      </c>
      <c r="B4" s="759" t="s">
        <v>192</v>
      </c>
      <c r="C4" s="759" t="s">
        <v>193</v>
      </c>
      <c r="D4" s="759" t="s">
        <v>194</v>
      </c>
      <c r="E4" s="759" t="s">
        <v>41</v>
      </c>
      <c r="F4" s="759" t="s">
        <v>195</v>
      </c>
      <c r="G4" s="13"/>
      <c r="H4" s="12"/>
      <c r="I4" s="12"/>
      <c r="J4" s="12"/>
      <c r="K4" s="12"/>
      <c r="L4" s="12"/>
    </row>
    <row r="5" spans="1:12">
      <c r="A5" s="14" t="s">
        <v>22</v>
      </c>
      <c r="B5" s="15">
        <f>'S+U'!C49</f>
        <v>0</v>
      </c>
      <c r="C5" s="14">
        <f>'Project Overview'!B17</f>
        <v>0</v>
      </c>
      <c r="D5" s="15">
        <f>B5*C5</f>
        <v>0</v>
      </c>
      <c r="E5" s="16" t="e">
        <f>D5/$D$8</f>
        <v>#REF!</v>
      </c>
      <c r="F5" s="17">
        <f>C5/$K$20</f>
        <v>0</v>
      </c>
      <c r="G5" s="18"/>
      <c r="H5" s="19"/>
      <c r="I5" s="18"/>
    </row>
    <row r="6" spans="1:12">
      <c r="A6" s="14" t="s">
        <v>23</v>
      </c>
      <c r="B6" s="15" t="e">
        <f>'S+U'!#REF!</f>
        <v>#REF!</v>
      </c>
      <c r="C6" s="14">
        <f>'Project Overview'!B18</f>
        <v>0</v>
      </c>
      <c r="D6" s="15" t="e">
        <f>B6*C6</f>
        <v>#REF!</v>
      </c>
      <c r="E6" s="16" t="e">
        <f>D6/$D$8</f>
        <v>#REF!</v>
      </c>
      <c r="F6" s="17">
        <f>C6/$K$20</f>
        <v>0</v>
      </c>
      <c r="G6" s="18"/>
      <c r="H6" s="19"/>
      <c r="I6" s="18"/>
    </row>
    <row r="7" spans="1:12" ht="16">
      <c r="A7" s="14" t="s">
        <v>24</v>
      </c>
      <c r="B7" s="15">
        <f>'S+U'!E49</f>
        <v>0</v>
      </c>
      <c r="C7" s="20">
        <f>'Project Overview'!B19</f>
        <v>0</v>
      </c>
      <c r="D7" s="21">
        <f>B7*C7</f>
        <v>0</v>
      </c>
      <c r="E7" s="22" t="e">
        <f>D7/$D$8</f>
        <v>#REF!</v>
      </c>
      <c r="F7" s="23">
        <f>C7/$K$20</f>
        <v>0</v>
      </c>
      <c r="G7" s="18"/>
      <c r="H7" s="19"/>
      <c r="I7" s="18"/>
    </row>
    <row r="8" spans="1:12">
      <c r="C8" s="24">
        <f>SUM(C5:C7)</f>
        <v>0</v>
      </c>
      <c r="D8" s="25" t="e">
        <f>SUM(D5:D7)</f>
        <v>#REF!</v>
      </c>
      <c r="E8" s="26" t="e">
        <f>SUM(E5:E7)</f>
        <v>#REF!</v>
      </c>
      <c r="F8" s="27">
        <f>SUM(F5:F7)</f>
        <v>0</v>
      </c>
      <c r="G8" s="28"/>
      <c r="H8" s="25"/>
    </row>
    <row r="9" spans="1:12">
      <c r="F9" s="28"/>
      <c r="G9" s="29"/>
    </row>
    <row r="10" spans="1:12">
      <c r="A10" s="1" t="s">
        <v>119</v>
      </c>
      <c r="B10" s="15">
        <f>'S+U'!B9</f>
        <v>1000000</v>
      </c>
      <c r="F10" s="28"/>
      <c r="G10" s="29"/>
    </row>
    <row r="11" spans="1:12">
      <c r="A11" s="1" t="s">
        <v>196</v>
      </c>
      <c r="B11" s="15" t="e">
        <f>#REF!</f>
        <v>#REF!</v>
      </c>
      <c r="F11" s="28"/>
      <c r="G11" s="29"/>
    </row>
    <row r="12" spans="1:12" ht="16">
      <c r="A12" s="1" t="s">
        <v>197</v>
      </c>
      <c r="B12" s="21" t="e">
        <f>#REF!</f>
        <v>#REF!</v>
      </c>
      <c r="F12" s="28"/>
      <c r="G12" s="29"/>
    </row>
    <row r="13" spans="1:12">
      <c r="A13" s="30" t="s">
        <v>27</v>
      </c>
      <c r="B13" s="31" t="e">
        <f>SUM(B10:B12)</f>
        <v>#REF!</v>
      </c>
      <c r="F13" s="28"/>
      <c r="G13" s="29"/>
    </row>
    <row r="14" spans="1:12">
      <c r="A14" s="30"/>
      <c r="B14" s="31"/>
      <c r="F14" s="28"/>
      <c r="G14" s="29"/>
    </row>
    <row r="15" spans="1:12" ht="15" thickBot="1">
      <c r="A15" s="760" t="s">
        <v>119</v>
      </c>
      <c r="B15" s="761" t="s">
        <v>198</v>
      </c>
      <c r="C15" s="762" t="s">
        <v>199</v>
      </c>
      <c r="F15" s="28"/>
      <c r="G15" s="29"/>
    </row>
    <row r="16" spans="1:12">
      <c r="A16" s="32" t="s">
        <v>200</v>
      </c>
      <c r="B16" s="33" t="e">
        <f>B13/D8</f>
        <v>#REF!</v>
      </c>
      <c r="C16" s="34">
        <v>0.85</v>
      </c>
      <c r="F16" s="28"/>
      <c r="G16" s="29"/>
    </row>
    <row r="17" spans="1:12">
      <c r="A17" s="32" t="s">
        <v>201</v>
      </c>
      <c r="B17" s="35" t="e">
        <f>B18*F8</f>
        <v>#REF!</v>
      </c>
      <c r="C17" s="36">
        <v>50</v>
      </c>
      <c r="F17" s="28"/>
      <c r="G17" s="29"/>
    </row>
    <row r="18" spans="1:12">
      <c r="A18" s="32" t="s">
        <v>202</v>
      </c>
      <c r="B18" s="37" t="e">
        <f>B13/C26</f>
        <v>#REF!</v>
      </c>
      <c r="C18" s="38">
        <v>7.5</v>
      </c>
      <c r="F18" s="28"/>
      <c r="G18" s="29"/>
    </row>
    <row r="20" spans="1:12">
      <c r="A20" s="30" t="s">
        <v>203</v>
      </c>
      <c r="B20" s="24"/>
      <c r="C20" s="39">
        <v>1</v>
      </c>
      <c r="D20" s="24">
        <f>C20+1</f>
        <v>2</v>
      </c>
      <c r="E20" s="24">
        <f t="shared" ref="E20:K20" si="0">D20+1</f>
        <v>3</v>
      </c>
      <c r="F20" s="24">
        <f t="shared" si="0"/>
        <v>4</v>
      </c>
      <c r="G20" s="24">
        <f t="shared" si="0"/>
        <v>5</v>
      </c>
      <c r="H20" s="24">
        <f t="shared" si="0"/>
        <v>6</v>
      </c>
      <c r="I20" s="24">
        <f t="shared" si="0"/>
        <v>7</v>
      </c>
      <c r="J20" s="24">
        <f t="shared" si="0"/>
        <v>8</v>
      </c>
      <c r="K20" s="24">
        <f t="shared" si="0"/>
        <v>9</v>
      </c>
      <c r="L20" s="24" t="s">
        <v>204</v>
      </c>
    </row>
    <row r="21" spans="1:12" ht="15" thickBot="1">
      <c r="A21" s="763" t="s">
        <v>205</v>
      </c>
      <c r="B21" s="764"/>
      <c r="C21" s="765">
        <v>43101</v>
      </c>
      <c r="D21" s="765">
        <v>43132</v>
      </c>
      <c r="E21" s="765">
        <v>43160</v>
      </c>
      <c r="F21" s="765">
        <v>43191</v>
      </c>
      <c r="G21" s="765">
        <v>43221</v>
      </c>
      <c r="H21" s="765">
        <v>43252</v>
      </c>
      <c r="I21" s="765">
        <v>43282</v>
      </c>
      <c r="J21" s="765">
        <v>43313</v>
      </c>
      <c r="K21" s="765">
        <v>43373</v>
      </c>
      <c r="L21" s="762">
        <f>K21-C21</f>
        <v>272</v>
      </c>
    </row>
    <row r="22" spans="1:12">
      <c r="A22" s="40" t="s">
        <v>206</v>
      </c>
      <c r="B22" s="41">
        <v>2400000</v>
      </c>
      <c r="C22" s="42">
        <f t="shared" ref="C22:K22" si="1">$B$22/$K$20</f>
        <v>266666.66666666669</v>
      </c>
      <c r="D22" s="42">
        <f t="shared" si="1"/>
        <v>266666.66666666669</v>
      </c>
      <c r="E22" s="42">
        <f t="shared" si="1"/>
        <v>266666.66666666669</v>
      </c>
      <c r="F22" s="42">
        <f t="shared" si="1"/>
        <v>266666.66666666669</v>
      </c>
      <c r="G22" s="42">
        <f t="shared" si="1"/>
        <v>266666.66666666669</v>
      </c>
      <c r="H22" s="42">
        <f t="shared" si="1"/>
        <v>266666.66666666669</v>
      </c>
      <c r="I22" s="42">
        <f t="shared" si="1"/>
        <v>266666.66666666669</v>
      </c>
      <c r="J22" s="42">
        <f t="shared" si="1"/>
        <v>266666.66666666669</v>
      </c>
      <c r="K22" s="42">
        <f t="shared" si="1"/>
        <v>266666.66666666669</v>
      </c>
      <c r="L22" s="25">
        <f>SUM(C22:K22)</f>
        <v>2400000</v>
      </c>
    </row>
    <row r="23" spans="1:12">
      <c r="A23" s="40" t="s">
        <v>207</v>
      </c>
      <c r="B23" s="41" t="e">
        <f>'S+U'!#REF!</f>
        <v>#REF!</v>
      </c>
      <c r="C23" s="42" t="e">
        <f t="shared" ref="C23:K24" si="2">$B23/$K$20</f>
        <v>#REF!</v>
      </c>
      <c r="D23" s="42" t="e">
        <f t="shared" si="2"/>
        <v>#REF!</v>
      </c>
      <c r="E23" s="42" t="e">
        <f t="shared" si="2"/>
        <v>#REF!</v>
      </c>
      <c r="F23" s="42" t="e">
        <f t="shared" si="2"/>
        <v>#REF!</v>
      </c>
      <c r="G23" s="42" t="e">
        <f t="shared" si="2"/>
        <v>#REF!</v>
      </c>
      <c r="H23" s="42" t="e">
        <f t="shared" si="2"/>
        <v>#REF!</v>
      </c>
      <c r="I23" s="42" t="e">
        <f t="shared" si="2"/>
        <v>#REF!</v>
      </c>
      <c r="J23" s="42" t="e">
        <f t="shared" si="2"/>
        <v>#REF!</v>
      </c>
      <c r="K23" s="42" t="e">
        <f t="shared" si="2"/>
        <v>#REF!</v>
      </c>
      <c r="L23" s="25" t="e">
        <f>SUM(C23:K23)</f>
        <v>#REF!</v>
      </c>
    </row>
    <row r="24" spans="1:12">
      <c r="A24" s="40" t="s">
        <v>208</v>
      </c>
      <c r="B24" s="41" t="e">
        <f>'S+U'!#REF!</f>
        <v>#REF!</v>
      </c>
      <c r="C24" s="42" t="e">
        <f t="shared" si="2"/>
        <v>#REF!</v>
      </c>
      <c r="D24" s="42" t="e">
        <f t="shared" si="2"/>
        <v>#REF!</v>
      </c>
      <c r="E24" s="42" t="e">
        <f t="shared" si="2"/>
        <v>#REF!</v>
      </c>
      <c r="F24" s="42" t="e">
        <f t="shared" si="2"/>
        <v>#REF!</v>
      </c>
      <c r="G24" s="42" t="e">
        <f t="shared" si="2"/>
        <v>#REF!</v>
      </c>
      <c r="H24" s="42" t="e">
        <f t="shared" si="2"/>
        <v>#REF!</v>
      </c>
      <c r="I24" s="42" t="e">
        <f t="shared" si="2"/>
        <v>#REF!</v>
      </c>
      <c r="J24" s="42" t="e">
        <f t="shared" si="2"/>
        <v>#REF!</v>
      </c>
      <c r="K24" s="42" t="e">
        <f t="shared" si="2"/>
        <v>#REF!</v>
      </c>
      <c r="L24" s="25" t="e">
        <f>SUM(C24:K24)</f>
        <v>#REF!</v>
      </c>
    </row>
    <row r="25" spans="1:12">
      <c r="A25" s="40" t="s">
        <v>209</v>
      </c>
      <c r="B25" s="41" t="e">
        <f>'S+U'!#REF!</f>
        <v>#REF!</v>
      </c>
      <c r="C25" s="42"/>
      <c r="D25" s="42"/>
      <c r="E25" s="42"/>
      <c r="F25" s="42"/>
      <c r="G25" s="42"/>
      <c r="H25" s="42"/>
      <c r="I25" s="42"/>
      <c r="J25" s="42"/>
      <c r="K25" s="42"/>
      <c r="L25" s="25" t="e">
        <f>B25</f>
        <v>#REF!</v>
      </c>
    </row>
    <row r="26" spans="1:12" s="44" customFormat="1">
      <c r="A26" s="32" t="s">
        <v>210</v>
      </c>
      <c r="B26" s="43" t="e">
        <f>D8</f>
        <v>#REF!</v>
      </c>
      <c r="C26" s="25" t="e">
        <f t="shared" ref="C26:K26" si="3">$B$26/$K$20</f>
        <v>#REF!</v>
      </c>
      <c r="D26" s="25" t="e">
        <f t="shared" si="3"/>
        <v>#REF!</v>
      </c>
      <c r="E26" s="25" t="e">
        <f t="shared" si="3"/>
        <v>#REF!</v>
      </c>
      <c r="F26" s="25" t="e">
        <f t="shared" si="3"/>
        <v>#REF!</v>
      </c>
      <c r="G26" s="25" t="e">
        <f t="shared" si="3"/>
        <v>#REF!</v>
      </c>
      <c r="H26" s="25" t="e">
        <f t="shared" si="3"/>
        <v>#REF!</v>
      </c>
      <c r="I26" s="25" t="e">
        <f t="shared" si="3"/>
        <v>#REF!</v>
      </c>
      <c r="J26" s="25" t="e">
        <f t="shared" si="3"/>
        <v>#REF!</v>
      </c>
      <c r="K26" s="25" t="e">
        <f t="shared" si="3"/>
        <v>#REF!</v>
      </c>
      <c r="L26" s="25" t="e">
        <f>SUM(C26:K26)</f>
        <v>#REF!</v>
      </c>
    </row>
    <row r="27" spans="1:12" ht="16">
      <c r="A27" s="32" t="s">
        <v>49</v>
      </c>
      <c r="B27" s="43">
        <f>'S+U'!B13</f>
        <v>28040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f>B27</f>
        <v>28040</v>
      </c>
      <c r="L27" s="25"/>
    </row>
    <row r="28" spans="1:12">
      <c r="B28" s="32" t="s">
        <v>211</v>
      </c>
      <c r="C28" s="25" t="e">
        <f>C26</f>
        <v>#REF!</v>
      </c>
      <c r="D28" s="25" t="e">
        <f>C28+D26+D27</f>
        <v>#REF!</v>
      </c>
      <c r="E28" s="25" t="e">
        <f t="shared" ref="E28:K28" si="4">D28+E26+E27</f>
        <v>#REF!</v>
      </c>
      <c r="F28" s="25" t="e">
        <f t="shared" si="4"/>
        <v>#REF!</v>
      </c>
      <c r="G28" s="25" t="e">
        <f t="shared" si="4"/>
        <v>#REF!</v>
      </c>
      <c r="H28" s="25" t="e">
        <f t="shared" si="4"/>
        <v>#REF!</v>
      </c>
      <c r="I28" s="25" t="e">
        <f t="shared" si="4"/>
        <v>#REF!</v>
      </c>
      <c r="J28" s="25" t="e">
        <f t="shared" si="4"/>
        <v>#REF!</v>
      </c>
      <c r="K28" s="25" t="e">
        <f t="shared" si="4"/>
        <v>#REF!</v>
      </c>
      <c r="L28" s="28" t="e">
        <f>SUM(L22:L27)</f>
        <v>#REF!</v>
      </c>
    </row>
    <row r="29" spans="1:12">
      <c r="A29" s="44"/>
      <c r="B29" s="46" t="s">
        <v>212</v>
      </c>
      <c r="C29" s="47" t="e">
        <f t="shared" ref="C29:K29" si="5">IF($B$13-C28&lt;0,0,$B13-C28)</f>
        <v>#REF!</v>
      </c>
      <c r="D29" s="47" t="e">
        <f t="shared" si="5"/>
        <v>#REF!</v>
      </c>
      <c r="E29" s="47" t="e">
        <f t="shared" si="5"/>
        <v>#REF!</v>
      </c>
      <c r="F29" s="47" t="e">
        <f t="shared" si="5"/>
        <v>#REF!</v>
      </c>
      <c r="G29" s="47" t="e">
        <f t="shared" si="5"/>
        <v>#REF!</v>
      </c>
      <c r="H29" s="47" t="e">
        <f t="shared" si="5"/>
        <v>#REF!</v>
      </c>
      <c r="I29" s="47" t="e">
        <f t="shared" si="5"/>
        <v>#REF!</v>
      </c>
      <c r="J29" s="47" t="e">
        <f t="shared" si="5"/>
        <v>#REF!</v>
      </c>
      <c r="K29" s="47" t="e">
        <f t="shared" si="5"/>
        <v>#REF!</v>
      </c>
      <c r="L29" s="47"/>
    </row>
    <row r="30" spans="1:12">
      <c r="K30" s="25"/>
      <c r="L30" s="48"/>
    </row>
    <row r="31" spans="1:12">
      <c r="H31" s="18"/>
      <c r="I31" s="18"/>
    </row>
    <row r="34" spans="1:3" ht="15" thickBot="1"/>
    <row r="35" spans="1:3">
      <c r="A35" s="2" t="s">
        <v>209</v>
      </c>
      <c r="B35" s="3" t="e">
        <f>-B25</f>
        <v>#REF!</v>
      </c>
      <c r="C35" s="614"/>
    </row>
    <row r="36" spans="1:3">
      <c r="A36" s="4" t="s">
        <v>140</v>
      </c>
      <c r="B36" s="5">
        <v>5.2499999999999998E-2</v>
      </c>
      <c r="C36" s="6">
        <v>12</v>
      </c>
    </row>
    <row r="37" spans="1:3">
      <c r="A37" s="4" t="s">
        <v>130</v>
      </c>
      <c r="B37" s="7">
        <v>30</v>
      </c>
      <c r="C37" s="8"/>
    </row>
    <row r="38" spans="1:3">
      <c r="A38" s="4" t="s">
        <v>161</v>
      </c>
      <c r="B38" s="9" t="e">
        <f>PMT(B36/C36,B37*C36,B35,0)</f>
        <v>#REF!</v>
      </c>
      <c r="C38" s="8"/>
    </row>
    <row r="39" spans="1:3" ht="15" thickBot="1">
      <c r="A39" s="615" t="s">
        <v>213</v>
      </c>
      <c r="B39" s="10" t="e">
        <f>B38*C36</f>
        <v>#REF!</v>
      </c>
      <c r="C39" s="686"/>
    </row>
  </sheetData>
  <mergeCells count="1">
    <mergeCell ref="A2:C2"/>
  </mergeCells>
  <conditionalFormatting sqref="B16">
    <cfRule type="expression" dxfId="4" priority="4">
      <formula>$B$16&gt;$C$16</formula>
    </cfRule>
  </conditionalFormatting>
  <conditionalFormatting sqref="B17">
    <cfRule type="expression" dxfId="3" priority="3">
      <formula>$B$17&gt;$C$17</formula>
    </cfRule>
  </conditionalFormatting>
  <conditionalFormatting sqref="B18">
    <cfRule type="expression" dxfId="2" priority="2">
      <formula>$B$18&gt;$C$18</formula>
    </cfRule>
  </conditionalFormatting>
  <conditionalFormatting sqref="K29">
    <cfRule type="expression" dxfId="1" priority="1">
      <formula>$K$29&gt;0</formula>
    </cfRule>
  </conditionalFormatting>
  <pageMargins left="0.7" right="0.7" top="0.75" bottom="0.75" header="0.3" footer="0.3"/>
  <pageSetup scale="69" orientation="landscape" r:id="rId1"/>
  <headerFooter>
    <oddHeader>&amp;L&amp;"Arial,Bold"&amp;12&amp;A&amp;R&amp;"Arial,Regular"&amp;D</oddHeader>
    <oddFooter>&amp;L&amp;"Arial,Regular"&amp;9&amp;F&amp;R&amp;"Arial,Italic"&amp;10&amp;P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114"/>
  <sheetViews>
    <sheetView tabSelected="1" topLeftCell="A11" zoomScaleNormal="100" zoomScaleSheetLayoutView="100" workbookViewId="0">
      <selection activeCell="A17" sqref="A17"/>
    </sheetView>
  </sheetViews>
  <sheetFormatPr defaultColWidth="25.08984375" defaultRowHeight="14"/>
  <cols>
    <col min="1" max="1" width="32.36328125" style="54" bestFit="1" customWidth="1"/>
    <col min="2" max="2" width="18.36328125" style="54" customWidth="1"/>
    <col min="3" max="5" width="20.6328125" style="54" customWidth="1"/>
    <col min="6" max="6" width="26.453125" style="54" customWidth="1"/>
    <col min="7" max="10" width="20.6328125" style="54" customWidth="1"/>
    <col min="11" max="11" width="23" style="54" bestFit="1" customWidth="1"/>
    <col min="12" max="13" width="15.6328125" style="54" customWidth="1"/>
    <col min="14" max="14" width="19.90625" style="54" customWidth="1"/>
    <col min="15" max="16" width="25.08984375" style="54"/>
    <col min="17" max="19" width="20.6328125" style="54" customWidth="1"/>
    <col min="20" max="16384" width="25.08984375" style="54"/>
  </cols>
  <sheetData>
    <row r="1" spans="1:19" s="63" customFormat="1" ht="14.5">
      <c r="A1" s="250" t="str">
        <f>'Project Overview'!A1</f>
        <v>Project Name</v>
      </c>
      <c r="B1" s="251">
        <f>'Project Overview'!B1</f>
        <v>0</v>
      </c>
      <c r="C1" s="252"/>
      <c r="D1" s="252"/>
      <c r="E1" s="252"/>
      <c r="F1" s="252"/>
      <c r="G1" s="252"/>
      <c r="H1" s="252"/>
      <c r="I1" s="252"/>
      <c r="J1" s="253"/>
      <c r="K1" s="253"/>
      <c r="L1" s="252"/>
      <c r="M1" s="252"/>
      <c r="N1" s="252"/>
      <c r="O1" s="252"/>
      <c r="P1" s="252"/>
    </row>
    <row r="2" spans="1:19" s="63" customFormat="1" ht="14.5">
      <c r="A2" s="250" t="str">
        <f>'Project Overview'!A2</f>
        <v>Developer</v>
      </c>
      <c r="B2" s="254">
        <f>'Project Overview'!B2</f>
        <v>0</v>
      </c>
      <c r="C2" s="252"/>
      <c r="D2" s="252"/>
      <c r="E2" s="252"/>
      <c r="F2" s="252"/>
      <c r="G2" s="252"/>
      <c r="H2" s="252"/>
      <c r="I2" s="252"/>
      <c r="J2" s="253"/>
      <c r="K2" s="253"/>
      <c r="L2" s="252"/>
      <c r="M2" s="252"/>
      <c r="N2" s="252"/>
      <c r="O2" s="252"/>
      <c r="P2" s="252"/>
    </row>
    <row r="3" spans="1:19" s="63" customFormat="1" ht="15.5">
      <c r="A3" s="250" t="str">
        <f>'Project Overview'!A3</f>
        <v>Address</v>
      </c>
      <c r="B3" s="251">
        <f>'Project Overview'!B3</f>
        <v>0</v>
      </c>
      <c r="C3" s="255"/>
      <c r="D3" s="255" t="str">
        <f>'Project Overview'!$D$3</f>
        <v>Units:</v>
      </c>
      <c r="E3" s="256">
        <f>'Project Overview'!$E$3</f>
        <v>50</v>
      </c>
      <c r="F3" s="257"/>
      <c r="G3" s="257"/>
      <c r="H3" s="257"/>
      <c r="I3" s="257"/>
      <c r="J3" s="258"/>
      <c r="K3" s="258"/>
      <c r="L3" s="252"/>
      <c r="M3" s="252"/>
      <c r="N3" s="252"/>
      <c r="O3" s="252"/>
      <c r="P3" s="252"/>
    </row>
    <row r="4" spans="1:19" s="63" customFormat="1" ht="14.5">
      <c r="A4" s="250" t="str">
        <f>'Project Overview'!A4</f>
        <v>BBL</v>
      </c>
      <c r="B4" s="251">
        <f>'Project Overview'!B4</f>
        <v>0</v>
      </c>
      <c r="C4" s="252"/>
      <c r="D4" s="259"/>
      <c r="E4" s="252"/>
      <c r="F4" s="257"/>
      <c r="G4" s="257"/>
      <c r="H4" s="257"/>
      <c r="I4" s="260"/>
      <c r="J4" s="260"/>
      <c r="K4" s="260"/>
      <c r="L4" s="252"/>
      <c r="M4" s="252"/>
      <c r="N4" s="252"/>
      <c r="O4" s="252"/>
      <c r="P4" s="252"/>
    </row>
    <row r="5" spans="1:19" s="63" customFormat="1" ht="15" thickBot="1">
      <c r="A5" s="261"/>
      <c r="B5" s="252"/>
      <c r="C5" s="252"/>
      <c r="D5" s="259"/>
      <c r="E5" s="252"/>
      <c r="F5" s="257"/>
      <c r="G5" s="257"/>
      <c r="H5" s="257"/>
      <c r="I5" s="260"/>
      <c r="J5" s="260"/>
      <c r="K5" s="260"/>
      <c r="L5" s="252"/>
      <c r="M5" s="252"/>
      <c r="N5" s="252"/>
      <c r="O5" s="252"/>
      <c r="P5" s="252"/>
    </row>
    <row r="6" spans="1:19" s="63" customFormat="1" ht="14.5">
      <c r="A6" s="262" t="s">
        <v>214</v>
      </c>
      <c r="B6" s="263" t="s">
        <v>215</v>
      </c>
      <c r="C6" s="263" t="s">
        <v>216</v>
      </c>
      <c r="D6" s="264" t="s">
        <v>217</v>
      </c>
      <c r="E6" s="252"/>
      <c r="F6" s="785" t="s">
        <v>218</v>
      </c>
      <c r="G6" s="785"/>
      <c r="H6" s="660"/>
      <c r="I6" s="252"/>
      <c r="J6" s="265" t="s">
        <v>147</v>
      </c>
      <c r="K6" s="266" t="s">
        <v>146</v>
      </c>
      <c r="L6" s="616"/>
      <c r="M6" s="252"/>
      <c r="N6" s="784"/>
      <c r="O6" s="784"/>
      <c r="P6" s="253"/>
      <c r="Q6" s="84"/>
      <c r="R6" s="84"/>
      <c r="S6" s="84"/>
    </row>
    <row r="7" spans="1:19" s="63" customFormat="1" ht="14.5">
      <c r="A7" s="267" t="s">
        <v>219</v>
      </c>
      <c r="B7" s="268">
        <f>'Project Overview'!D12</f>
        <v>0</v>
      </c>
      <c r="C7" s="269">
        <v>0</v>
      </c>
      <c r="D7" s="270">
        <f>B7*C7*12</f>
        <v>0</v>
      </c>
      <c r="E7" s="252"/>
      <c r="F7" s="253" t="s">
        <v>175</v>
      </c>
      <c r="G7" s="271">
        <v>0.05</v>
      </c>
      <c r="H7" s="272"/>
      <c r="I7" s="252"/>
      <c r="J7" s="273" t="s">
        <v>21</v>
      </c>
      <c r="K7" s="274">
        <v>0.6</v>
      </c>
      <c r="L7" s="275">
        <f>K7*$B$17</f>
        <v>68220</v>
      </c>
      <c r="M7" s="252"/>
      <c r="N7" s="253"/>
      <c r="O7" s="272"/>
      <c r="P7" s="253"/>
      <c r="Q7" s="119"/>
      <c r="R7" s="119"/>
      <c r="S7" s="237"/>
    </row>
    <row r="8" spans="1:19" s="63" customFormat="1" ht="14.5">
      <c r="A8" s="267"/>
      <c r="B8" s="276"/>
      <c r="C8" s="277"/>
      <c r="D8" s="270"/>
      <c r="E8" s="252"/>
      <c r="F8" s="253" t="s">
        <v>176</v>
      </c>
      <c r="G8" s="268">
        <v>30</v>
      </c>
      <c r="H8" s="268"/>
      <c r="I8" s="252"/>
      <c r="J8" s="273" t="s">
        <v>22</v>
      </c>
      <c r="K8" s="274">
        <v>0.75</v>
      </c>
      <c r="L8" s="275">
        <f t="shared" ref="L8:L11" si="0">K8*$B$17</f>
        <v>85275</v>
      </c>
      <c r="M8" s="252"/>
      <c r="N8" s="253"/>
      <c r="O8" s="268"/>
      <c r="P8" s="253"/>
      <c r="Q8" s="119"/>
      <c r="R8" s="119"/>
      <c r="S8" s="237"/>
    </row>
    <row r="9" spans="1:19" s="58" customFormat="1" ht="14.5">
      <c r="A9" s="278"/>
      <c r="B9" s="279" t="s">
        <v>220</v>
      </c>
      <c r="C9" s="279" t="s">
        <v>221</v>
      </c>
      <c r="D9" s="280" t="s">
        <v>217</v>
      </c>
      <c r="E9" s="281"/>
      <c r="F9" s="282" t="s">
        <v>177</v>
      </c>
      <c r="G9" s="272">
        <v>0.05</v>
      </c>
      <c r="H9" s="272"/>
      <c r="I9" s="281"/>
      <c r="J9" s="283" t="s">
        <v>23</v>
      </c>
      <c r="K9" s="284">
        <v>0.9</v>
      </c>
      <c r="L9" s="285">
        <f t="shared" si="0"/>
        <v>102330</v>
      </c>
      <c r="M9" s="281"/>
      <c r="N9" s="282"/>
      <c r="O9" s="272"/>
      <c r="P9" s="282"/>
      <c r="Q9" s="81"/>
      <c r="R9" s="81"/>
      <c r="S9" s="136"/>
    </row>
    <row r="10" spans="1:19" s="58" customFormat="1" ht="14.5">
      <c r="A10" s="286" t="s">
        <v>60</v>
      </c>
      <c r="B10" s="287">
        <f>'Project Overview'!B10</f>
        <v>10</v>
      </c>
      <c r="C10" s="269">
        <v>0</v>
      </c>
      <c r="D10" s="288">
        <f>B10*C10</f>
        <v>0</v>
      </c>
      <c r="E10" s="281"/>
      <c r="F10" s="281"/>
      <c r="G10" s="281"/>
      <c r="H10" s="281"/>
      <c r="I10" s="281"/>
      <c r="J10" s="283" t="s">
        <v>24</v>
      </c>
      <c r="K10" s="284">
        <v>1.04</v>
      </c>
      <c r="L10" s="285">
        <f t="shared" si="0"/>
        <v>118248</v>
      </c>
      <c r="M10" s="281"/>
      <c r="N10" s="282"/>
      <c r="O10" s="282"/>
      <c r="P10" s="282"/>
      <c r="Q10" s="81"/>
      <c r="R10" s="81"/>
      <c r="S10" s="136"/>
    </row>
    <row r="11" spans="1:19" s="58" customFormat="1" ht="15" thickBot="1">
      <c r="A11" s="286" t="s">
        <v>222</v>
      </c>
      <c r="B11" s="287">
        <f>'Project Overview'!B11</f>
        <v>10</v>
      </c>
      <c r="C11" s="269">
        <v>0</v>
      </c>
      <c r="D11" s="288">
        <f>B11*C11</f>
        <v>0</v>
      </c>
      <c r="E11" s="281"/>
      <c r="F11" s="289"/>
      <c r="G11" s="282"/>
      <c r="H11" s="282"/>
      <c r="I11" s="281"/>
      <c r="J11" s="617" t="s">
        <v>25</v>
      </c>
      <c r="K11" s="290">
        <v>1.1599999999999999</v>
      </c>
      <c r="L11" s="687">
        <f t="shared" si="0"/>
        <v>131892</v>
      </c>
      <c r="M11" s="281"/>
      <c r="N11" s="289"/>
      <c r="O11" s="282"/>
      <c r="P11" s="282"/>
      <c r="Q11" s="81"/>
      <c r="R11" s="81"/>
      <c r="S11" s="136"/>
    </row>
    <row r="12" spans="1:19" s="58" customFormat="1" ht="15" thickBot="1">
      <c r="A12" s="291"/>
      <c r="B12" s="618"/>
      <c r="C12" s="618"/>
      <c r="D12" s="688"/>
      <c r="E12" s="281"/>
      <c r="F12" s="282"/>
      <c r="G12" s="292"/>
      <c r="H12" s="292"/>
      <c r="I12" s="292"/>
      <c r="J12" s="292"/>
      <c r="K12" s="293"/>
      <c r="L12" s="281"/>
      <c r="M12" s="281"/>
      <c r="N12" s="253"/>
      <c r="O12" s="272"/>
      <c r="P12" s="281"/>
    </row>
    <row r="13" spans="1:19" s="58" customFormat="1" ht="43.5">
      <c r="A13" s="253"/>
      <c r="B13" s="289"/>
      <c r="C13" s="289"/>
      <c r="D13" s="294"/>
      <c r="E13" s="281"/>
      <c r="F13" s="282"/>
      <c r="G13" s="292"/>
      <c r="H13" s="295"/>
      <c r="I13" s="296"/>
      <c r="J13" s="297" t="s">
        <v>223</v>
      </c>
      <c r="K13" s="297" t="s">
        <v>224</v>
      </c>
      <c r="L13" s="297" t="s">
        <v>225</v>
      </c>
      <c r="M13" s="297" t="s">
        <v>226</v>
      </c>
      <c r="N13" s="298" t="s">
        <v>227</v>
      </c>
      <c r="O13" s="268"/>
      <c r="P13" s="281"/>
    </row>
    <row r="14" spans="1:19" s="58" customFormat="1" ht="14.25" customHeight="1">
      <c r="A14" s="282"/>
      <c r="B14" s="292"/>
      <c r="C14" s="299"/>
      <c r="D14" s="300"/>
      <c r="E14" s="281"/>
      <c r="F14" s="282"/>
      <c r="G14" s="301"/>
      <c r="H14" s="302"/>
      <c r="I14" s="303" t="str">
        <f>J7</f>
        <v>0BR</v>
      </c>
      <c r="J14" s="619">
        <v>57</v>
      </c>
      <c r="K14" s="619">
        <v>70</v>
      </c>
      <c r="L14" s="619">
        <v>19</v>
      </c>
      <c r="M14" s="620">
        <f>J14+L14</f>
        <v>76</v>
      </c>
      <c r="N14" s="621">
        <f>K14+L14</f>
        <v>89</v>
      </c>
      <c r="O14" s="272"/>
      <c r="P14" s="281"/>
    </row>
    <row r="15" spans="1:19" s="63" customFormat="1" ht="15.5">
      <c r="A15" s="282"/>
      <c r="B15" s="282"/>
      <c r="C15" s="289"/>
      <c r="D15" s="294"/>
      <c r="E15" s="252"/>
      <c r="F15" s="304" t="s">
        <v>228</v>
      </c>
      <c r="G15" s="305" t="s">
        <v>223</v>
      </c>
      <c r="H15" s="302"/>
      <c r="I15" s="303" t="str">
        <f>J8</f>
        <v>1BR</v>
      </c>
      <c r="J15" s="619">
        <v>59</v>
      </c>
      <c r="K15" s="619">
        <v>75</v>
      </c>
      <c r="L15" s="619">
        <v>20</v>
      </c>
      <c r="M15" s="620">
        <f t="shared" ref="M15:M18" si="1">J15+L15</f>
        <v>79</v>
      </c>
      <c r="N15" s="621">
        <f t="shared" ref="N15:N18" si="2">K15+L15</f>
        <v>95</v>
      </c>
      <c r="O15" s="253"/>
      <c r="P15" s="252"/>
    </row>
    <row r="16" spans="1:19" s="63" customFormat="1" ht="15.5">
      <c r="A16" s="252"/>
      <c r="B16" s="252"/>
      <c r="C16" s="252"/>
      <c r="D16" s="252"/>
      <c r="E16" s="252"/>
      <c r="F16" s="252"/>
      <c r="G16" s="252"/>
      <c r="H16" s="302"/>
      <c r="I16" s="303" t="str">
        <f>J9</f>
        <v>2BR</v>
      </c>
      <c r="J16" s="619">
        <v>60</v>
      </c>
      <c r="K16" s="619">
        <v>79</v>
      </c>
      <c r="L16" s="619">
        <v>20</v>
      </c>
      <c r="M16" s="620">
        <f t="shared" si="1"/>
        <v>80</v>
      </c>
      <c r="N16" s="621">
        <f t="shared" si="2"/>
        <v>99</v>
      </c>
      <c r="O16" s="252"/>
      <c r="P16" s="252"/>
    </row>
    <row r="17" spans="1:16" s="63" customFormat="1" ht="15" customHeight="1">
      <c r="A17" s="622" t="s">
        <v>410</v>
      </c>
      <c r="B17" s="791">
        <v>113700</v>
      </c>
      <c r="C17" s="252"/>
      <c r="D17" s="252"/>
      <c r="E17" s="252"/>
      <c r="F17" s="252"/>
      <c r="G17" s="252"/>
      <c r="H17" s="302"/>
      <c r="I17" s="303" t="str">
        <f>J10</f>
        <v>3BR</v>
      </c>
      <c r="J17" s="619">
        <v>77</v>
      </c>
      <c r="K17" s="619">
        <v>99</v>
      </c>
      <c r="L17" s="619">
        <v>22</v>
      </c>
      <c r="M17" s="620">
        <f t="shared" si="1"/>
        <v>99</v>
      </c>
      <c r="N17" s="621">
        <f t="shared" si="2"/>
        <v>121</v>
      </c>
      <c r="O17" s="252"/>
      <c r="P17" s="252"/>
    </row>
    <row r="18" spans="1:16" s="63" customFormat="1" ht="14.25" customHeight="1" thickBot="1">
      <c r="A18" s="622" t="s">
        <v>229</v>
      </c>
      <c r="B18" s="623">
        <v>0.33</v>
      </c>
      <c r="C18" s="252"/>
      <c r="D18" s="252"/>
      <c r="E18" s="252"/>
      <c r="F18" s="306"/>
      <c r="G18" s="307"/>
      <c r="H18" s="308"/>
      <c r="I18" s="309" t="s">
        <v>25</v>
      </c>
      <c r="J18" s="766">
        <v>80</v>
      </c>
      <c r="K18" s="766">
        <v>106</v>
      </c>
      <c r="L18" s="766">
        <v>24</v>
      </c>
      <c r="M18" s="767">
        <f t="shared" si="1"/>
        <v>104</v>
      </c>
      <c r="N18" s="689">
        <f t="shared" si="2"/>
        <v>130</v>
      </c>
      <c r="O18" s="252"/>
      <c r="P18" s="252"/>
    </row>
    <row r="19" spans="1:16" s="63" customFormat="1" ht="14.5">
      <c r="A19" s="252"/>
      <c r="B19" s="252"/>
      <c r="C19" s="252"/>
      <c r="D19" s="252"/>
      <c r="E19" s="252"/>
      <c r="F19" s="252"/>
      <c r="G19" s="310"/>
      <c r="H19" s="252"/>
      <c r="I19" s="252"/>
      <c r="J19" s="252"/>
      <c r="K19" s="252"/>
      <c r="L19" s="252"/>
      <c r="M19" s="252"/>
      <c r="N19" s="252"/>
      <c r="O19" s="252"/>
      <c r="P19" s="252"/>
    </row>
    <row r="20" spans="1:16" s="63" customFormat="1" ht="15" thickBot="1">
      <c r="A20" s="252"/>
      <c r="B20" s="252"/>
      <c r="C20" s="252"/>
      <c r="D20" s="252"/>
      <c r="E20" s="252"/>
      <c r="F20" s="252"/>
      <c r="G20" s="311"/>
      <c r="H20" s="252"/>
      <c r="I20" s="252"/>
      <c r="J20" s="252"/>
      <c r="K20" s="252"/>
      <c r="L20" s="252"/>
      <c r="M20" s="252"/>
      <c r="N20" s="252"/>
      <c r="O20" s="252"/>
      <c r="P20" s="252"/>
    </row>
    <row r="21" spans="1:16" s="63" customFormat="1" ht="29">
      <c r="A21" s="312" t="s">
        <v>230</v>
      </c>
      <c r="B21" s="313" t="s">
        <v>231</v>
      </c>
      <c r="C21" s="313" t="s">
        <v>232</v>
      </c>
      <c r="D21" s="314" t="s">
        <v>233</v>
      </c>
      <c r="E21" s="313" t="s">
        <v>234</v>
      </c>
      <c r="F21" s="313" t="s">
        <v>235</v>
      </c>
      <c r="G21" s="314" t="s">
        <v>236</v>
      </c>
      <c r="H21" s="314" t="s">
        <v>237</v>
      </c>
      <c r="I21" s="314" t="s">
        <v>238</v>
      </c>
      <c r="J21" s="314" t="s">
        <v>239</v>
      </c>
      <c r="K21" s="314" t="s">
        <v>240</v>
      </c>
      <c r="L21" s="315" t="s">
        <v>53</v>
      </c>
      <c r="M21" s="315" t="s">
        <v>241</v>
      </c>
      <c r="N21" s="316" t="s">
        <v>242</v>
      </c>
      <c r="O21" s="316" t="s">
        <v>243</v>
      </c>
      <c r="P21" s="317" t="s">
        <v>244</v>
      </c>
    </row>
    <row r="22" spans="1:16" s="63" customFormat="1" ht="14.5">
      <c r="A22" s="318">
        <v>1</v>
      </c>
      <c r="B22" s="768"/>
      <c r="C22" s="769"/>
      <c r="D22" s="319">
        <f>C22*(100%-$G$9)</f>
        <v>0</v>
      </c>
      <c r="E22" s="770"/>
      <c r="F22" s="319">
        <f>(E22/$E$79)*'CAM Charges &amp; Cashflow'!CAM</f>
        <v>0</v>
      </c>
      <c r="G22" s="319" t="e">
        <f>(INDEX($I$13:$N$18,MATCH(B22,$I$13:$I$18,0),MATCH($G$15,$I$13:$N$13,0)))*12</f>
        <v>#N/A</v>
      </c>
      <c r="H22" s="319">
        <f>-PMT($G$7,$G$8,D22)</f>
        <v>0</v>
      </c>
      <c r="I22" s="320" t="e">
        <f>F22+G22+H22</f>
        <v>#N/A</v>
      </c>
      <c r="J22" s="319" t="e">
        <f>I22/$B$18</f>
        <v>#N/A</v>
      </c>
      <c r="K22" s="293" t="e">
        <f>J22/VLOOKUP(B22,$J$7:$L$11,3)</f>
        <v>#N/A</v>
      </c>
      <c r="L22" s="268" t="e">
        <f>C22/E22</f>
        <v>#DIV/0!</v>
      </c>
      <c r="M22" s="321"/>
      <c r="N22" s="293" t="e">
        <f>L22/M22</f>
        <v>#DIV/0!</v>
      </c>
      <c r="O22" s="771"/>
      <c r="P22" s="322" t="e">
        <f>C22/O22</f>
        <v>#DIV/0!</v>
      </c>
    </row>
    <row r="23" spans="1:16" s="63" customFormat="1" ht="14.5">
      <c r="A23" s="318">
        <v>2</v>
      </c>
      <c r="B23" s="768"/>
      <c r="C23" s="769"/>
      <c r="D23" s="319">
        <f t="shared" ref="D23:D78" si="3">C23*(100%-$G$9)</f>
        <v>0</v>
      </c>
      <c r="E23" s="770"/>
      <c r="F23" s="319">
        <f>(E23/$E$79)*'CAM Charges &amp; Cashflow'!CAM</f>
        <v>0</v>
      </c>
      <c r="G23" s="319" t="e">
        <f t="shared" ref="G23:G78" si="4">(INDEX($I$13:$N$18,MATCH(B23,$I$13:$I$18,0),MATCH($G$15,$I$13:$N$13,0)))*12</f>
        <v>#N/A</v>
      </c>
      <c r="H23" s="319">
        <f t="shared" ref="H23:H78" si="5">-PMT($G$7,$G$8,D23)</f>
        <v>0</v>
      </c>
      <c r="I23" s="320" t="e">
        <f t="shared" ref="I23:I78" si="6">F23+G23+H23</f>
        <v>#N/A</v>
      </c>
      <c r="J23" s="319" t="e">
        <f t="shared" ref="J23:J78" si="7">I23/$B$18</f>
        <v>#N/A</v>
      </c>
      <c r="K23" s="293" t="e">
        <f t="shared" ref="K23:K78" si="8">J23/VLOOKUP(B23,$J$7:$L$11,3)</f>
        <v>#N/A</v>
      </c>
      <c r="L23" s="268" t="e">
        <f t="shared" ref="L23:L78" si="9">C23/E23</f>
        <v>#DIV/0!</v>
      </c>
      <c r="M23" s="319">
        <f>$M$22</f>
        <v>0</v>
      </c>
      <c r="N23" s="293" t="e">
        <f t="shared" ref="N23:N78" si="10">L23/M23</f>
        <v>#DIV/0!</v>
      </c>
      <c r="O23" s="771"/>
      <c r="P23" s="322" t="e">
        <f t="shared" ref="P23:P78" si="11">C23/O23</f>
        <v>#DIV/0!</v>
      </c>
    </row>
    <row r="24" spans="1:16" s="63" customFormat="1" ht="14.5">
      <c r="A24" s="318">
        <v>3</v>
      </c>
      <c r="B24" s="768"/>
      <c r="C24" s="769"/>
      <c r="D24" s="319">
        <f t="shared" si="3"/>
        <v>0</v>
      </c>
      <c r="E24" s="770"/>
      <c r="F24" s="319">
        <f>(E24/$E$79)*'CAM Charges &amp; Cashflow'!CAM</f>
        <v>0</v>
      </c>
      <c r="G24" s="319" t="e">
        <f t="shared" si="4"/>
        <v>#N/A</v>
      </c>
      <c r="H24" s="319">
        <f t="shared" si="5"/>
        <v>0</v>
      </c>
      <c r="I24" s="320" t="e">
        <f t="shared" si="6"/>
        <v>#N/A</v>
      </c>
      <c r="J24" s="319" t="e">
        <f t="shared" si="7"/>
        <v>#N/A</v>
      </c>
      <c r="K24" s="293" t="e">
        <f t="shared" si="8"/>
        <v>#N/A</v>
      </c>
      <c r="L24" s="268" t="e">
        <f t="shared" si="9"/>
        <v>#DIV/0!</v>
      </c>
      <c r="M24" s="319">
        <f t="shared" ref="M24:M78" si="12">$M$22</f>
        <v>0</v>
      </c>
      <c r="N24" s="293" t="e">
        <f t="shared" si="10"/>
        <v>#DIV/0!</v>
      </c>
      <c r="O24" s="771"/>
      <c r="P24" s="322" t="e">
        <f t="shared" si="11"/>
        <v>#DIV/0!</v>
      </c>
    </row>
    <row r="25" spans="1:16" s="63" customFormat="1" ht="14.5">
      <c r="A25" s="318">
        <v>4</v>
      </c>
      <c r="B25" s="768"/>
      <c r="C25" s="769"/>
      <c r="D25" s="319">
        <f t="shared" si="3"/>
        <v>0</v>
      </c>
      <c r="E25" s="770"/>
      <c r="F25" s="319">
        <f>(E25/$E$79)*'CAM Charges &amp; Cashflow'!CAM</f>
        <v>0</v>
      </c>
      <c r="G25" s="319" t="e">
        <f t="shared" si="4"/>
        <v>#N/A</v>
      </c>
      <c r="H25" s="319">
        <f t="shared" si="5"/>
        <v>0</v>
      </c>
      <c r="I25" s="320" t="e">
        <f t="shared" si="6"/>
        <v>#N/A</v>
      </c>
      <c r="J25" s="319" t="e">
        <f t="shared" si="7"/>
        <v>#N/A</v>
      </c>
      <c r="K25" s="293" t="e">
        <f t="shared" si="8"/>
        <v>#N/A</v>
      </c>
      <c r="L25" s="268" t="e">
        <f t="shared" si="9"/>
        <v>#DIV/0!</v>
      </c>
      <c r="M25" s="319">
        <f t="shared" si="12"/>
        <v>0</v>
      </c>
      <c r="N25" s="293" t="e">
        <f t="shared" si="10"/>
        <v>#DIV/0!</v>
      </c>
      <c r="O25" s="771"/>
      <c r="P25" s="322" t="e">
        <f t="shared" si="11"/>
        <v>#DIV/0!</v>
      </c>
    </row>
    <row r="26" spans="1:16" s="63" customFormat="1" ht="14.5">
      <c r="A26" s="318">
        <v>5</v>
      </c>
      <c r="B26" s="768"/>
      <c r="C26" s="769"/>
      <c r="D26" s="319">
        <f t="shared" si="3"/>
        <v>0</v>
      </c>
      <c r="E26" s="770"/>
      <c r="F26" s="319">
        <f>(E26/$E$79)*'CAM Charges &amp; Cashflow'!CAM</f>
        <v>0</v>
      </c>
      <c r="G26" s="319" t="e">
        <f t="shared" si="4"/>
        <v>#N/A</v>
      </c>
      <c r="H26" s="319">
        <f t="shared" si="5"/>
        <v>0</v>
      </c>
      <c r="I26" s="320" t="e">
        <f t="shared" si="6"/>
        <v>#N/A</v>
      </c>
      <c r="J26" s="319" t="e">
        <f t="shared" si="7"/>
        <v>#N/A</v>
      </c>
      <c r="K26" s="293" t="e">
        <f t="shared" si="8"/>
        <v>#N/A</v>
      </c>
      <c r="L26" s="268" t="e">
        <f t="shared" si="9"/>
        <v>#DIV/0!</v>
      </c>
      <c r="M26" s="319">
        <f t="shared" si="12"/>
        <v>0</v>
      </c>
      <c r="N26" s="293" t="e">
        <f t="shared" si="10"/>
        <v>#DIV/0!</v>
      </c>
      <c r="O26" s="771"/>
      <c r="P26" s="322" t="e">
        <f t="shared" si="11"/>
        <v>#DIV/0!</v>
      </c>
    </row>
    <row r="27" spans="1:16" s="63" customFormat="1" ht="14.5">
      <c r="A27" s="318">
        <v>6</v>
      </c>
      <c r="B27" s="768"/>
      <c r="C27" s="769"/>
      <c r="D27" s="319">
        <f t="shared" si="3"/>
        <v>0</v>
      </c>
      <c r="E27" s="770"/>
      <c r="F27" s="319">
        <f>(E27/$E$79)*'CAM Charges &amp; Cashflow'!CAM</f>
        <v>0</v>
      </c>
      <c r="G27" s="319" t="e">
        <f t="shared" si="4"/>
        <v>#N/A</v>
      </c>
      <c r="H27" s="319">
        <f t="shared" si="5"/>
        <v>0</v>
      </c>
      <c r="I27" s="320" t="e">
        <f t="shared" si="6"/>
        <v>#N/A</v>
      </c>
      <c r="J27" s="319" t="e">
        <f t="shared" si="7"/>
        <v>#N/A</v>
      </c>
      <c r="K27" s="293" t="e">
        <f t="shared" si="8"/>
        <v>#N/A</v>
      </c>
      <c r="L27" s="268" t="e">
        <f t="shared" si="9"/>
        <v>#DIV/0!</v>
      </c>
      <c r="M27" s="319">
        <f t="shared" si="12"/>
        <v>0</v>
      </c>
      <c r="N27" s="293" t="e">
        <f t="shared" si="10"/>
        <v>#DIV/0!</v>
      </c>
      <c r="O27" s="771"/>
      <c r="P27" s="322" t="e">
        <f t="shared" si="11"/>
        <v>#DIV/0!</v>
      </c>
    </row>
    <row r="28" spans="1:16" s="63" customFormat="1" ht="14.5">
      <c r="A28" s="318">
        <v>7</v>
      </c>
      <c r="B28" s="768"/>
      <c r="C28" s="769"/>
      <c r="D28" s="319">
        <f t="shared" si="3"/>
        <v>0</v>
      </c>
      <c r="E28" s="770"/>
      <c r="F28" s="319">
        <f>(E28/$E$79)*'CAM Charges &amp; Cashflow'!CAM</f>
        <v>0</v>
      </c>
      <c r="G28" s="319" t="e">
        <f t="shared" si="4"/>
        <v>#N/A</v>
      </c>
      <c r="H28" s="319">
        <f t="shared" si="5"/>
        <v>0</v>
      </c>
      <c r="I28" s="320" t="e">
        <f t="shared" si="6"/>
        <v>#N/A</v>
      </c>
      <c r="J28" s="319" t="e">
        <f t="shared" si="7"/>
        <v>#N/A</v>
      </c>
      <c r="K28" s="293" t="e">
        <f t="shared" si="8"/>
        <v>#N/A</v>
      </c>
      <c r="L28" s="268" t="e">
        <f t="shared" si="9"/>
        <v>#DIV/0!</v>
      </c>
      <c r="M28" s="319">
        <f t="shared" si="12"/>
        <v>0</v>
      </c>
      <c r="N28" s="293" t="e">
        <f t="shared" si="10"/>
        <v>#DIV/0!</v>
      </c>
      <c r="O28" s="771"/>
      <c r="P28" s="322" t="e">
        <f t="shared" si="11"/>
        <v>#DIV/0!</v>
      </c>
    </row>
    <row r="29" spans="1:16" s="63" customFormat="1" ht="14.5">
      <c r="A29" s="318">
        <v>8</v>
      </c>
      <c r="B29" s="768"/>
      <c r="C29" s="769"/>
      <c r="D29" s="319">
        <f t="shared" si="3"/>
        <v>0</v>
      </c>
      <c r="E29" s="770"/>
      <c r="F29" s="319">
        <f>(E29/$E$79)*'CAM Charges &amp; Cashflow'!CAM</f>
        <v>0</v>
      </c>
      <c r="G29" s="319" t="e">
        <f t="shared" si="4"/>
        <v>#N/A</v>
      </c>
      <c r="H29" s="319">
        <f t="shared" si="5"/>
        <v>0</v>
      </c>
      <c r="I29" s="320" t="e">
        <f t="shared" si="6"/>
        <v>#N/A</v>
      </c>
      <c r="J29" s="319" t="e">
        <f t="shared" si="7"/>
        <v>#N/A</v>
      </c>
      <c r="K29" s="293" t="e">
        <f t="shared" si="8"/>
        <v>#N/A</v>
      </c>
      <c r="L29" s="268" t="e">
        <f t="shared" si="9"/>
        <v>#DIV/0!</v>
      </c>
      <c r="M29" s="319">
        <f t="shared" si="12"/>
        <v>0</v>
      </c>
      <c r="N29" s="293" t="e">
        <f t="shared" si="10"/>
        <v>#DIV/0!</v>
      </c>
      <c r="O29" s="771"/>
      <c r="P29" s="322" t="e">
        <f t="shared" si="11"/>
        <v>#DIV/0!</v>
      </c>
    </row>
    <row r="30" spans="1:16" s="63" customFormat="1" ht="14.5">
      <c r="A30" s="318">
        <v>9</v>
      </c>
      <c r="B30" s="768"/>
      <c r="C30" s="769"/>
      <c r="D30" s="319">
        <f t="shared" si="3"/>
        <v>0</v>
      </c>
      <c r="E30" s="770"/>
      <c r="F30" s="319">
        <f>(E30/$E$79)*'CAM Charges &amp; Cashflow'!CAM</f>
        <v>0</v>
      </c>
      <c r="G30" s="319" t="e">
        <f t="shared" si="4"/>
        <v>#N/A</v>
      </c>
      <c r="H30" s="319">
        <f t="shared" si="5"/>
        <v>0</v>
      </c>
      <c r="I30" s="320" t="e">
        <f t="shared" si="6"/>
        <v>#N/A</v>
      </c>
      <c r="J30" s="319" t="e">
        <f t="shared" si="7"/>
        <v>#N/A</v>
      </c>
      <c r="K30" s="293" t="e">
        <f t="shared" si="8"/>
        <v>#N/A</v>
      </c>
      <c r="L30" s="268" t="e">
        <f t="shared" si="9"/>
        <v>#DIV/0!</v>
      </c>
      <c r="M30" s="319">
        <f t="shared" si="12"/>
        <v>0</v>
      </c>
      <c r="N30" s="293" t="e">
        <f t="shared" si="10"/>
        <v>#DIV/0!</v>
      </c>
      <c r="O30" s="771"/>
      <c r="P30" s="322" t="e">
        <f t="shared" si="11"/>
        <v>#DIV/0!</v>
      </c>
    </row>
    <row r="31" spans="1:16" s="63" customFormat="1" ht="14.5">
      <c r="A31" s="318">
        <v>10</v>
      </c>
      <c r="B31" s="768"/>
      <c r="C31" s="769"/>
      <c r="D31" s="319">
        <f t="shared" si="3"/>
        <v>0</v>
      </c>
      <c r="E31" s="770"/>
      <c r="F31" s="319">
        <f>(E31/$E$79)*'CAM Charges &amp; Cashflow'!CAM</f>
        <v>0</v>
      </c>
      <c r="G31" s="319" t="e">
        <f t="shared" si="4"/>
        <v>#N/A</v>
      </c>
      <c r="H31" s="319">
        <f t="shared" si="5"/>
        <v>0</v>
      </c>
      <c r="I31" s="320" t="e">
        <f t="shared" si="6"/>
        <v>#N/A</v>
      </c>
      <c r="J31" s="319" t="e">
        <f t="shared" si="7"/>
        <v>#N/A</v>
      </c>
      <c r="K31" s="293" t="e">
        <f t="shared" si="8"/>
        <v>#N/A</v>
      </c>
      <c r="L31" s="268" t="e">
        <f t="shared" si="9"/>
        <v>#DIV/0!</v>
      </c>
      <c r="M31" s="319">
        <f t="shared" si="12"/>
        <v>0</v>
      </c>
      <c r="N31" s="293" t="e">
        <f t="shared" si="10"/>
        <v>#DIV/0!</v>
      </c>
      <c r="O31" s="771"/>
      <c r="P31" s="322" t="e">
        <f t="shared" si="11"/>
        <v>#DIV/0!</v>
      </c>
    </row>
    <row r="32" spans="1:16" s="63" customFormat="1" ht="14.5">
      <c r="A32" s="318">
        <v>11</v>
      </c>
      <c r="B32" s="768"/>
      <c r="C32" s="769"/>
      <c r="D32" s="319">
        <f t="shared" si="3"/>
        <v>0</v>
      </c>
      <c r="E32" s="770"/>
      <c r="F32" s="319">
        <f>(E32/$E$79)*'CAM Charges &amp; Cashflow'!CAM</f>
        <v>0</v>
      </c>
      <c r="G32" s="319" t="e">
        <f t="shared" si="4"/>
        <v>#N/A</v>
      </c>
      <c r="H32" s="319">
        <f t="shared" si="5"/>
        <v>0</v>
      </c>
      <c r="I32" s="320" t="e">
        <f t="shared" si="6"/>
        <v>#N/A</v>
      </c>
      <c r="J32" s="319" t="e">
        <f t="shared" si="7"/>
        <v>#N/A</v>
      </c>
      <c r="K32" s="293" t="e">
        <f t="shared" si="8"/>
        <v>#N/A</v>
      </c>
      <c r="L32" s="268" t="e">
        <f t="shared" si="9"/>
        <v>#DIV/0!</v>
      </c>
      <c r="M32" s="319">
        <f t="shared" si="12"/>
        <v>0</v>
      </c>
      <c r="N32" s="293" t="e">
        <f t="shared" si="10"/>
        <v>#DIV/0!</v>
      </c>
      <c r="O32" s="771"/>
      <c r="P32" s="322" t="e">
        <f t="shared" si="11"/>
        <v>#DIV/0!</v>
      </c>
    </row>
    <row r="33" spans="1:16" s="63" customFormat="1" ht="14.5">
      <c r="A33" s="318">
        <v>12</v>
      </c>
      <c r="B33" s="768"/>
      <c r="C33" s="769"/>
      <c r="D33" s="319">
        <f t="shared" si="3"/>
        <v>0</v>
      </c>
      <c r="E33" s="770"/>
      <c r="F33" s="319">
        <f>(E33/$E$79)*'CAM Charges &amp; Cashflow'!CAM</f>
        <v>0</v>
      </c>
      <c r="G33" s="319" t="e">
        <f t="shared" si="4"/>
        <v>#N/A</v>
      </c>
      <c r="H33" s="319">
        <f t="shared" si="5"/>
        <v>0</v>
      </c>
      <c r="I33" s="320" t="e">
        <f t="shared" si="6"/>
        <v>#N/A</v>
      </c>
      <c r="J33" s="319" t="e">
        <f t="shared" si="7"/>
        <v>#N/A</v>
      </c>
      <c r="K33" s="293" t="e">
        <f t="shared" si="8"/>
        <v>#N/A</v>
      </c>
      <c r="L33" s="268" t="e">
        <f t="shared" si="9"/>
        <v>#DIV/0!</v>
      </c>
      <c r="M33" s="319">
        <f t="shared" si="12"/>
        <v>0</v>
      </c>
      <c r="N33" s="293" t="e">
        <f t="shared" si="10"/>
        <v>#DIV/0!</v>
      </c>
      <c r="O33" s="771"/>
      <c r="P33" s="322" t="e">
        <f t="shared" si="11"/>
        <v>#DIV/0!</v>
      </c>
    </row>
    <row r="34" spans="1:16" s="63" customFormat="1" ht="14.5">
      <c r="A34" s="318">
        <v>13</v>
      </c>
      <c r="B34" s="768"/>
      <c r="C34" s="769"/>
      <c r="D34" s="319">
        <f t="shared" si="3"/>
        <v>0</v>
      </c>
      <c r="E34" s="770"/>
      <c r="F34" s="319">
        <f>(E34/$E$79)*'CAM Charges &amp; Cashflow'!CAM</f>
        <v>0</v>
      </c>
      <c r="G34" s="319" t="e">
        <f t="shared" si="4"/>
        <v>#N/A</v>
      </c>
      <c r="H34" s="319">
        <f t="shared" si="5"/>
        <v>0</v>
      </c>
      <c r="I34" s="320" t="e">
        <f t="shared" si="6"/>
        <v>#N/A</v>
      </c>
      <c r="J34" s="319" t="e">
        <f t="shared" si="7"/>
        <v>#N/A</v>
      </c>
      <c r="K34" s="293" t="e">
        <f t="shared" si="8"/>
        <v>#N/A</v>
      </c>
      <c r="L34" s="268" t="e">
        <f t="shared" si="9"/>
        <v>#DIV/0!</v>
      </c>
      <c r="M34" s="319">
        <f t="shared" si="12"/>
        <v>0</v>
      </c>
      <c r="N34" s="293" t="e">
        <f t="shared" si="10"/>
        <v>#DIV/0!</v>
      </c>
      <c r="O34" s="771"/>
      <c r="P34" s="322" t="e">
        <f t="shared" si="11"/>
        <v>#DIV/0!</v>
      </c>
    </row>
    <row r="35" spans="1:16" s="63" customFormat="1" ht="14.5">
      <c r="A35" s="318">
        <v>14</v>
      </c>
      <c r="B35" s="768"/>
      <c r="C35" s="769"/>
      <c r="D35" s="319">
        <f t="shared" si="3"/>
        <v>0</v>
      </c>
      <c r="E35" s="770"/>
      <c r="F35" s="319">
        <f>(E35/$E$79)*'CAM Charges &amp; Cashflow'!CAM</f>
        <v>0</v>
      </c>
      <c r="G35" s="319" t="e">
        <f t="shared" si="4"/>
        <v>#N/A</v>
      </c>
      <c r="H35" s="319">
        <f t="shared" si="5"/>
        <v>0</v>
      </c>
      <c r="I35" s="320" t="e">
        <f t="shared" si="6"/>
        <v>#N/A</v>
      </c>
      <c r="J35" s="319" t="e">
        <f t="shared" si="7"/>
        <v>#N/A</v>
      </c>
      <c r="K35" s="293" t="e">
        <f t="shared" si="8"/>
        <v>#N/A</v>
      </c>
      <c r="L35" s="268" t="e">
        <f t="shared" si="9"/>
        <v>#DIV/0!</v>
      </c>
      <c r="M35" s="319">
        <f t="shared" si="12"/>
        <v>0</v>
      </c>
      <c r="N35" s="293" t="e">
        <f t="shared" si="10"/>
        <v>#DIV/0!</v>
      </c>
      <c r="O35" s="771"/>
      <c r="P35" s="322" t="e">
        <f t="shared" si="11"/>
        <v>#DIV/0!</v>
      </c>
    </row>
    <row r="36" spans="1:16" s="63" customFormat="1" ht="14.5">
      <c r="A36" s="318">
        <v>15</v>
      </c>
      <c r="B36" s="768"/>
      <c r="C36" s="769"/>
      <c r="D36" s="319">
        <f t="shared" si="3"/>
        <v>0</v>
      </c>
      <c r="E36" s="770"/>
      <c r="F36" s="319">
        <f>(E36/$E$79)*'CAM Charges &amp; Cashflow'!CAM</f>
        <v>0</v>
      </c>
      <c r="G36" s="319" t="e">
        <f t="shared" si="4"/>
        <v>#N/A</v>
      </c>
      <c r="H36" s="319">
        <f t="shared" si="5"/>
        <v>0</v>
      </c>
      <c r="I36" s="320" t="e">
        <f t="shared" si="6"/>
        <v>#N/A</v>
      </c>
      <c r="J36" s="319" t="e">
        <f t="shared" si="7"/>
        <v>#N/A</v>
      </c>
      <c r="K36" s="293" t="e">
        <f t="shared" si="8"/>
        <v>#N/A</v>
      </c>
      <c r="L36" s="268" t="e">
        <f t="shared" si="9"/>
        <v>#DIV/0!</v>
      </c>
      <c r="M36" s="319">
        <f t="shared" si="12"/>
        <v>0</v>
      </c>
      <c r="N36" s="293" t="e">
        <f t="shared" si="10"/>
        <v>#DIV/0!</v>
      </c>
      <c r="O36" s="771"/>
      <c r="P36" s="322" t="e">
        <f t="shared" si="11"/>
        <v>#DIV/0!</v>
      </c>
    </row>
    <row r="37" spans="1:16" s="63" customFormat="1" ht="14.5">
      <c r="A37" s="318">
        <v>16</v>
      </c>
      <c r="B37" s="768"/>
      <c r="C37" s="769"/>
      <c r="D37" s="319">
        <f t="shared" si="3"/>
        <v>0</v>
      </c>
      <c r="E37" s="770"/>
      <c r="F37" s="319">
        <f>(E37/$E$79)*'CAM Charges &amp; Cashflow'!CAM</f>
        <v>0</v>
      </c>
      <c r="G37" s="319" t="e">
        <f t="shared" si="4"/>
        <v>#N/A</v>
      </c>
      <c r="H37" s="319">
        <f t="shared" si="5"/>
        <v>0</v>
      </c>
      <c r="I37" s="320" t="e">
        <f t="shared" si="6"/>
        <v>#N/A</v>
      </c>
      <c r="J37" s="319" t="e">
        <f t="shared" si="7"/>
        <v>#N/A</v>
      </c>
      <c r="K37" s="293" t="e">
        <f t="shared" si="8"/>
        <v>#N/A</v>
      </c>
      <c r="L37" s="268" t="e">
        <f t="shared" si="9"/>
        <v>#DIV/0!</v>
      </c>
      <c r="M37" s="319">
        <f t="shared" si="12"/>
        <v>0</v>
      </c>
      <c r="N37" s="293" t="e">
        <f t="shared" si="10"/>
        <v>#DIV/0!</v>
      </c>
      <c r="O37" s="771"/>
      <c r="P37" s="322" t="e">
        <f t="shared" si="11"/>
        <v>#DIV/0!</v>
      </c>
    </row>
    <row r="38" spans="1:16" s="63" customFormat="1" ht="14.5">
      <c r="A38" s="318">
        <v>17</v>
      </c>
      <c r="B38" s="768"/>
      <c r="C38" s="769"/>
      <c r="D38" s="319">
        <f t="shared" si="3"/>
        <v>0</v>
      </c>
      <c r="E38" s="770"/>
      <c r="F38" s="319">
        <f>(E38/$E$79)*'CAM Charges &amp; Cashflow'!CAM</f>
        <v>0</v>
      </c>
      <c r="G38" s="319" t="e">
        <f t="shared" si="4"/>
        <v>#N/A</v>
      </c>
      <c r="H38" s="319">
        <f t="shared" si="5"/>
        <v>0</v>
      </c>
      <c r="I38" s="320" t="e">
        <f t="shared" si="6"/>
        <v>#N/A</v>
      </c>
      <c r="J38" s="319" t="e">
        <f t="shared" si="7"/>
        <v>#N/A</v>
      </c>
      <c r="K38" s="293" t="e">
        <f t="shared" si="8"/>
        <v>#N/A</v>
      </c>
      <c r="L38" s="268" t="e">
        <f t="shared" si="9"/>
        <v>#DIV/0!</v>
      </c>
      <c r="M38" s="319">
        <f t="shared" si="12"/>
        <v>0</v>
      </c>
      <c r="N38" s="293" t="e">
        <f t="shared" si="10"/>
        <v>#DIV/0!</v>
      </c>
      <c r="O38" s="771"/>
      <c r="P38" s="322" t="e">
        <f t="shared" si="11"/>
        <v>#DIV/0!</v>
      </c>
    </row>
    <row r="39" spans="1:16" s="63" customFormat="1" ht="14.5">
      <c r="A39" s="318">
        <v>18</v>
      </c>
      <c r="B39" s="768"/>
      <c r="C39" s="769"/>
      <c r="D39" s="319">
        <f t="shared" si="3"/>
        <v>0</v>
      </c>
      <c r="E39" s="770"/>
      <c r="F39" s="319">
        <f>(E39/$E$79)*'CAM Charges &amp; Cashflow'!CAM</f>
        <v>0</v>
      </c>
      <c r="G39" s="319" t="e">
        <f t="shared" si="4"/>
        <v>#N/A</v>
      </c>
      <c r="H39" s="319">
        <f t="shared" si="5"/>
        <v>0</v>
      </c>
      <c r="I39" s="320" t="e">
        <f t="shared" si="6"/>
        <v>#N/A</v>
      </c>
      <c r="J39" s="319" t="e">
        <f t="shared" si="7"/>
        <v>#N/A</v>
      </c>
      <c r="K39" s="293" t="e">
        <f t="shared" si="8"/>
        <v>#N/A</v>
      </c>
      <c r="L39" s="268" t="e">
        <f t="shared" si="9"/>
        <v>#DIV/0!</v>
      </c>
      <c r="M39" s="319">
        <f t="shared" si="12"/>
        <v>0</v>
      </c>
      <c r="N39" s="293" t="e">
        <f t="shared" si="10"/>
        <v>#DIV/0!</v>
      </c>
      <c r="O39" s="771"/>
      <c r="P39" s="322" t="e">
        <f t="shared" si="11"/>
        <v>#DIV/0!</v>
      </c>
    </row>
    <row r="40" spans="1:16" s="63" customFormat="1" ht="14.5">
      <c r="A40" s="318">
        <v>19</v>
      </c>
      <c r="B40" s="768"/>
      <c r="C40" s="769"/>
      <c r="D40" s="319">
        <f t="shared" si="3"/>
        <v>0</v>
      </c>
      <c r="E40" s="770"/>
      <c r="F40" s="319">
        <f>(E40/$E$79)*'CAM Charges &amp; Cashflow'!CAM</f>
        <v>0</v>
      </c>
      <c r="G40" s="319" t="e">
        <f t="shared" si="4"/>
        <v>#N/A</v>
      </c>
      <c r="H40" s="319">
        <f t="shared" si="5"/>
        <v>0</v>
      </c>
      <c r="I40" s="320" t="e">
        <f t="shared" si="6"/>
        <v>#N/A</v>
      </c>
      <c r="J40" s="319" t="e">
        <f t="shared" si="7"/>
        <v>#N/A</v>
      </c>
      <c r="K40" s="293" t="e">
        <f t="shared" si="8"/>
        <v>#N/A</v>
      </c>
      <c r="L40" s="268" t="e">
        <f t="shared" si="9"/>
        <v>#DIV/0!</v>
      </c>
      <c r="M40" s="319">
        <f t="shared" si="12"/>
        <v>0</v>
      </c>
      <c r="N40" s="293" t="e">
        <f t="shared" si="10"/>
        <v>#DIV/0!</v>
      </c>
      <c r="O40" s="771"/>
      <c r="P40" s="322" t="e">
        <f t="shared" si="11"/>
        <v>#DIV/0!</v>
      </c>
    </row>
    <row r="41" spans="1:16" s="63" customFormat="1" ht="14.5">
      <c r="A41" s="318">
        <v>20</v>
      </c>
      <c r="B41" s="768"/>
      <c r="C41" s="769"/>
      <c r="D41" s="319">
        <f t="shared" si="3"/>
        <v>0</v>
      </c>
      <c r="E41" s="770"/>
      <c r="F41" s="319">
        <f>(E41/$E$79)*'CAM Charges &amp; Cashflow'!CAM</f>
        <v>0</v>
      </c>
      <c r="G41" s="319" t="e">
        <f t="shared" si="4"/>
        <v>#N/A</v>
      </c>
      <c r="H41" s="319">
        <f t="shared" si="5"/>
        <v>0</v>
      </c>
      <c r="I41" s="320" t="e">
        <f t="shared" si="6"/>
        <v>#N/A</v>
      </c>
      <c r="J41" s="319" t="e">
        <f t="shared" si="7"/>
        <v>#N/A</v>
      </c>
      <c r="K41" s="293" t="e">
        <f t="shared" si="8"/>
        <v>#N/A</v>
      </c>
      <c r="L41" s="268" t="e">
        <f t="shared" si="9"/>
        <v>#DIV/0!</v>
      </c>
      <c r="M41" s="319">
        <f t="shared" si="12"/>
        <v>0</v>
      </c>
      <c r="N41" s="293" t="e">
        <f t="shared" si="10"/>
        <v>#DIV/0!</v>
      </c>
      <c r="O41" s="771"/>
      <c r="P41" s="322" t="e">
        <f t="shared" si="11"/>
        <v>#DIV/0!</v>
      </c>
    </row>
    <row r="42" spans="1:16" s="63" customFormat="1" ht="14.5">
      <c r="A42" s="318">
        <v>21</v>
      </c>
      <c r="B42" s="768"/>
      <c r="C42" s="769"/>
      <c r="D42" s="319">
        <f t="shared" si="3"/>
        <v>0</v>
      </c>
      <c r="E42" s="770"/>
      <c r="F42" s="319">
        <f>(E42/$E$79)*'CAM Charges &amp; Cashflow'!CAM</f>
        <v>0</v>
      </c>
      <c r="G42" s="319" t="e">
        <f t="shared" si="4"/>
        <v>#N/A</v>
      </c>
      <c r="H42" s="319">
        <f t="shared" si="5"/>
        <v>0</v>
      </c>
      <c r="I42" s="320" t="e">
        <f t="shared" si="6"/>
        <v>#N/A</v>
      </c>
      <c r="J42" s="319" t="e">
        <f t="shared" si="7"/>
        <v>#N/A</v>
      </c>
      <c r="K42" s="293" t="e">
        <f t="shared" si="8"/>
        <v>#N/A</v>
      </c>
      <c r="L42" s="268" t="e">
        <f t="shared" si="9"/>
        <v>#DIV/0!</v>
      </c>
      <c r="M42" s="319">
        <f t="shared" si="12"/>
        <v>0</v>
      </c>
      <c r="N42" s="293" t="e">
        <f t="shared" si="10"/>
        <v>#DIV/0!</v>
      </c>
      <c r="O42" s="771"/>
      <c r="P42" s="322" t="e">
        <f t="shared" si="11"/>
        <v>#DIV/0!</v>
      </c>
    </row>
    <row r="43" spans="1:16" s="63" customFormat="1" ht="14.5">
      <c r="A43" s="318">
        <v>22</v>
      </c>
      <c r="B43" s="768"/>
      <c r="C43" s="769"/>
      <c r="D43" s="319">
        <f t="shared" si="3"/>
        <v>0</v>
      </c>
      <c r="E43" s="770"/>
      <c r="F43" s="319">
        <f>(E43/$E$79)*'CAM Charges &amp; Cashflow'!CAM</f>
        <v>0</v>
      </c>
      <c r="G43" s="319" t="e">
        <f t="shared" si="4"/>
        <v>#N/A</v>
      </c>
      <c r="H43" s="319">
        <f t="shared" si="5"/>
        <v>0</v>
      </c>
      <c r="I43" s="320" t="e">
        <f t="shared" si="6"/>
        <v>#N/A</v>
      </c>
      <c r="J43" s="319" t="e">
        <f t="shared" si="7"/>
        <v>#N/A</v>
      </c>
      <c r="K43" s="293" t="e">
        <f t="shared" si="8"/>
        <v>#N/A</v>
      </c>
      <c r="L43" s="268" t="e">
        <f t="shared" si="9"/>
        <v>#DIV/0!</v>
      </c>
      <c r="M43" s="319">
        <f t="shared" si="12"/>
        <v>0</v>
      </c>
      <c r="N43" s="293" t="e">
        <f t="shared" si="10"/>
        <v>#DIV/0!</v>
      </c>
      <c r="O43" s="771"/>
      <c r="P43" s="322" t="e">
        <f t="shared" si="11"/>
        <v>#DIV/0!</v>
      </c>
    </row>
    <row r="44" spans="1:16" s="63" customFormat="1" ht="14.5">
      <c r="A44" s="318">
        <v>23</v>
      </c>
      <c r="B44" s="768"/>
      <c r="C44" s="769"/>
      <c r="D44" s="319">
        <f t="shared" si="3"/>
        <v>0</v>
      </c>
      <c r="E44" s="770"/>
      <c r="F44" s="319">
        <f>(E44/$E$79)*'CAM Charges &amp; Cashflow'!CAM</f>
        <v>0</v>
      </c>
      <c r="G44" s="319" t="e">
        <f t="shared" si="4"/>
        <v>#N/A</v>
      </c>
      <c r="H44" s="319">
        <f t="shared" si="5"/>
        <v>0</v>
      </c>
      <c r="I44" s="320" t="e">
        <f t="shared" si="6"/>
        <v>#N/A</v>
      </c>
      <c r="J44" s="319" t="e">
        <f t="shared" si="7"/>
        <v>#N/A</v>
      </c>
      <c r="K44" s="293" t="e">
        <f t="shared" si="8"/>
        <v>#N/A</v>
      </c>
      <c r="L44" s="268" t="e">
        <f t="shared" si="9"/>
        <v>#DIV/0!</v>
      </c>
      <c r="M44" s="319">
        <f t="shared" si="12"/>
        <v>0</v>
      </c>
      <c r="N44" s="293" t="e">
        <f t="shared" si="10"/>
        <v>#DIV/0!</v>
      </c>
      <c r="O44" s="771"/>
      <c r="P44" s="322" t="e">
        <f t="shared" si="11"/>
        <v>#DIV/0!</v>
      </c>
    </row>
    <row r="45" spans="1:16" s="63" customFormat="1" ht="14.5">
      <c r="A45" s="318">
        <v>24</v>
      </c>
      <c r="B45" s="768"/>
      <c r="C45" s="769"/>
      <c r="D45" s="319">
        <f t="shared" si="3"/>
        <v>0</v>
      </c>
      <c r="E45" s="770"/>
      <c r="F45" s="319">
        <f>(E45/$E$79)*'CAM Charges &amp; Cashflow'!CAM</f>
        <v>0</v>
      </c>
      <c r="G45" s="319" t="e">
        <f t="shared" si="4"/>
        <v>#N/A</v>
      </c>
      <c r="H45" s="319">
        <f t="shared" si="5"/>
        <v>0</v>
      </c>
      <c r="I45" s="320" t="e">
        <f t="shared" si="6"/>
        <v>#N/A</v>
      </c>
      <c r="J45" s="319" t="e">
        <f t="shared" si="7"/>
        <v>#N/A</v>
      </c>
      <c r="K45" s="293" t="e">
        <f t="shared" si="8"/>
        <v>#N/A</v>
      </c>
      <c r="L45" s="268" t="e">
        <f t="shared" si="9"/>
        <v>#DIV/0!</v>
      </c>
      <c r="M45" s="319">
        <f t="shared" si="12"/>
        <v>0</v>
      </c>
      <c r="N45" s="293" t="e">
        <f t="shared" si="10"/>
        <v>#DIV/0!</v>
      </c>
      <c r="O45" s="771"/>
      <c r="P45" s="322" t="e">
        <f t="shared" si="11"/>
        <v>#DIV/0!</v>
      </c>
    </row>
    <row r="46" spans="1:16" s="63" customFormat="1" ht="14.5">
      <c r="A46" s="318">
        <v>25</v>
      </c>
      <c r="B46" s="768"/>
      <c r="C46" s="769"/>
      <c r="D46" s="319">
        <f t="shared" si="3"/>
        <v>0</v>
      </c>
      <c r="E46" s="770"/>
      <c r="F46" s="319">
        <f>(E46/$E$79)*'CAM Charges &amp; Cashflow'!CAM</f>
        <v>0</v>
      </c>
      <c r="G46" s="319" t="e">
        <f t="shared" si="4"/>
        <v>#N/A</v>
      </c>
      <c r="H46" s="319">
        <f t="shared" si="5"/>
        <v>0</v>
      </c>
      <c r="I46" s="320" t="e">
        <f t="shared" si="6"/>
        <v>#N/A</v>
      </c>
      <c r="J46" s="319" t="e">
        <f t="shared" si="7"/>
        <v>#N/A</v>
      </c>
      <c r="K46" s="293" t="e">
        <f t="shared" si="8"/>
        <v>#N/A</v>
      </c>
      <c r="L46" s="268" t="e">
        <f t="shared" si="9"/>
        <v>#DIV/0!</v>
      </c>
      <c r="M46" s="319">
        <f t="shared" si="12"/>
        <v>0</v>
      </c>
      <c r="N46" s="293" t="e">
        <f t="shared" si="10"/>
        <v>#DIV/0!</v>
      </c>
      <c r="O46" s="771"/>
      <c r="P46" s="322" t="e">
        <f t="shared" si="11"/>
        <v>#DIV/0!</v>
      </c>
    </row>
    <row r="47" spans="1:16" ht="14.5">
      <c r="A47" s="318">
        <v>26</v>
      </c>
      <c r="B47" s="768"/>
      <c r="C47" s="769"/>
      <c r="D47" s="319">
        <f t="shared" si="3"/>
        <v>0</v>
      </c>
      <c r="E47" s="770"/>
      <c r="F47" s="319">
        <f>(E47/$E$79)*'CAM Charges &amp; Cashflow'!CAM</f>
        <v>0</v>
      </c>
      <c r="G47" s="319" t="e">
        <f t="shared" si="4"/>
        <v>#N/A</v>
      </c>
      <c r="H47" s="319">
        <f t="shared" si="5"/>
        <v>0</v>
      </c>
      <c r="I47" s="320" t="e">
        <f t="shared" si="6"/>
        <v>#N/A</v>
      </c>
      <c r="J47" s="319" t="e">
        <f t="shared" si="7"/>
        <v>#N/A</v>
      </c>
      <c r="K47" s="293" t="e">
        <f t="shared" si="8"/>
        <v>#N/A</v>
      </c>
      <c r="L47" s="268" t="e">
        <f t="shared" si="9"/>
        <v>#DIV/0!</v>
      </c>
      <c r="M47" s="319">
        <f t="shared" si="12"/>
        <v>0</v>
      </c>
      <c r="N47" s="293" t="e">
        <f t="shared" si="10"/>
        <v>#DIV/0!</v>
      </c>
      <c r="O47" s="771"/>
      <c r="P47" s="322" t="e">
        <f t="shared" si="11"/>
        <v>#DIV/0!</v>
      </c>
    </row>
    <row r="48" spans="1:16" ht="14.5">
      <c r="A48" s="318">
        <v>27</v>
      </c>
      <c r="B48" s="768"/>
      <c r="C48" s="769"/>
      <c r="D48" s="319">
        <f t="shared" si="3"/>
        <v>0</v>
      </c>
      <c r="E48" s="770"/>
      <c r="F48" s="319">
        <f>(E48/$E$79)*'CAM Charges &amp; Cashflow'!CAM</f>
        <v>0</v>
      </c>
      <c r="G48" s="319" t="e">
        <f t="shared" si="4"/>
        <v>#N/A</v>
      </c>
      <c r="H48" s="319">
        <f t="shared" si="5"/>
        <v>0</v>
      </c>
      <c r="I48" s="320" t="e">
        <f t="shared" si="6"/>
        <v>#N/A</v>
      </c>
      <c r="J48" s="319" t="e">
        <f t="shared" si="7"/>
        <v>#N/A</v>
      </c>
      <c r="K48" s="293" t="e">
        <f t="shared" si="8"/>
        <v>#N/A</v>
      </c>
      <c r="L48" s="268" t="e">
        <f t="shared" si="9"/>
        <v>#DIV/0!</v>
      </c>
      <c r="M48" s="319">
        <f t="shared" si="12"/>
        <v>0</v>
      </c>
      <c r="N48" s="293" t="e">
        <f t="shared" si="10"/>
        <v>#DIV/0!</v>
      </c>
      <c r="O48" s="771"/>
      <c r="P48" s="322" t="e">
        <f t="shared" si="11"/>
        <v>#DIV/0!</v>
      </c>
    </row>
    <row r="49" spans="1:16" ht="14.5">
      <c r="A49" s="318">
        <v>28</v>
      </c>
      <c r="B49" s="768"/>
      <c r="C49" s="769"/>
      <c r="D49" s="319">
        <f t="shared" si="3"/>
        <v>0</v>
      </c>
      <c r="E49" s="770"/>
      <c r="F49" s="319">
        <f>(E49/$E$79)*'CAM Charges &amp; Cashflow'!CAM</f>
        <v>0</v>
      </c>
      <c r="G49" s="319" t="e">
        <f t="shared" si="4"/>
        <v>#N/A</v>
      </c>
      <c r="H49" s="319">
        <f t="shared" si="5"/>
        <v>0</v>
      </c>
      <c r="I49" s="320" t="e">
        <f t="shared" si="6"/>
        <v>#N/A</v>
      </c>
      <c r="J49" s="319" t="e">
        <f t="shared" si="7"/>
        <v>#N/A</v>
      </c>
      <c r="K49" s="293" t="e">
        <f t="shared" si="8"/>
        <v>#N/A</v>
      </c>
      <c r="L49" s="268" t="e">
        <f t="shared" si="9"/>
        <v>#DIV/0!</v>
      </c>
      <c r="M49" s="319">
        <f t="shared" si="12"/>
        <v>0</v>
      </c>
      <c r="N49" s="293" t="e">
        <f t="shared" si="10"/>
        <v>#DIV/0!</v>
      </c>
      <c r="O49" s="771"/>
      <c r="P49" s="322" t="e">
        <f t="shared" si="11"/>
        <v>#DIV/0!</v>
      </c>
    </row>
    <row r="50" spans="1:16" s="63" customFormat="1" ht="14.5">
      <c r="A50" s="318">
        <v>29</v>
      </c>
      <c r="B50" s="768"/>
      <c r="C50" s="769"/>
      <c r="D50" s="319">
        <f t="shared" si="3"/>
        <v>0</v>
      </c>
      <c r="E50" s="770"/>
      <c r="F50" s="319">
        <f>(E50/$E$79)*'CAM Charges &amp; Cashflow'!CAM</f>
        <v>0</v>
      </c>
      <c r="G50" s="319" t="e">
        <f t="shared" si="4"/>
        <v>#N/A</v>
      </c>
      <c r="H50" s="319">
        <f t="shared" si="5"/>
        <v>0</v>
      </c>
      <c r="I50" s="320" t="e">
        <f t="shared" si="6"/>
        <v>#N/A</v>
      </c>
      <c r="J50" s="319" t="e">
        <f t="shared" si="7"/>
        <v>#N/A</v>
      </c>
      <c r="K50" s="293" t="e">
        <f t="shared" si="8"/>
        <v>#N/A</v>
      </c>
      <c r="L50" s="268" t="e">
        <f t="shared" si="9"/>
        <v>#DIV/0!</v>
      </c>
      <c r="M50" s="319">
        <f t="shared" si="12"/>
        <v>0</v>
      </c>
      <c r="N50" s="293" t="e">
        <f t="shared" si="10"/>
        <v>#DIV/0!</v>
      </c>
      <c r="O50" s="771"/>
      <c r="P50" s="322" t="e">
        <f t="shared" si="11"/>
        <v>#DIV/0!</v>
      </c>
    </row>
    <row r="51" spans="1:16" s="63" customFormat="1" ht="14.5">
      <c r="A51" s="318">
        <v>30</v>
      </c>
      <c r="B51" s="768"/>
      <c r="C51" s="769"/>
      <c r="D51" s="319">
        <f t="shared" si="3"/>
        <v>0</v>
      </c>
      <c r="E51" s="770"/>
      <c r="F51" s="319">
        <f>(E51/$E$79)*'CAM Charges &amp; Cashflow'!CAM</f>
        <v>0</v>
      </c>
      <c r="G51" s="319" t="e">
        <f t="shared" si="4"/>
        <v>#N/A</v>
      </c>
      <c r="H51" s="319">
        <f t="shared" si="5"/>
        <v>0</v>
      </c>
      <c r="I51" s="320" t="e">
        <f t="shared" si="6"/>
        <v>#N/A</v>
      </c>
      <c r="J51" s="319" t="e">
        <f t="shared" si="7"/>
        <v>#N/A</v>
      </c>
      <c r="K51" s="293" t="e">
        <f t="shared" si="8"/>
        <v>#N/A</v>
      </c>
      <c r="L51" s="268" t="e">
        <f t="shared" si="9"/>
        <v>#DIV/0!</v>
      </c>
      <c r="M51" s="319">
        <f t="shared" si="12"/>
        <v>0</v>
      </c>
      <c r="N51" s="293" t="e">
        <f t="shared" si="10"/>
        <v>#DIV/0!</v>
      </c>
      <c r="O51" s="771"/>
      <c r="P51" s="322" t="e">
        <f t="shared" si="11"/>
        <v>#DIV/0!</v>
      </c>
    </row>
    <row r="52" spans="1:16" ht="14.5">
      <c r="A52" s="318">
        <v>31</v>
      </c>
      <c r="B52" s="768"/>
      <c r="C52" s="769"/>
      <c r="D52" s="319">
        <f t="shared" si="3"/>
        <v>0</v>
      </c>
      <c r="E52" s="770"/>
      <c r="F52" s="319">
        <f>(E52/$E$79)*'CAM Charges &amp; Cashflow'!CAM</f>
        <v>0</v>
      </c>
      <c r="G52" s="319" t="e">
        <f t="shared" si="4"/>
        <v>#N/A</v>
      </c>
      <c r="H52" s="319">
        <f t="shared" si="5"/>
        <v>0</v>
      </c>
      <c r="I52" s="320" t="e">
        <f t="shared" si="6"/>
        <v>#N/A</v>
      </c>
      <c r="J52" s="319" t="e">
        <f t="shared" si="7"/>
        <v>#N/A</v>
      </c>
      <c r="K52" s="293" t="e">
        <f t="shared" si="8"/>
        <v>#N/A</v>
      </c>
      <c r="L52" s="268" t="e">
        <f t="shared" si="9"/>
        <v>#DIV/0!</v>
      </c>
      <c r="M52" s="319">
        <f t="shared" si="12"/>
        <v>0</v>
      </c>
      <c r="N52" s="293" t="e">
        <f t="shared" si="10"/>
        <v>#DIV/0!</v>
      </c>
      <c r="O52" s="771"/>
      <c r="P52" s="322" t="e">
        <f t="shared" si="11"/>
        <v>#DIV/0!</v>
      </c>
    </row>
    <row r="53" spans="1:16" ht="14.5">
      <c r="A53" s="318">
        <v>32</v>
      </c>
      <c r="B53" s="768"/>
      <c r="C53" s="769"/>
      <c r="D53" s="319">
        <f t="shared" si="3"/>
        <v>0</v>
      </c>
      <c r="E53" s="770"/>
      <c r="F53" s="319">
        <f>(E53/$E$79)*'CAM Charges &amp; Cashflow'!CAM</f>
        <v>0</v>
      </c>
      <c r="G53" s="319" t="e">
        <f t="shared" si="4"/>
        <v>#N/A</v>
      </c>
      <c r="H53" s="319">
        <f t="shared" si="5"/>
        <v>0</v>
      </c>
      <c r="I53" s="320" t="e">
        <f t="shared" si="6"/>
        <v>#N/A</v>
      </c>
      <c r="J53" s="319" t="e">
        <f t="shared" si="7"/>
        <v>#N/A</v>
      </c>
      <c r="K53" s="293" t="e">
        <f t="shared" si="8"/>
        <v>#N/A</v>
      </c>
      <c r="L53" s="268" t="e">
        <f t="shared" si="9"/>
        <v>#DIV/0!</v>
      </c>
      <c r="M53" s="319">
        <f t="shared" si="12"/>
        <v>0</v>
      </c>
      <c r="N53" s="293" t="e">
        <f t="shared" si="10"/>
        <v>#DIV/0!</v>
      </c>
      <c r="O53" s="771"/>
      <c r="P53" s="322" t="e">
        <f t="shared" si="11"/>
        <v>#DIV/0!</v>
      </c>
    </row>
    <row r="54" spans="1:16" s="63" customFormat="1" ht="14.5">
      <c r="A54" s="318">
        <v>33</v>
      </c>
      <c r="B54" s="768"/>
      <c r="C54" s="769"/>
      <c r="D54" s="319">
        <f t="shared" si="3"/>
        <v>0</v>
      </c>
      <c r="E54" s="770"/>
      <c r="F54" s="319">
        <f>(E54/$E$79)*'CAM Charges &amp; Cashflow'!CAM</f>
        <v>0</v>
      </c>
      <c r="G54" s="319" t="e">
        <f t="shared" si="4"/>
        <v>#N/A</v>
      </c>
      <c r="H54" s="319">
        <f t="shared" si="5"/>
        <v>0</v>
      </c>
      <c r="I54" s="320" t="e">
        <f t="shared" si="6"/>
        <v>#N/A</v>
      </c>
      <c r="J54" s="319" t="e">
        <f t="shared" si="7"/>
        <v>#N/A</v>
      </c>
      <c r="K54" s="293" t="e">
        <f t="shared" si="8"/>
        <v>#N/A</v>
      </c>
      <c r="L54" s="268" t="e">
        <f t="shared" si="9"/>
        <v>#DIV/0!</v>
      </c>
      <c r="M54" s="319">
        <f t="shared" si="12"/>
        <v>0</v>
      </c>
      <c r="N54" s="293" t="e">
        <f t="shared" si="10"/>
        <v>#DIV/0!</v>
      </c>
      <c r="O54" s="771"/>
      <c r="P54" s="322" t="e">
        <f t="shared" si="11"/>
        <v>#DIV/0!</v>
      </c>
    </row>
    <row r="55" spans="1:16" s="63" customFormat="1" ht="14.5">
      <c r="A55" s="318">
        <v>34</v>
      </c>
      <c r="B55" s="768"/>
      <c r="C55" s="769"/>
      <c r="D55" s="319">
        <f t="shared" si="3"/>
        <v>0</v>
      </c>
      <c r="E55" s="770"/>
      <c r="F55" s="319">
        <f>(E55/$E$79)*'CAM Charges &amp; Cashflow'!CAM</f>
        <v>0</v>
      </c>
      <c r="G55" s="319" t="e">
        <f t="shared" si="4"/>
        <v>#N/A</v>
      </c>
      <c r="H55" s="319">
        <f t="shared" si="5"/>
        <v>0</v>
      </c>
      <c r="I55" s="320" t="e">
        <f t="shared" si="6"/>
        <v>#N/A</v>
      </c>
      <c r="J55" s="319" t="e">
        <f t="shared" si="7"/>
        <v>#N/A</v>
      </c>
      <c r="K55" s="293" t="e">
        <f t="shared" si="8"/>
        <v>#N/A</v>
      </c>
      <c r="L55" s="268" t="e">
        <f t="shared" si="9"/>
        <v>#DIV/0!</v>
      </c>
      <c r="M55" s="319">
        <f t="shared" si="12"/>
        <v>0</v>
      </c>
      <c r="N55" s="293" t="e">
        <f t="shared" si="10"/>
        <v>#DIV/0!</v>
      </c>
      <c r="O55" s="771"/>
      <c r="P55" s="322" t="e">
        <f t="shared" si="11"/>
        <v>#DIV/0!</v>
      </c>
    </row>
    <row r="56" spans="1:16" s="63" customFormat="1" ht="14.5">
      <c r="A56" s="318">
        <v>35</v>
      </c>
      <c r="B56" s="768"/>
      <c r="C56" s="769"/>
      <c r="D56" s="319">
        <f t="shared" si="3"/>
        <v>0</v>
      </c>
      <c r="E56" s="770"/>
      <c r="F56" s="319">
        <f>(E56/$E$79)*'CAM Charges &amp; Cashflow'!CAM</f>
        <v>0</v>
      </c>
      <c r="G56" s="319" t="e">
        <f t="shared" si="4"/>
        <v>#N/A</v>
      </c>
      <c r="H56" s="319">
        <f t="shared" si="5"/>
        <v>0</v>
      </c>
      <c r="I56" s="320" t="e">
        <f t="shared" si="6"/>
        <v>#N/A</v>
      </c>
      <c r="J56" s="319" t="e">
        <f t="shared" si="7"/>
        <v>#N/A</v>
      </c>
      <c r="K56" s="293" t="e">
        <f t="shared" si="8"/>
        <v>#N/A</v>
      </c>
      <c r="L56" s="268" t="e">
        <f t="shared" si="9"/>
        <v>#DIV/0!</v>
      </c>
      <c r="M56" s="319">
        <f t="shared" si="12"/>
        <v>0</v>
      </c>
      <c r="N56" s="293" t="e">
        <f t="shared" si="10"/>
        <v>#DIV/0!</v>
      </c>
      <c r="O56" s="771"/>
      <c r="P56" s="322" t="e">
        <f t="shared" si="11"/>
        <v>#DIV/0!</v>
      </c>
    </row>
    <row r="57" spans="1:16" s="63" customFormat="1" ht="14.5">
      <c r="A57" s="318">
        <v>36</v>
      </c>
      <c r="B57" s="768"/>
      <c r="C57" s="769"/>
      <c r="D57" s="319">
        <f t="shared" si="3"/>
        <v>0</v>
      </c>
      <c r="E57" s="770"/>
      <c r="F57" s="319">
        <f>(E57/$E$79)*'CAM Charges &amp; Cashflow'!CAM</f>
        <v>0</v>
      </c>
      <c r="G57" s="319" t="e">
        <f t="shared" si="4"/>
        <v>#N/A</v>
      </c>
      <c r="H57" s="319">
        <f t="shared" si="5"/>
        <v>0</v>
      </c>
      <c r="I57" s="320" t="e">
        <f t="shared" si="6"/>
        <v>#N/A</v>
      </c>
      <c r="J57" s="319" t="e">
        <f t="shared" si="7"/>
        <v>#N/A</v>
      </c>
      <c r="K57" s="293" t="e">
        <f t="shared" si="8"/>
        <v>#N/A</v>
      </c>
      <c r="L57" s="268" t="e">
        <f t="shared" si="9"/>
        <v>#DIV/0!</v>
      </c>
      <c r="M57" s="319">
        <f t="shared" si="12"/>
        <v>0</v>
      </c>
      <c r="N57" s="293" t="e">
        <f t="shared" si="10"/>
        <v>#DIV/0!</v>
      </c>
      <c r="O57" s="771"/>
      <c r="P57" s="322" t="e">
        <f t="shared" si="11"/>
        <v>#DIV/0!</v>
      </c>
    </row>
    <row r="58" spans="1:16" s="63" customFormat="1" ht="14.5">
      <c r="A58" s="318">
        <v>37</v>
      </c>
      <c r="B58" s="768"/>
      <c r="C58" s="769"/>
      <c r="D58" s="319">
        <f t="shared" si="3"/>
        <v>0</v>
      </c>
      <c r="E58" s="770"/>
      <c r="F58" s="319">
        <f>(E58/$E$79)*'CAM Charges &amp; Cashflow'!CAM</f>
        <v>0</v>
      </c>
      <c r="G58" s="319" t="e">
        <f t="shared" si="4"/>
        <v>#N/A</v>
      </c>
      <c r="H58" s="319">
        <f t="shared" si="5"/>
        <v>0</v>
      </c>
      <c r="I58" s="320" t="e">
        <f t="shared" si="6"/>
        <v>#N/A</v>
      </c>
      <c r="J58" s="319" t="e">
        <f t="shared" si="7"/>
        <v>#N/A</v>
      </c>
      <c r="K58" s="293" t="e">
        <f t="shared" si="8"/>
        <v>#N/A</v>
      </c>
      <c r="L58" s="268" t="e">
        <f t="shared" si="9"/>
        <v>#DIV/0!</v>
      </c>
      <c r="M58" s="319">
        <f t="shared" si="12"/>
        <v>0</v>
      </c>
      <c r="N58" s="293" t="e">
        <f t="shared" si="10"/>
        <v>#DIV/0!</v>
      </c>
      <c r="O58" s="771"/>
      <c r="P58" s="322" t="e">
        <f t="shared" si="11"/>
        <v>#DIV/0!</v>
      </c>
    </row>
    <row r="59" spans="1:16" s="63" customFormat="1" ht="14.5">
      <c r="A59" s="318">
        <v>38</v>
      </c>
      <c r="B59" s="768"/>
      <c r="C59" s="769"/>
      <c r="D59" s="319">
        <f t="shared" si="3"/>
        <v>0</v>
      </c>
      <c r="E59" s="770"/>
      <c r="F59" s="319">
        <f>(E59/$E$79)*'CAM Charges &amp; Cashflow'!CAM</f>
        <v>0</v>
      </c>
      <c r="G59" s="319" t="e">
        <f t="shared" si="4"/>
        <v>#N/A</v>
      </c>
      <c r="H59" s="319">
        <f t="shared" si="5"/>
        <v>0</v>
      </c>
      <c r="I59" s="320" t="e">
        <f t="shared" si="6"/>
        <v>#N/A</v>
      </c>
      <c r="J59" s="319" t="e">
        <f t="shared" si="7"/>
        <v>#N/A</v>
      </c>
      <c r="K59" s="293" t="e">
        <f t="shared" si="8"/>
        <v>#N/A</v>
      </c>
      <c r="L59" s="268" t="e">
        <f t="shared" si="9"/>
        <v>#DIV/0!</v>
      </c>
      <c r="M59" s="319">
        <f t="shared" si="12"/>
        <v>0</v>
      </c>
      <c r="N59" s="293" t="e">
        <f t="shared" si="10"/>
        <v>#DIV/0!</v>
      </c>
      <c r="O59" s="771"/>
      <c r="P59" s="322" t="e">
        <f t="shared" si="11"/>
        <v>#DIV/0!</v>
      </c>
    </row>
    <row r="60" spans="1:16" s="63" customFormat="1" ht="14.5">
      <c r="A60" s="318">
        <v>39</v>
      </c>
      <c r="B60" s="768"/>
      <c r="C60" s="769"/>
      <c r="D60" s="319">
        <f t="shared" si="3"/>
        <v>0</v>
      </c>
      <c r="E60" s="770"/>
      <c r="F60" s="319">
        <f>(E60/$E$79)*'CAM Charges &amp; Cashflow'!CAM</f>
        <v>0</v>
      </c>
      <c r="G60" s="319" t="e">
        <f t="shared" si="4"/>
        <v>#N/A</v>
      </c>
      <c r="H60" s="319">
        <f t="shared" si="5"/>
        <v>0</v>
      </c>
      <c r="I60" s="320" t="e">
        <f t="shared" si="6"/>
        <v>#N/A</v>
      </c>
      <c r="J60" s="319" t="e">
        <f t="shared" si="7"/>
        <v>#N/A</v>
      </c>
      <c r="K60" s="293" t="e">
        <f t="shared" si="8"/>
        <v>#N/A</v>
      </c>
      <c r="L60" s="268" t="e">
        <f t="shared" si="9"/>
        <v>#DIV/0!</v>
      </c>
      <c r="M60" s="319">
        <f t="shared" si="12"/>
        <v>0</v>
      </c>
      <c r="N60" s="293" t="e">
        <f t="shared" si="10"/>
        <v>#DIV/0!</v>
      </c>
      <c r="O60" s="771"/>
      <c r="P60" s="322" t="e">
        <f t="shared" si="11"/>
        <v>#DIV/0!</v>
      </c>
    </row>
    <row r="61" spans="1:16" s="63" customFormat="1" ht="14.5">
      <c r="A61" s="318">
        <v>40</v>
      </c>
      <c r="B61" s="768"/>
      <c r="C61" s="769"/>
      <c r="D61" s="319">
        <f t="shared" si="3"/>
        <v>0</v>
      </c>
      <c r="E61" s="770"/>
      <c r="F61" s="319">
        <f>(E61/$E$79)*'CAM Charges &amp; Cashflow'!CAM</f>
        <v>0</v>
      </c>
      <c r="G61" s="319" t="e">
        <f t="shared" si="4"/>
        <v>#N/A</v>
      </c>
      <c r="H61" s="319">
        <f t="shared" si="5"/>
        <v>0</v>
      </c>
      <c r="I61" s="320" t="e">
        <f t="shared" si="6"/>
        <v>#N/A</v>
      </c>
      <c r="J61" s="319" t="e">
        <f t="shared" si="7"/>
        <v>#N/A</v>
      </c>
      <c r="K61" s="293" t="e">
        <f t="shared" si="8"/>
        <v>#N/A</v>
      </c>
      <c r="L61" s="268" t="e">
        <f t="shared" si="9"/>
        <v>#DIV/0!</v>
      </c>
      <c r="M61" s="319">
        <f t="shared" si="12"/>
        <v>0</v>
      </c>
      <c r="N61" s="293" t="e">
        <f t="shared" si="10"/>
        <v>#DIV/0!</v>
      </c>
      <c r="O61" s="771"/>
      <c r="P61" s="322" t="e">
        <f t="shared" si="11"/>
        <v>#DIV/0!</v>
      </c>
    </row>
    <row r="62" spans="1:16" ht="14.5">
      <c r="A62" s="318">
        <v>41</v>
      </c>
      <c r="B62" s="768"/>
      <c r="C62" s="769"/>
      <c r="D62" s="319">
        <f t="shared" si="3"/>
        <v>0</v>
      </c>
      <c r="E62" s="770"/>
      <c r="F62" s="319">
        <f>(E62/$E$79)*'CAM Charges &amp; Cashflow'!CAM</f>
        <v>0</v>
      </c>
      <c r="G62" s="319" t="e">
        <f t="shared" si="4"/>
        <v>#N/A</v>
      </c>
      <c r="H62" s="319">
        <f t="shared" si="5"/>
        <v>0</v>
      </c>
      <c r="I62" s="320" t="e">
        <f t="shared" si="6"/>
        <v>#N/A</v>
      </c>
      <c r="J62" s="319" t="e">
        <f t="shared" si="7"/>
        <v>#N/A</v>
      </c>
      <c r="K62" s="293" t="e">
        <f t="shared" si="8"/>
        <v>#N/A</v>
      </c>
      <c r="L62" s="268" t="e">
        <f t="shared" si="9"/>
        <v>#DIV/0!</v>
      </c>
      <c r="M62" s="319">
        <f t="shared" si="12"/>
        <v>0</v>
      </c>
      <c r="N62" s="293" t="e">
        <f t="shared" si="10"/>
        <v>#DIV/0!</v>
      </c>
      <c r="O62" s="771"/>
      <c r="P62" s="322" t="e">
        <f t="shared" si="11"/>
        <v>#DIV/0!</v>
      </c>
    </row>
    <row r="63" spans="1:16" ht="14.5">
      <c r="A63" s="318">
        <v>42</v>
      </c>
      <c r="B63" s="768"/>
      <c r="C63" s="769"/>
      <c r="D63" s="319">
        <f t="shared" si="3"/>
        <v>0</v>
      </c>
      <c r="E63" s="770"/>
      <c r="F63" s="319">
        <f>(E63/$E$79)*'CAM Charges &amp; Cashflow'!CAM</f>
        <v>0</v>
      </c>
      <c r="G63" s="319" t="e">
        <f t="shared" si="4"/>
        <v>#N/A</v>
      </c>
      <c r="H63" s="319">
        <f t="shared" si="5"/>
        <v>0</v>
      </c>
      <c r="I63" s="320" t="e">
        <f t="shared" si="6"/>
        <v>#N/A</v>
      </c>
      <c r="J63" s="319" t="e">
        <f t="shared" si="7"/>
        <v>#N/A</v>
      </c>
      <c r="K63" s="293" t="e">
        <f t="shared" si="8"/>
        <v>#N/A</v>
      </c>
      <c r="L63" s="268" t="e">
        <f t="shared" si="9"/>
        <v>#DIV/0!</v>
      </c>
      <c r="M63" s="319">
        <f t="shared" si="12"/>
        <v>0</v>
      </c>
      <c r="N63" s="293" t="e">
        <f t="shared" si="10"/>
        <v>#DIV/0!</v>
      </c>
      <c r="O63" s="771"/>
      <c r="P63" s="322" t="e">
        <f t="shared" si="11"/>
        <v>#DIV/0!</v>
      </c>
    </row>
    <row r="64" spans="1:16" ht="14.5">
      <c r="A64" s="318">
        <v>43</v>
      </c>
      <c r="B64" s="768"/>
      <c r="C64" s="769"/>
      <c r="D64" s="319">
        <f t="shared" si="3"/>
        <v>0</v>
      </c>
      <c r="E64" s="770"/>
      <c r="F64" s="319">
        <f>(E64/$E$79)*'CAM Charges &amp; Cashflow'!CAM</f>
        <v>0</v>
      </c>
      <c r="G64" s="319" t="e">
        <f t="shared" si="4"/>
        <v>#N/A</v>
      </c>
      <c r="H64" s="319">
        <f t="shared" si="5"/>
        <v>0</v>
      </c>
      <c r="I64" s="320" t="e">
        <f t="shared" si="6"/>
        <v>#N/A</v>
      </c>
      <c r="J64" s="319" t="e">
        <f t="shared" si="7"/>
        <v>#N/A</v>
      </c>
      <c r="K64" s="293" t="e">
        <f t="shared" si="8"/>
        <v>#N/A</v>
      </c>
      <c r="L64" s="268" t="e">
        <f t="shared" si="9"/>
        <v>#DIV/0!</v>
      </c>
      <c r="M64" s="319">
        <f t="shared" si="12"/>
        <v>0</v>
      </c>
      <c r="N64" s="293" t="e">
        <f t="shared" si="10"/>
        <v>#DIV/0!</v>
      </c>
      <c r="O64" s="771"/>
      <c r="P64" s="322" t="e">
        <f t="shared" si="11"/>
        <v>#DIV/0!</v>
      </c>
    </row>
    <row r="65" spans="1:16" ht="14.5">
      <c r="A65" s="318">
        <v>44</v>
      </c>
      <c r="B65" s="768"/>
      <c r="C65" s="769"/>
      <c r="D65" s="319">
        <f t="shared" si="3"/>
        <v>0</v>
      </c>
      <c r="E65" s="770"/>
      <c r="F65" s="319">
        <f>(E65/$E$79)*'CAM Charges &amp; Cashflow'!CAM</f>
        <v>0</v>
      </c>
      <c r="G65" s="319" t="e">
        <f t="shared" si="4"/>
        <v>#N/A</v>
      </c>
      <c r="H65" s="319">
        <f t="shared" si="5"/>
        <v>0</v>
      </c>
      <c r="I65" s="320" t="e">
        <f t="shared" si="6"/>
        <v>#N/A</v>
      </c>
      <c r="J65" s="319" t="e">
        <f t="shared" si="7"/>
        <v>#N/A</v>
      </c>
      <c r="K65" s="293" t="e">
        <f t="shared" si="8"/>
        <v>#N/A</v>
      </c>
      <c r="L65" s="268" t="e">
        <f t="shared" si="9"/>
        <v>#DIV/0!</v>
      </c>
      <c r="M65" s="319">
        <f t="shared" si="12"/>
        <v>0</v>
      </c>
      <c r="N65" s="293" t="e">
        <f t="shared" si="10"/>
        <v>#DIV/0!</v>
      </c>
      <c r="O65" s="771"/>
      <c r="P65" s="322" t="e">
        <f t="shared" si="11"/>
        <v>#DIV/0!</v>
      </c>
    </row>
    <row r="66" spans="1:16" ht="14.5">
      <c r="A66" s="318">
        <v>45</v>
      </c>
      <c r="B66" s="768"/>
      <c r="C66" s="769"/>
      <c r="D66" s="319">
        <f t="shared" si="3"/>
        <v>0</v>
      </c>
      <c r="E66" s="770"/>
      <c r="F66" s="319">
        <f>(E66/$E$79)*'CAM Charges &amp; Cashflow'!CAM</f>
        <v>0</v>
      </c>
      <c r="G66" s="319" t="e">
        <f t="shared" si="4"/>
        <v>#N/A</v>
      </c>
      <c r="H66" s="319">
        <f t="shared" si="5"/>
        <v>0</v>
      </c>
      <c r="I66" s="320" t="e">
        <f t="shared" si="6"/>
        <v>#N/A</v>
      </c>
      <c r="J66" s="319" t="e">
        <f t="shared" si="7"/>
        <v>#N/A</v>
      </c>
      <c r="K66" s="293" t="e">
        <f t="shared" si="8"/>
        <v>#N/A</v>
      </c>
      <c r="L66" s="268" t="e">
        <f t="shared" si="9"/>
        <v>#DIV/0!</v>
      </c>
      <c r="M66" s="319">
        <f t="shared" si="12"/>
        <v>0</v>
      </c>
      <c r="N66" s="293" t="e">
        <f t="shared" si="10"/>
        <v>#DIV/0!</v>
      </c>
      <c r="O66" s="771"/>
      <c r="P66" s="322" t="e">
        <f t="shared" si="11"/>
        <v>#DIV/0!</v>
      </c>
    </row>
    <row r="67" spans="1:16" ht="14.5">
      <c r="A67" s="318">
        <v>46</v>
      </c>
      <c r="B67" s="768"/>
      <c r="C67" s="769"/>
      <c r="D67" s="319">
        <f t="shared" si="3"/>
        <v>0</v>
      </c>
      <c r="E67" s="770"/>
      <c r="F67" s="319">
        <f>(E67/$E$79)*'CAM Charges &amp; Cashflow'!CAM</f>
        <v>0</v>
      </c>
      <c r="G67" s="319" t="e">
        <f t="shared" si="4"/>
        <v>#N/A</v>
      </c>
      <c r="H67" s="319">
        <f t="shared" si="5"/>
        <v>0</v>
      </c>
      <c r="I67" s="320" t="e">
        <f t="shared" si="6"/>
        <v>#N/A</v>
      </c>
      <c r="J67" s="319" t="e">
        <f t="shared" si="7"/>
        <v>#N/A</v>
      </c>
      <c r="K67" s="293" t="e">
        <f t="shared" si="8"/>
        <v>#N/A</v>
      </c>
      <c r="L67" s="268" t="e">
        <f t="shared" si="9"/>
        <v>#DIV/0!</v>
      </c>
      <c r="M67" s="319">
        <f t="shared" si="12"/>
        <v>0</v>
      </c>
      <c r="N67" s="293" t="e">
        <f t="shared" si="10"/>
        <v>#DIV/0!</v>
      </c>
      <c r="O67" s="771"/>
      <c r="P67" s="322" t="e">
        <f t="shared" si="11"/>
        <v>#DIV/0!</v>
      </c>
    </row>
    <row r="68" spans="1:16" ht="14.5">
      <c r="A68" s="318">
        <v>47</v>
      </c>
      <c r="B68" s="768"/>
      <c r="C68" s="769"/>
      <c r="D68" s="319">
        <f t="shared" si="3"/>
        <v>0</v>
      </c>
      <c r="E68" s="770"/>
      <c r="F68" s="319">
        <f>(E68/$E$79)*'CAM Charges &amp; Cashflow'!CAM</f>
        <v>0</v>
      </c>
      <c r="G68" s="319" t="e">
        <f t="shared" si="4"/>
        <v>#N/A</v>
      </c>
      <c r="H68" s="319">
        <f t="shared" si="5"/>
        <v>0</v>
      </c>
      <c r="I68" s="320" t="e">
        <f t="shared" si="6"/>
        <v>#N/A</v>
      </c>
      <c r="J68" s="319" t="e">
        <f t="shared" si="7"/>
        <v>#N/A</v>
      </c>
      <c r="K68" s="293" t="e">
        <f t="shared" si="8"/>
        <v>#N/A</v>
      </c>
      <c r="L68" s="268" t="e">
        <f t="shared" si="9"/>
        <v>#DIV/0!</v>
      </c>
      <c r="M68" s="319">
        <f t="shared" si="12"/>
        <v>0</v>
      </c>
      <c r="N68" s="293" t="e">
        <f t="shared" si="10"/>
        <v>#DIV/0!</v>
      </c>
      <c r="O68" s="771"/>
      <c r="P68" s="322" t="e">
        <f t="shared" si="11"/>
        <v>#DIV/0!</v>
      </c>
    </row>
    <row r="69" spans="1:16" ht="14.5">
      <c r="A69" s="318">
        <v>48</v>
      </c>
      <c r="B69" s="768"/>
      <c r="C69" s="769"/>
      <c r="D69" s="319">
        <f t="shared" si="3"/>
        <v>0</v>
      </c>
      <c r="E69" s="770"/>
      <c r="F69" s="319">
        <f>(E69/$E$79)*'CAM Charges &amp; Cashflow'!CAM</f>
        <v>0</v>
      </c>
      <c r="G69" s="319" t="e">
        <f t="shared" si="4"/>
        <v>#N/A</v>
      </c>
      <c r="H69" s="319">
        <f t="shared" si="5"/>
        <v>0</v>
      </c>
      <c r="I69" s="320" t="e">
        <f t="shared" si="6"/>
        <v>#N/A</v>
      </c>
      <c r="J69" s="319" t="e">
        <f t="shared" si="7"/>
        <v>#N/A</v>
      </c>
      <c r="K69" s="293" t="e">
        <f t="shared" si="8"/>
        <v>#N/A</v>
      </c>
      <c r="L69" s="268" t="e">
        <f t="shared" si="9"/>
        <v>#DIV/0!</v>
      </c>
      <c r="M69" s="319">
        <f t="shared" si="12"/>
        <v>0</v>
      </c>
      <c r="N69" s="293" t="e">
        <f t="shared" si="10"/>
        <v>#DIV/0!</v>
      </c>
      <c r="O69" s="771"/>
      <c r="P69" s="322" t="e">
        <f t="shared" si="11"/>
        <v>#DIV/0!</v>
      </c>
    </row>
    <row r="70" spans="1:16" s="58" customFormat="1" ht="14.5">
      <c r="A70" s="318">
        <v>49</v>
      </c>
      <c r="B70" s="768"/>
      <c r="C70" s="769"/>
      <c r="D70" s="319">
        <f t="shared" si="3"/>
        <v>0</v>
      </c>
      <c r="E70" s="770"/>
      <c r="F70" s="319">
        <f>(E70/$E$79)*'CAM Charges &amp; Cashflow'!CAM</f>
        <v>0</v>
      </c>
      <c r="G70" s="319" t="e">
        <f t="shared" si="4"/>
        <v>#N/A</v>
      </c>
      <c r="H70" s="319">
        <f t="shared" si="5"/>
        <v>0</v>
      </c>
      <c r="I70" s="320" t="e">
        <f t="shared" si="6"/>
        <v>#N/A</v>
      </c>
      <c r="J70" s="319" t="e">
        <f t="shared" si="7"/>
        <v>#N/A</v>
      </c>
      <c r="K70" s="293" t="e">
        <f t="shared" si="8"/>
        <v>#N/A</v>
      </c>
      <c r="L70" s="268" t="e">
        <f t="shared" si="9"/>
        <v>#DIV/0!</v>
      </c>
      <c r="M70" s="319">
        <f t="shared" si="12"/>
        <v>0</v>
      </c>
      <c r="N70" s="293" t="e">
        <f t="shared" si="10"/>
        <v>#DIV/0!</v>
      </c>
      <c r="O70" s="771"/>
      <c r="P70" s="322" t="e">
        <f t="shared" si="11"/>
        <v>#DIV/0!</v>
      </c>
    </row>
    <row r="71" spans="1:16" s="58" customFormat="1" ht="14.5">
      <c r="A71" s="318">
        <v>50</v>
      </c>
      <c r="B71" s="768"/>
      <c r="C71" s="769"/>
      <c r="D71" s="319">
        <f t="shared" si="3"/>
        <v>0</v>
      </c>
      <c r="E71" s="770"/>
      <c r="F71" s="319">
        <f>(E71/$E$79)*'CAM Charges &amp; Cashflow'!CAM</f>
        <v>0</v>
      </c>
      <c r="G71" s="319" t="e">
        <f t="shared" si="4"/>
        <v>#N/A</v>
      </c>
      <c r="H71" s="319">
        <f t="shared" si="5"/>
        <v>0</v>
      </c>
      <c r="I71" s="320" t="e">
        <f t="shared" si="6"/>
        <v>#N/A</v>
      </c>
      <c r="J71" s="319" t="e">
        <f t="shared" si="7"/>
        <v>#N/A</v>
      </c>
      <c r="K71" s="293" t="e">
        <f t="shared" si="8"/>
        <v>#N/A</v>
      </c>
      <c r="L71" s="268" t="e">
        <f t="shared" si="9"/>
        <v>#DIV/0!</v>
      </c>
      <c r="M71" s="319">
        <f t="shared" si="12"/>
        <v>0</v>
      </c>
      <c r="N71" s="293" t="e">
        <f t="shared" si="10"/>
        <v>#DIV/0!</v>
      </c>
      <c r="O71" s="771"/>
      <c r="P71" s="322" t="e">
        <f t="shared" si="11"/>
        <v>#DIV/0!</v>
      </c>
    </row>
    <row r="72" spans="1:16" s="58" customFormat="1" ht="14.5">
      <c r="A72" s="318">
        <v>51</v>
      </c>
      <c r="B72" s="768"/>
      <c r="C72" s="769"/>
      <c r="D72" s="319">
        <f t="shared" si="3"/>
        <v>0</v>
      </c>
      <c r="E72" s="770"/>
      <c r="F72" s="319">
        <f>(E72/$E$79)*'CAM Charges &amp; Cashflow'!CAM</f>
        <v>0</v>
      </c>
      <c r="G72" s="319" t="e">
        <f t="shared" si="4"/>
        <v>#N/A</v>
      </c>
      <c r="H72" s="319">
        <f t="shared" si="5"/>
        <v>0</v>
      </c>
      <c r="I72" s="320" t="e">
        <f t="shared" si="6"/>
        <v>#N/A</v>
      </c>
      <c r="J72" s="319" t="e">
        <f t="shared" si="7"/>
        <v>#N/A</v>
      </c>
      <c r="K72" s="293" t="e">
        <f t="shared" si="8"/>
        <v>#N/A</v>
      </c>
      <c r="L72" s="268" t="e">
        <f t="shared" si="9"/>
        <v>#DIV/0!</v>
      </c>
      <c r="M72" s="319">
        <f t="shared" si="12"/>
        <v>0</v>
      </c>
      <c r="N72" s="293" t="e">
        <f t="shared" si="10"/>
        <v>#DIV/0!</v>
      </c>
      <c r="O72" s="771"/>
      <c r="P72" s="322" t="e">
        <f t="shared" si="11"/>
        <v>#DIV/0!</v>
      </c>
    </row>
    <row r="73" spans="1:16" s="58" customFormat="1" ht="15.9" customHeight="1">
      <c r="A73" s="318">
        <v>52</v>
      </c>
      <c r="B73" s="768"/>
      <c r="C73" s="769"/>
      <c r="D73" s="319">
        <f t="shared" si="3"/>
        <v>0</v>
      </c>
      <c r="E73" s="770"/>
      <c r="F73" s="319">
        <f>(E73/$E$79)*'CAM Charges &amp; Cashflow'!CAM</f>
        <v>0</v>
      </c>
      <c r="G73" s="319" t="e">
        <f t="shared" si="4"/>
        <v>#N/A</v>
      </c>
      <c r="H73" s="319">
        <f t="shared" si="5"/>
        <v>0</v>
      </c>
      <c r="I73" s="320" t="e">
        <f t="shared" si="6"/>
        <v>#N/A</v>
      </c>
      <c r="J73" s="319" t="e">
        <f t="shared" si="7"/>
        <v>#N/A</v>
      </c>
      <c r="K73" s="293" t="e">
        <f t="shared" si="8"/>
        <v>#N/A</v>
      </c>
      <c r="L73" s="268" t="e">
        <f t="shared" si="9"/>
        <v>#DIV/0!</v>
      </c>
      <c r="M73" s="319">
        <f t="shared" si="12"/>
        <v>0</v>
      </c>
      <c r="N73" s="293" t="e">
        <f t="shared" si="10"/>
        <v>#DIV/0!</v>
      </c>
      <c r="O73" s="771"/>
      <c r="P73" s="322" t="e">
        <f t="shared" si="11"/>
        <v>#DIV/0!</v>
      </c>
    </row>
    <row r="74" spans="1:16" s="58" customFormat="1" ht="14.5">
      <c r="A74" s="318">
        <v>53</v>
      </c>
      <c r="B74" s="768"/>
      <c r="C74" s="769"/>
      <c r="D74" s="319">
        <f t="shared" si="3"/>
        <v>0</v>
      </c>
      <c r="E74" s="770"/>
      <c r="F74" s="319">
        <f>(E74/$E$79)*'CAM Charges &amp; Cashflow'!CAM</f>
        <v>0</v>
      </c>
      <c r="G74" s="319" t="e">
        <f t="shared" si="4"/>
        <v>#N/A</v>
      </c>
      <c r="H74" s="319">
        <f t="shared" si="5"/>
        <v>0</v>
      </c>
      <c r="I74" s="320" t="e">
        <f t="shared" si="6"/>
        <v>#N/A</v>
      </c>
      <c r="J74" s="319" t="e">
        <f t="shared" si="7"/>
        <v>#N/A</v>
      </c>
      <c r="K74" s="293" t="e">
        <f t="shared" si="8"/>
        <v>#N/A</v>
      </c>
      <c r="L74" s="268" t="e">
        <f t="shared" si="9"/>
        <v>#DIV/0!</v>
      </c>
      <c r="M74" s="319">
        <f t="shared" si="12"/>
        <v>0</v>
      </c>
      <c r="N74" s="293" t="e">
        <f t="shared" si="10"/>
        <v>#DIV/0!</v>
      </c>
      <c r="O74" s="771"/>
      <c r="P74" s="322" t="e">
        <f t="shared" si="11"/>
        <v>#DIV/0!</v>
      </c>
    </row>
    <row r="75" spans="1:16" s="58" customFormat="1" ht="14.5">
      <c r="A75" s="318">
        <v>54</v>
      </c>
      <c r="B75" s="768"/>
      <c r="C75" s="769"/>
      <c r="D75" s="319">
        <f t="shared" si="3"/>
        <v>0</v>
      </c>
      <c r="E75" s="770"/>
      <c r="F75" s="319">
        <f>(E75/$E$79)*'CAM Charges &amp; Cashflow'!CAM</f>
        <v>0</v>
      </c>
      <c r="G75" s="319" t="e">
        <f t="shared" si="4"/>
        <v>#N/A</v>
      </c>
      <c r="H75" s="319">
        <f t="shared" si="5"/>
        <v>0</v>
      </c>
      <c r="I75" s="320" t="e">
        <f t="shared" si="6"/>
        <v>#N/A</v>
      </c>
      <c r="J75" s="319" t="e">
        <f t="shared" si="7"/>
        <v>#N/A</v>
      </c>
      <c r="K75" s="293" t="e">
        <f t="shared" si="8"/>
        <v>#N/A</v>
      </c>
      <c r="L75" s="268" t="e">
        <f t="shared" si="9"/>
        <v>#DIV/0!</v>
      </c>
      <c r="M75" s="319">
        <f t="shared" si="12"/>
        <v>0</v>
      </c>
      <c r="N75" s="293" t="e">
        <f t="shared" si="10"/>
        <v>#DIV/0!</v>
      </c>
      <c r="O75" s="771"/>
      <c r="P75" s="322" t="e">
        <f t="shared" si="11"/>
        <v>#DIV/0!</v>
      </c>
    </row>
    <row r="76" spans="1:16" s="58" customFormat="1" ht="14.5">
      <c r="A76" s="318">
        <v>55</v>
      </c>
      <c r="B76" s="768"/>
      <c r="C76" s="769"/>
      <c r="D76" s="319">
        <f t="shared" si="3"/>
        <v>0</v>
      </c>
      <c r="E76" s="770">
        <v>3</v>
      </c>
      <c r="F76" s="319">
        <f>(E76/$E$79)*'CAM Charges &amp; Cashflow'!CAM</f>
        <v>0</v>
      </c>
      <c r="G76" s="319" t="e">
        <f t="shared" si="4"/>
        <v>#N/A</v>
      </c>
      <c r="H76" s="319">
        <f t="shared" si="5"/>
        <v>0</v>
      </c>
      <c r="I76" s="320" t="e">
        <f t="shared" si="6"/>
        <v>#N/A</v>
      </c>
      <c r="J76" s="319" t="e">
        <f t="shared" si="7"/>
        <v>#N/A</v>
      </c>
      <c r="K76" s="293" t="e">
        <f t="shared" si="8"/>
        <v>#N/A</v>
      </c>
      <c r="L76" s="268">
        <f t="shared" si="9"/>
        <v>0</v>
      </c>
      <c r="M76" s="319">
        <f t="shared" si="12"/>
        <v>0</v>
      </c>
      <c r="N76" s="293" t="e">
        <f t="shared" si="10"/>
        <v>#DIV/0!</v>
      </c>
      <c r="O76" s="771"/>
      <c r="P76" s="322" t="e">
        <f t="shared" si="11"/>
        <v>#DIV/0!</v>
      </c>
    </row>
    <row r="77" spans="1:16" s="58" customFormat="1" ht="14.5">
      <c r="A77" s="318">
        <v>56</v>
      </c>
      <c r="B77" s="768"/>
      <c r="C77" s="769"/>
      <c r="D77" s="319">
        <f t="shared" si="3"/>
        <v>0</v>
      </c>
      <c r="E77" s="770">
        <v>4</v>
      </c>
      <c r="F77" s="319">
        <f>(E77/$E$79)*'CAM Charges &amp; Cashflow'!CAM</f>
        <v>0</v>
      </c>
      <c r="G77" s="319" t="e">
        <f t="shared" si="4"/>
        <v>#N/A</v>
      </c>
      <c r="H77" s="319">
        <f t="shared" si="5"/>
        <v>0</v>
      </c>
      <c r="I77" s="320" t="e">
        <f t="shared" si="6"/>
        <v>#N/A</v>
      </c>
      <c r="J77" s="319" t="e">
        <f t="shared" si="7"/>
        <v>#N/A</v>
      </c>
      <c r="K77" s="293" t="e">
        <f t="shared" si="8"/>
        <v>#N/A</v>
      </c>
      <c r="L77" s="268">
        <f t="shared" si="9"/>
        <v>0</v>
      </c>
      <c r="M77" s="319">
        <f t="shared" si="12"/>
        <v>0</v>
      </c>
      <c r="N77" s="293" t="e">
        <f t="shared" si="10"/>
        <v>#DIV/0!</v>
      </c>
      <c r="O77" s="771"/>
      <c r="P77" s="322" t="e">
        <f t="shared" si="11"/>
        <v>#DIV/0!</v>
      </c>
    </row>
    <row r="78" spans="1:16" s="58" customFormat="1" ht="15" thickBot="1">
      <c r="A78" s="323">
        <v>57</v>
      </c>
      <c r="B78" s="768"/>
      <c r="C78" s="769"/>
      <c r="D78" s="624">
        <f t="shared" si="3"/>
        <v>0</v>
      </c>
      <c r="E78" s="770"/>
      <c r="F78" s="624">
        <f>(E78/$E$79)*'CAM Charges &amp; Cashflow'!CAM</f>
        <v>0</v>
      </c>
      <c r="G78" s="624" t="e">
        <f t="shared" si="4"/>
        <v>#N/A</v>
      </c>
      <c r="H78" s="624">
        <f t="shared" si="5"/>
        <v>0</v>
      </c>
      <c r="I78" s="625" t="e">
        <f t="shared" si="6"/>
        <v>#N/A</v>
      </c>
      <c r="J78" s="624" t="e">
        <f t="shared" si="7"/>
        <v>#N/A</v>
      </c>
      <c r="K78" s="626" t="e">
        <f t="shared" si="8"/>
        <v>#N/A</v>
      </c>
      <c r="L78" s="627" t="e">
        <f t="shared" si="9"/>
        <v>#DIV/0!</v>
      </c>
      <c r="M78" s="624">
        <f t="shared" si="12"/>
        <v>0</v>
      </c>
      <c r="N78" s="626" t="e">
        <f t="shared" si="10"/>
        <v>#DIV/0!</v>
      </c>
      <c r="O78" s="771"/>
      <c r="P78" s="690" t="e">
        <f t="shared" si="11"/>
        <v>#DIV/0!</v>
      </c>
    </row>
    <row r="79" spans="1:16" s="58" customFormat="1" ht="15" thickBot="1">
      <c r="A79" s="324"/>
      <c r="B79" s="628"/>
      <c r="C79" s="627">
        <f>SUM(C22:C78)</f>
        <v>0</v>
      </c>
      <c r="D79" s="628"/>
      <c r="E79" s="627">
        <f>SUM(E22:E78)</f>
        <v>7</v>
      </c>
      <c r="F79" s="624">
        <f>SUM(F22:F78)</f>
        <v>0</v>
      </c>
      <c r="G79" s="629"/>
      <c r="H79" s="630"/>
      <c r="I79" s="631"/>
      <c r="J79" s="618"/>
      <c r="K79" s="618"/>
      <c r="L79" s="618"/>
      <c r="M79" s="618"/>
      <c r="N79" s="618"/>
      <c r="O79" s="618"/>
      <c r="P79" s="618"/>
    </row>
    <row r="80" spans="1:16" s="58" customFormat="1">
      <c r="E80" s="112"/>
      <c r="I80" s="60"/>
    </row>
    <row r="81" spans="1:16" s="58" customFormat="1">
      <c r="E81" s="112"/>
    </row>
    <row r="82" spans="1:16" s="58" customFormat="1">
      <c r="A82" s="54"/>
      <c r="B82" s="54"/>
      <c r="C82" s="54"/>
      <c r="D82" s="54"/>
      <c r="E82" s="112"/>
      <c r="F82" s="54"/>
      <c r="G82" s="54"/>
      <c r="H82" s="54"/>
      <c r="I82" s="54"/>
      <c r="J82" s="54"/>
      <c r="K82" s="54"/>
    </row>
    <row r="83" spans="1:16" s="58" customFormat="1">
      <c r="A83" s="54"/>
      <c r="B83" s="54"/>
      <c r="C83" s="54"/>
      <c r="D83" s="54"/>
      <c r="E83" s="112"/>
      <c r="F83" s="54"/>
      <c r="G83" s="54"/>
      <c r="H83" s="54"/>
      <c r="I83" s="54"/>
      <c r="J83" s="54"/>
      <c r="K83" s="54"/>
    </row>
    <row r="84" spans="1:16" s="58" customFormat="1">
      <c r="A84" s="54"/>
      <c r="B84" s="54"/>
      <c r="C84" s="54"/>
      <c r="D84" s="54"/>
      <c r="E84" s="112"/>
      <c r="F84" s="54"/>
      <c r="G84" s="54"/>
      <c r="H84" s="54"/>
      <c r="I84" s="54"/>
      <c r="J84" s="54"/>
      <c r="K84" s="54"/>
      <c r="L84" s="54"/>
    </row>
    <row r="85" spans="1:16" s="58" customFormat="1">
      <c r="A85" s="54"/>
      <c r="B85" s="54"/>
      <c r="C85" s="54"/>
      <c r="D85" s="54"/>
      <c r="E85" s="112"/>
      <c r="F85" s="54"/>
      <c r="G85" s="54"/>
      <c r="H85" s="54"/>
      <c r="I85" s="54"/>
      <c r="J85" s="54"/>
      <c r="K85" s="54"/>
      <c r="L85" s="54"/>
    </row>
    <row r="86" spans="1:16" s="58" customFormat="1">
      <c r="A86" s="54"/>
      <c r="B86" s="54"/>
      <c r="C86" s="54"/>
      <c r="D86" s="54"/>
      <c r="E86" s="112"/>
      <c r="F86" s="54"/>
      <c r="G86" s="54"/>
      <c r="H86" s="54"/>
      <c r="I86" s="54"/>
      <c r="J86" s="54"/>
      <c r="K86" s="54"/>
      <c r="L86" s="54"/>
    </row>
    <row r="87" spans="1:16" s="58" customFormat="1">
      <c r="A87" s="54"/>
      <c r="B87" s="54"/>
      <c r="C87" s="54"/>
      <c r="D87" s="54"/>
      <c r="E87" s="112"/>
      <c r="F87" s="54"/>
      <c r="G87" s="54"/>
      <c r="H87" s="54"/>
      <c r="I87" s="54"/>
      <c r="J87" s="54"/>
      <c r="K87" s="54"/>
      <c r="L87" s="54"/>
      <c r="M87" s="54"/>
    </row>
    <row r="88" spans="1:16">
      <c r="E88" s="112"/>
      <c r="O88" s="56"/>
      <c r="P88" s="57"/>
    </row>
    <row r="89" spans="1:16">
      <c r="E89" s="112"/>
      <c r="O89" s="56"/>
      <c r="P89" s="57"/>
    </row>
    <row r="90" spans="1:16">
      <c r="E90" s="112"/>
      <c r="O90" s="56"/>
      <c r="P90" s="57"/>
    </row>
    <row r="91" spans="1:16">
      <c r="E91" s="112"/>
      <c r="O91" s="56"/>
      <c r="P91" s="57"/>
    </row>
    <row r="92" spans="1:16">
      <c r="E92" s="112"/>
    </row>
    <row r="93" spans="1:16">
      <c r="E93" s="112"/>
    </row>
    <row r="94" spans="1:16">
      <c r="E94" s="112"/>
    </row>
    <row r="95" spans="1:16">
      <c r="A95" s="186"/>
      <c r="B95" s="186"/>
      <c r="C95" s="186"/>
      <c r="D95" s="186"/>
      <c r="E95" s="112"/>
    </row>
    <row r="96" spans="1:16">
      <c r="A96" s="186"/>
      <c r="B96" s="186"/>
      <c r="C96" s="186"/>
      <c r="D96" s="186"/>
      <c r="E96" s="112"/>
    </row>
    <row r="97" spans="1:5">
      <c r="A97" s="186"/>
      <c r="B97" s="186"/>
      <c r="C97" s="186"/>
      <c r="D97" s="186"/>
      <c r="E97" s="112"/>
    </row>
    <row r="98" spans="1:5">
      <c r="A98" s="186"/>
      <c r="B98" s="186"/>
      <c r="C98" s="186"/>
      <c r="D98" s="186"/>
      <c r="E98" s="112"/>
    </row>
    <row r="99" spans="1:5">
      <c r="A99" s="186"/>
      <c r="B99" s="186"/>
      <c r="C99" s="186"/>
      <c r="D99" s="186"/>
      <c r="E99" s="112"/>
    </row>
    <row r="100" spans="1:5" ht="15" customHeight="1">
      <c r="A100" s="186"/>
      <c r="B100" s="186"/>
      <c r="C100" s="186"/>
      <c r="D100" s="186"/>
      <c r="E100" s="112"/>
    </row>
    <row r="101" spans="1:5" ht="15" customHeight="1">
      <c r="A101" s="186"/>
      <c r="B101" s="186"/>
      <c r="C101" s="186"/>
      <c r="D101" s="186"/>
      <c r="E101" s="112"/>
    </row>
    <row r="102" spans="1:5" ht="15" customHeight="1">
      <c r="A102" s="186"/>
      <c r="B102" s="186"/>
      <c r="C102" s="186"/>
      <c r="D102" s="186"/>
      <c r="E102" s="112"/>
    </row>
    <row r="103" spans="1:5" ht="15" customHeight="1">
      <c r="A103" s="186"/>
      <c r="B103" s="186"/>
      <c r="C103" s="186"/>
      <c r="D103" s="186"/>
      <c r="E103" s="186"/>
    </row>
    <row r="104" spans="1:5" ht="15" customHeight="1">
      <c r="A104" s="186"/>
      <c r="B104" s="186"/>
      <c r="C104" s="186"/>
      <c r="D104" s="186"/>
      <c r="E104" s="186"/>
    </row>
    <row r="105" spans="1:5" ht="15" customHeight="1">
      <c r="A105" s="186"/>
      <c r="B105" s="186"/>
      <c r="C105" s="186"/>
      <c r="D105" s="186"/>
      <c r="E105" s="186"/>
    </row>
    <row r="106" spans="1:5" ht="15" customHeight="1">
      <c r="A106" s="186"/>
      <c r="B106" s="186"/>
      <c r="C106" s="186"/>
      <c r="D106" s="186"/>
      <c r="E106" s="186"/>
    </row>
    <row r="107" spans="1:5" ht="15" customHeight="1">
      <c r="A107" s="186"/>
      <c r="B107" s="186"/>
      <c r="C107" s="186"/>
      <c r="D107" s="186"/>
      <c r="E107" s="186"/>
    </row>
    <row r="108" spans="1:5" ht="15" customHeight="1">
      <c r="A108" s="186"/>
      <c r="B108" s="186"/>
      <c r="C108" s="186"/>
      <c r="D108" s="186"/>
      <c r="E108" s="186"/>
    </row>
    <row r="109" spans="1:5" ht="15" customHeight="1">
      <c r="A109" s="186"/>
      <c r="B109" s="186"/>
      <c r="C109" s="186"/>
      <c r="D109" s="186"/>
      <c r="E109" s="186"/>
    </row>
    <row r="110" spans="1:5" ht="15" customHeight="1">
      <c r="A110" s="186"/>
      <c r="B110" s="186"/>
      <c r="C110" s="186"/>
      <c r="D110" s="186"/>
      <c r="E110" s="186"/>
    </row>
    <row r="111" spans="1:5" ht="15" customHeight="1">
      <c r="A111" s="186"/>
      <c r="B111" s="186"/>
      <c r="C111" s="186"/>
      <c r="D111" s="186"/>
      <c r="E111" s="186"/>
    </row>
    <row r="112" spans="1:5" ht="15" customHeight="1">
      <c r="A112" s="186"/>
      <c r="B112" s="186"/>
      <c r="C112" s="186"/>
      <c r="D112" s="186"/>
      <c r="E112" s="186"/>
    </row>
    <row r="113" spans="1:5" ht="15" customHeight="1">
      <c r="A113" s="186"/>
      <c r="B113" s="186"/>
      <c r="C113" s="186"/>
      <c r="D113" s="186"/>
      <c r="E113" s="186"/>
    </row>
    <row r="114" spans="1:5">
      <c r="A114" s="186"/>
      <c r="B114" s="186"/>
      <c r="C114" s="186"/>
      <c r="D114" s="186"/>
      <c r="E114" s="186"/>
    </row>
  </sheetData>
  <mergeCells count="2">
    <mergeCell ref="N6:O6"/>
    <mergeCell ref="F6:G6"/>
  </mergeCells>
  <dataValidations count="2">
    <dataValidation type="list" allowBlank="1" showInputMessage="1" showErrorMessage="1" sqref="B22:B78" xr:uid="{00000000-0002-0000-0600-000000000000}">
      <formula1>$J$7:$J$11</formula1>
    </dataValidation>
    <dataValidation type="list" allowBlank="1" showInputMessage="1" showErrorMessage="1" sqref="G15" xr:uid="{00000000-0002-0000-0600-000001000000}">
      <formula1>$J$13:$N$13</formula1>
    </dataValidation>
  </dataValidations>
  <pageMargins left="0.25" right="0.25" top="0.75" bottom="0.75" header="0.3" footer="0.3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29"/>
  <sheetViews>
    <sheetView zoomScaleNormal="100" workbookViewId="0">
      <selection activeCell="N21" sqref="N21"/>
    </sheetView>
  </sheetViews>
  <sheetFormatPr defaultColWidth="11.453125" defaultRowHeight="14"/>
  <cols>
    <col min="1" max="6" width="13.54296875" style="198" customWidth="1"/>
    <col min="7" max="9" width="13.54296875" style="199" customWidth="1"/>
    <col min="10" max="10" width="13.54296875" style="198" customWidth="1"/>
    <col min="11" max="11" width="1.453125" style="198" customWidth="1"/>
    <col min="12" max="14" width="13.54296875" style="198" customWidth="1"/>
    <col min="15" max="17" width="13.36328125" style="198" customWidth="1"/>
    <col min="18" max="18" width="4.36328125" style="198" customWidth="1"/>
    <col min="19" max="16384" width="11.453125" style="198"/>
  </cols>
  <sheetData>
    <row r="1" spans="1:12">
      <c r="A1" s="50" t="str">
        <f>'Project Overview'!A1</f>
        <v>Project Name</v>
      </c>
    </row>
    <row r="2" spans="1:12">
      <c r="A2" s="50" t="str">
        <f>'Project Overview'!A2</f>
        <v>Developer</v>
      </c>
    </row>
    <row r="3" spans="1:12">
      <c r="A3" s="50" t="str">
        <f>'Project Overview'!A3</f>
        <v>Address</v>
      </c>
    </row>
    <row r="4" spans="1:12">
      <c r="A4" s="50" t="str">
        <f>'Project Overview'!A4</f>
        <v>BBL</v>
      </c>
    </row>
    <row r="6" spans="1:12" s="203" customFormat="1">
      <c r="A6" s="200" t="s">
        <v>245</v>
      </c>
      <c r="B6" s="201"/>
      <c r="C6" s="202"/>
      <c r="D6" s="202"/>
      <c r="E6" s="202"/>
      <c r="G6" s="204"/>
      <c r="H6" s="205"/>
      <c r="I6" s="205"/>
    </row>
    <row r="7" spans="1:12" s="203" customFormat="1">
      <c r="A7" s="201"/>
      <c r="B7" s="201"/>
      <c r="C7" s="202"/>
      <c r="D7" s="202"/>
      <c r="E7" s="202"/>
      <c r="G7" s="204"/>
      <c r="H7" s="205"/>
    </row>
    <row r="8" spans="1:12" s="203" customFormat="1">
      <c r="G8" s="204" t="s">
        <v>246</v>
      </c>
      <c r="H8" s="204" t="s">
        <v>247</v>
      </c>
      <c r="I8" s="204" t="s">
        <v>27</v>
      </c>
    </row>
    <row r="9" spans="1:12" s="203" customFormat="1">
      <c r="G9" s="204" t="s">
        <v>248</v>
      </c>
      <c r="H9" s="204" t="s">
        <v>248</v>
      </c>
      <c r="I9" s="204" t="s">
        <v>248</v>
      </c>
    </row>
    <row r="10" spans="1:12" s="203" customFormat="1" ht="14.5">
      <c r="A10" s="772">
        <v>90600</v>
      </c>
      <c r="B10" s="206"/>
      <c r="C10" s="205" t="s">
        <v>249</v>
      </c>
      <c r="F10" s="207" t="s">
        <v>250</v>
      </c>
      <c r="G10" s="773">
        <v>39</v>
      </c>
      <c r="H10" s="773">
        <v>16</v>
      </c>
      <c r="I10" s="772">
        <f t="shared" ref="I10:I15" si="0">SUM(G10:H10)</f>
        <v>55</v>
      </c>
      <c r="J10" s="208"/>
      <c r="L10" s="209"/>
    </row>
    <row r="11" spans="1:12" s="203" customFormat="1" ht="14.5">
      <c r="A11" s="772">
        <v>1571</v>
      </c>
      <c r="B11" s="632"/>
      <c r="C11" s="633" t="s">
        <v>251</v>
      </c>
      <c r="F11" s="207" t="s">
        <v>153</v>
      </c>
      <c r="G11" s="773">
        <v>40</v>
      </c>
      <c r="H11" s="773">
        <v>17</v>
      </c>
      <c r="I11" s="772">
        <f t="shared" si="0"/>
        <v>57</v>
      </c>
      <c r="J11" s="208"/>
      <c r="L11" s="209"/>
    </row>
    <row r="12" spans="1:12" s="203" customFormat="1" ht="14.5">
      <c r="A12" s="774">
        <v>0.33</v>
      </c>
      <c r="B12" s="210"/>
      <c r="C12" s="203" t="s">
        <v>252</v>
      </c>
      <c r="F12" s="207" t="s">
        <v>154</v>
      </c>
      <c r="G12" s="773">
        <v>41</v>
      </c>
      <c r="H12" s="773">
        <v>17</v>
      </c>
      <c r="I12" s="772">
        <f t="shared" si="0"/>
        <v>58</v>
      </c>
      <c r="J12" s="208"/>
      <c r="L12" s="209"/>
    </row>
    <row r="13" spans="1:12" s="203" customFormat="1" ht="14.5">
      <c r="F13" s="207" t="s">
        <v>155</v>
      </c>
      <c r="G13" s="773">
        <v>54</v>
      </c>
      <c r="H13" s="773">
        <v>18</v>
      </c>
      <c r="I13" s="772">
        <f t="shared" si="0"/>
        <v>72</v>
      </c>
      <c r="J13" s="208"/>
      <c r="L13" s="209"/>
    </row>
    <row r="14" spans="1:12" s="203" customFormat="1" ht="14.5">
      <c r="F14" s="207" t="s">
        <v>156</v>
      </c>
      <c r="G14" s="773">
        <v>55</v>
      </c>
      <c r="H14" s="773">
        <v>20</v>
      </c>
      <c r="I14" s="772">
        <f t="shared" si="0"/>
        <v>75</v>
      </c>
      <c r="J14" s="208"/>
      <c r="L14" s="209"/>
    </row>
    <row r="15" spans="1:12" s="203" customFormat="1" ht="14.5">
      <c r="A15" s="786" t="s">
        <v>253</v>
      </c>
      <c r="B15" s="786"/>
      <c r="C15" s="786"/>
      <c r="D15" s="786"/>
      <c r="E15" s="661"/>
      <c r="F15" s="207" t="s">
        <v>157</v>
      </c>
      <c r="G15" s="773">
        <v>66</v>
      </c>
      <c r="H15" s="773">
        <v>20</v>
      </c>
      <c r="I15" s="772">
        <f t="shared" si="0"/>
        <v>86</v>
      </c>
      <c r="J15" s="208"/>
      <c r="L15" s="209"/>
    </row>
    <row r="16" spans="1:12" s="203" customFormat="1">
      <c r="A16" s="787" t="s">
        <v>254</v>
      </c>
      <c r="B16" s="787"/>
      <c r="C16" s="787"/>
      <c r="D16" s="787"/>
      <c r="E16" s="662"/>
      <c r="G16" s="204"/>
      <c r="H16" s="205"/>
      <c r="I16" s="204"/>
    </row>
    <row r="17" spans="1:27" s="203" customFormat="1">
      <c r="D17" s="202"/>
      <c r="E17" s="202"/>
      <c r="F17" s="207" t="s">
        <v>255</v>
      </c>
      <c r="G17" s="775">
        <v>42370</v>
      </c>
      <c r="H17" s="211" t="s">
        <v>256</v>
      </c>
      <c r="I17" s="204"/>
    </row>
    <row r="18" spans="1:27" s="203" customFormat="1">
      <c r="A18" s="201"/>
      <c r="B18" s="201"/>
      <c r="C18" s="202"/>
      <c r="D18" s="202"/>
      <c r="E18" s="202"/>
      <c r="G18" s="204"/>
      <c r="H18" s="205"/>
      <c r="I18" s="204"/>
    </row>
    <row r="19" spans="1:27">
      <c r="A19" s="774">
        <v>1</v>
      </c>
      <c r="B19" s="691"/>
      <c r="C19" s="692" t="s">
        <v>152</v>
      </c>
      <c r="D19" s="772">
        <f>IF($A$19=50%,CEILING(MROUND(MROUND($A$10*50%,50)*$A$19/50%,50)*M25,50),CEILING(MROUND($A$10*50%,50)*M25,50)*$A$19/50%)</f>
        <v>90600</v>
      </c>
      <c r="E19" s="634"/>
      <c r="F19" s="635" t="s">
        <v>249</v>
      </c>
      <c r="G19" s="636"/>
      <c r="H19" s="636"/>
      <c r="I19" s="636"/>
      <c r="J19" s="636"/>
      <c r="K19" s="636"/>
      <c r="L19" s="636"/>
      <c r="M19" s="636"/>
      <c r="N19" s="636"/>
      <c r="O19" s="203"/>
      <c r="P19" s="203"/>
      <c r="Q19" s="203"/>
    </row>
    <row r="20" spans="1:27">
      <c r="G20" s="637"/>
      <c r="H20" s="637"/>
      <c r="I20" s="637"/>
      <c r="J20" s="638"/>
      <c r="L20" s="693"/>
      <c r="M20" s="639"/>
      <c r="N20" s="694" t="s">
        <v>257</v>
      </c>
      <c r="O20" s="203"/>
      <c r="P20" s="203"/>
      <c r="Q20" s="203"/>
    </row>
    <row r="21" spans="1:27">
      <c r="A21" s="695"/>
      <c r="B21" s="640"/>
      <c r="C21" s="640"/>
      <c r="D21" s="640"/>
      <c r="E21" s="640"/>
      <c r="F21" s="640"/>
      <c r="G21" s="641" t="s">
        <v>258</v>
      </c>
      <c r="H21" s="641" t="s">
        <v>258</v>
      </c>
      <c r="I21" s="641" t="s">
        <v>258</v>
      </c>
      <c r="J21" s="694" t="s">
        <v>258</v>
      </c>
      <c r="K21" s="212"/>
      <c r="L21" s="642" t="s">
        <v>147</v>
      </c>
      <c r="M21" s="213" t="s">
        <v>146</v>
      </c>
      <c r="N21" s="214" t="s">
        <v>259</v>
      </c>
      <c r="O21" s="203"/>
      <c r="P21" s="203"/>
      <c r="Q21" s="203"/>
    </row>
    <row r="22" spans="1:27" ht="14.5">
      <c r="A22" s="643"/>
      <c r="B22" s="215"/>
      <c r="C22" s="215"/>
      <c r="D22" s="215"/>
      <c r="E22" s="215"/>
      <c r="F22" s="216" t="s">
        <v>257</v>
      </c>
      <c r="G22" s="216" t="s">
        <v>260</v>
      </c>
      <c r="H22" s="216" t="s">
        <v>261</v>
      </c>
      <c r="I22" s="216" t="s">
        <v>261</v>
      </c>
      <c r="J22" s="217" t="s">
        <v>262</v>
      </c>
      <c r="K22" s="218"/>
      <c r="L22" s="696">
        <f t="shared" ref="L22:L27" si="1">L23-1</f>
        <v>1</v>
      </c>
      <c r="M22" s="697">
        <v>0.7</v>
      </c>
      <c r="N22" s="772">
        <f>IF($A$19=50%,CEILING(MROUND(MROUND($A$10*50%,50)*$A$19/50%,50)*M22,50),CEILING(MROUND($A$10*50%,50)*M22,50)*$A$19/50%)</f>
        <v>63500</v>
      </c>
      <c r="O22" s="219"/>
      <c r="P22" s="220"/>
    </row>
    <row r="23" spans="1:27" ht="14.5">
      <c r="A23" s="644"/>
      <c r="B23" s="645"/>
      <c r="C23" s="646" t="s">
        <v>263</v>
      </c>
      <c r="D23" s="647" t="s">
        <v>264</v>
      </c>
      <c r="E23" s="647" t="s">
        <v>265</v>
      </c>
      <c r="F23" s="648" t="s">
        <v>259</v>
      </c>
      <c r="G23" s="649" t="s">
        <v>107</v>
      </c>
      <c r="H23" s="650" t="s">
        <v>246</v>
      </c>
      <c r="I23" s="650" t="s">
        <v>247</v>
      </c>
      <c r="J23" s="651" t="s">
        <v>246</v>
      </c>
      <c r="K23" s="221"/>
      <c r="L23" s="696">
        <f t="shared" si="1"/>
        <v>2</v>
      </c>
      <c r="M23" s="697">
        <f>M22+0.1</f>
        <v>0.79999999999999993</v>
      </c>
      <c r="N23" s="772">
        <f t="shared" ref="N23:N29" si="2">IF($A$19=50%,CEILING(MROUND(MROUND($A$10*50%,50)*$A$19/50%,50)*M23,50),CEILING(MROUND($A$10*50%,50)*M23,50)*$A$19/50%)</f>
        <v>72500</v>
      </c>
      <c r="O23" s="219"/>
      <c r="P23" s="220"/>
    </row>
    <row r="24" spans="1:27" ht="14.5">
      <c r="A24" s="696" t="s">
        <v>250</v>
      </c>
      <c r="B24" s="698"/>
      <c r="C24" s="698">
        <v>1</v>
      </c>
      <c r="D24" s="699">
        <f>IF(AND(A19&lt;=60%,$A$16="New Construction/Special Needs"),0.6,(IF(AND(A19&lt;=60%,$A$16="Preservation/Rehab"),0.7,0.6)))</f>
        <v>0.6</v>
      </c>
      <c r="E24" s="699" t="s">
        <v>32</v>
      </c>
      <c r="F24" s="700">
        <f>IF($A$19=50%,CEILING(MROUND(MROUND($A$10*50%,50)*$A$19/50%,50)*D24,50),CEILING(MROUND($A$10*50%,50)*D24,50)*$A$19/50%)</f>
        <v>54400</v>
      </c>
      <c r="G24" s="701">
        <f t="shared" ref="G24:G29" si="3">ROUNDDOWN(F24*$A$12/12,0)</f>
        <v>1496</v>
      </c>
      <c r="H24" s="701">
        <f t="shared" ref="H24:H29" si="4">G24-VLOOKUP(A24,$F$10:$H$15,2,FALSE)</f>
        <v>1457</v>
      </c>
      <c r="I24" s="701">
        <f t="shared" ref="I24:I29" si="5">G24-VLOOKUP(A24,$F$10:$H$15,3,FALSE)</f>
        <v>1480</v>
      </c>
      <c r="J24" s="702">
        <f t="shared" ref="J24:J29" si="6">H24-VLOOKUP(A24,$F$10:$H$15,3,FALSE)</f>
        <v>1441</v>
      </c>
      <c r="K24" s="222"/>
      <c r="L24" s="696">
        <f t="shared" si="1"/>
        <v>3</v>
      </c>
      <c r="M24" s="697">
        <f>M23+0.1</f>
        <v>0.89999999999999991</v>
      </c>
      <c r="N24" s="772">
        <f t="shared" si="2"/>
        <v>81600</v>
      </c>
      <c r="O24" s="219"/>
      <c r="P24" s="220"/>
    </row>
    <row r="25" spans="1:27" ht="14.5">
      <c r="A25" s="696" t="s">
        <v>153</v>
      </c>
      <c r="B25" s="698"/>
      <c r="C25" s="698">
        <v>1.5</v>
      </c>
      <c r="D25" s="699">
        <v>0.75</v>
      </c>
      <c r="E25" s="703">
        <v>1</v>
      </c>
      <c r="F25" s="700">
        <f>AVERAGE(N22:N23)</f>
        <v>68000</v>
      </c>
      <c r="G25" s="701">
        <f>ROUNDDOWN(F25*$A$12/12,0)</f>
        <v>1870</v>
      </c>
      <c r="H25" s="701">
        <f t="shared" si="4"/>
        <v>1830</v>
      </c>
      <c r="I25" s="701">
        <f t="shared" si="5"/>
        <v>1853</v>
      </c>
      <c r="J25" s="702">
        <f t="shared" si="6"/>
        <v>1813</v>
      </c>
      <c r="K25" s="222"/>
      <c r="L25" s="696">
        <f t="shared" si="1"/>
        <v>4</v>
      </c>
      <c r="M25" s="697">
        <f>M24+0.1</f>
        <v>0.99999999999999989</v>
      </c>
      <c r="N25" s="772">
        <f>IF($A$19=50%,CEILING(MROUND(MROUND($A$10*50%,50)*$A$19/50%,50)*M25,50),CEILING(MROUND($A$10*50%,50)*M25,50)*$A$19/50%)</f>
        <v>90600</v>
      </c>
      <c r="O25" s="219"/>
      <c r="P25" s="220"/>
      <c r="S25" s="223"/>
      <c r="T25" s="223"/>
      <c r="U25" s="223"/>
      <c r="V25" s="223"/>
      <c r="W25" s="223"/>
      <c r="X25" s="223"/>
      <c r="Y25" s="223"/>
      <c r="Z25" s="223"/>
      <c r="AA25" s="223"/>
    </row>
    <row r="26" spans="1:27" ht="14.5">
      <c r="A26" s="696" t="s">
        <v>154</v>
      </c>
      <c r="B26" s="698"/>
      <c r="C26" s="698">
        <v>3</v>
      </c>
      <c r="D26" s="699">
        <v>0.9</v>
      </c>
      <c r="E26" s="703">
        <v>2</v>
      </c>
      <c r="F26" s="700">
        <f>IF($A$19=50%,CEILING(MROUND(MROUND($A$10*50%,50)*$A$19/50%,50)*D26,50),CEILING(MROUND($A$10*50%,50)*D26,50)*$A$19/50%)</f>
        <v>81600</v>
      </c>
      <c r="G26" s="701">
        <f t="shared" si="3"/>
        <v>2244</v>
      </c>
      <c r="H26" s="701">
        <f t="shared" si="4"/>
        <v>2203</v>
      </c>
      <c r="I26" s="701">
        <f t="shared" si="5"/>
        <v>2227</v>
      </c>
      <c r="J26" s="702">
        <f t="shared" si="6"/>
        <v>2186</v>
      </c>
      <c r="K26" s="222"/>
      <c r="L26" s="696">
        <f t="shared" si="1"/>
        <v>5</v>
      </c>
      <c r="M26" s="697">
        <f>M25+0.08</f>
        <v>1.0799999999999998</v>
      </c>
      <c r="N26" s="772">
        <f t="shared" si="2"/>
        <v>97900</v>
      </c>
      <c r="O26" s="219"/>
      <c r="P26" s="220"/>
      <c r="S26" s="223"/>
      <c r="T26" s="223"/>
      <c r="U26" s="223"/>
      <c r="V26" s="223"/>
      <c r="W26" s="223"/>
      <c r="X26" s="223"/>
      <c r="Y26" s="223"/>
      <c r="Z26" s="223"/>
      <c r="AA26" s="223"/>
    </row>
    <row r="27" spans="1:27" ht="14.5">
      <c r="A27" s="696" t="s">
        <v>155</v>
      </c>
      <c r="B27" s="698"/>
      <c r="C27" s="698">
        <v>4.5</v>
      </c>
      <c r="D27" s="699">
        <v>1.04</v>
      </c>
      <c r="E27" s="703">
        <v>3</v>
      </c>
      <c r="F27" s="700">
        <f>AVERAGE(N25:N26)</f>
        <v>94250</v>
      </c>
      <c r="G27" s="701">
        <f t="shared" si="3"/>
        <v>2591</v>
      </c>
      <c r="H27" s="701">
        <f t="shared" si="4"/>
        <v>2537</v>
      </c>
      <c r="I27" s="701">
        <f t="shared" si="5"/>
        <v>2573</v>
      </c>
      <c r="J27" s="702">
        <f t="shared" si="6"/>
        <v>2519</v>
      </c>
      <c r="K27" s="222"/>
      <c r="L27" s="696">
        <f t="shared" si="1"/>
        <v>6</v>
      </c>
      <c r="M27" s="697">
        <f>M26+0.08</f>
        <v>1.1599999999999999</v>
      </c>
      <c r="N27" s="772">
        <f t="shared" si="2"/>
        <v>105100</v>
      </c>
      <c r="O27" s="219"/>
      <c r="P27" s="220"/>
      <c r="S27" s="223"/>
      <c r="T27" s="223"/>
      <c r="U27" s="223"/>
      <c r="V27" s="223"/>
      <c r="W27" s="223"/>
      <c r="X27" s="223"/>
      <c r="Y27" s="223"/>
      <c r="Z27" s="223"/>
      <c r="AA27" s="223"/>
    </row>
    <row r="28" spans="1:27" ht="14.5">
      <c r="A28" s="696" t="s">
        <v>156</v>
      </c>
      <c r="B28" s="698"/>
      <c r="C28" s="698">
        <v>6</v>
      </c>
      <c r="D28" s="699">
        <v>1.1599999999999999</v>
      </c>
      <c r="E28" s="703">
        <v>4</v>
      </c>
      <c r="F28" s="700">
        <f>IF($A$19=50%,CEILING(MROUND(MROUND($A$10*50%,50)*$A$19/50%,50)*D28,50),CEILING(MROUND($A$10*50%,50)*D28,50)*$A$19/50%)</f>
        <v>105100</v>
      </c>
      <c r="G28" s="701">
        <f t="shared" si="3"/>
        <v>2890</v>
      </c>
      <c r="H28" s="701">
        <f t="shared" si="4"/>
        <v>2835</v>
      </c>
      <c r="I28" s="701">
        <f t="shared" si="5"/>
        <v>2870</v>
      </c>
      <c r="J28" s="702">
        <f t="shared" si="6"/>
        <v>2815</v>
      </c>
      <c r="K28" s="222"/>
      <c r="L28" s="696">
        <f>L29-1</f>
        <v>7</v>
      </c>
      <c r="M28" s="697">
        <f>M27+0.08</f>
        <v>1.24</v>
      </c>
      <c r="N28" s="772">
        <f t="shared" si="2"/>
        <v>112400</v>
      </c>
      <c r="O28" s="219"/>
      <c r="P28" s="220"/>
      <c r="S28" s="223"/>
      <c r="T28" s="223"/>
      <c r="U28" s="223"/>
      <c r="V28" s="223"/>
    </row>
    <row r="29" spans="1:27" ht="14.5">
      <c r="A29" s="696" t="s">
        <v>157</v>
      </c>
      <c r="B29" s="698"/>
      <c r="C29" s="698">
        <v>7.5</v>
      </c>
      <c r="D29" s="699">
        <f>1.28</f>
        <v>1.28</v>
      </c>
      <c r="E29" s="703">
        <v>5</v>
      </c>
      <c r="F29" s="700">
        <f>AVERAGE(N28:N29)</f>
        <v>116000</v>
      </c>
      <c r="G29" s="701">
        <f t="shared" si="3"/>
        <v>3190</v>
      </c>
      <c r="H29" s="701">
        <f t="shared" si="4"/>
        <v>3124</v>
      </c>
      <c r="I29" s="701">
        <f t="shared" si="5"/>
        <v>3170</v>
      </c>
      <c r="J29" s="702">
        <f t="shared" si="6"/>
        <v>3104</v>
      </c>
      <c r="K29" s="222"/>
      <c r="L29" s="696">
        <v>8</v>
      </c>
      <c r="M29" s="697">
        <f>M28+0.08</f>
        <v>1.32</v>
      </c>
      <c r="N29" s="772">
        <f t="shared" si="2"/>
        <v>119600</v>
      </c>
      <c r="O29" s="219"/>
      <c r="P29" s="220"/>
      <c r="S29" s="223"/>
      <c r="T29" s="223"/>
      <c r="U29" s="223"/>
      <c r="V29" s="223"/>
    </row>
  </sheetData>
  <mergeCells count="2">
    <mergeCell ref="A15:D15"/>
    <mergeCell ref="A16:D16"/>
  </mergeCells>
  <conditionalFormatting sqref="D24:E24">
    <cfRule type="expression" dxfId="0" priority="1">
      <formula>D24&lt;0.7</formula>
    </cfRule>
  </conditionalFormatting>
  <dataValidations count="1">
    <dataValidation type="list" allowBlank="1" showInputMessage="1" showErrorMessage="1" sqref="A16:B16" xr:uid="{00000000-0002-0000-0700-000000000000}">
      <formula1>ProjectType</formula1>
    </dataValidation>
  </dataValidations>
  <pageMargins left="0.7" right="0.7" top="0.75" bottom="0.75" header="0.3" footer="0.3"/>
  <pageSetup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52"/>
  <sheetViews>
    <sheetView topLeftCell="A32" zoomScaleNormal="100" zoomScaleSheetLayoutView="85" workbookViewId="0">
      <selection activeCell="D36" sqref="D36"/>
    </sheetView>
  </sheetViews>
  <sheetFormatPr defaultColWidth="9.08984375" defaultRowHeight="14"/>
  <cols>
    <col min="1" max="1" width="50.08984375" style="101" customWidth="1"/>
    <col min="2" max="2" width="19.08984375" style="184" bestFit="1" customWidth="1"/>
    <col min="3" max="3" width="18.6328125" style="184" customWidth="1"/>
    <col min="4" max="4" width="20.54296875" style="184" bestFit="1" customWidth="1"/>
    <col min="5" max="17" width="18.6328125" style="101" customWidth="1"/>
    <col min="18" max="18" width="13.36328125" style="101" bestFit="1" customWidth="1"/>
    <col min="19" max="16384" width="9.08984375" style="101"/>
  </cols>
  <sheetData>
    <row r="1" spans="1:17" ht="14.5">
      <c r="A1" s="250" t="str">
        <f>'Project Overview'!A1</f>
        <v>Project Name</v>
      </c>
      <c r="B1" s="325">
        <f>'Project Overview'!B1</f>
        <v>0</v>
      </c>
      <c r="C1" s="326" t="s">
        <v>266</v>
      </c>
      <c r="D1" s="327">
        <f>'Project Overview'!$E$3</f>
        <v>50</v>
      </c>
      <c r="E1" s="250"/>
      <c r="F1" s="328"/>
      <c r="G1" s="328"/>
      <c r="H1" s="329"/>
      <c r="I1" s="329"/>
      <c r="J1" s="329"/>
      <c r="K1" s="329"/>
      <c r="L1" s="329"/>
      <c r="M1" s="328"/>
      <c r="N1" s="328"/>
      <c r="O1" s="328"/>
      <c r="P1" s="328"/>
      <c r="Q1" s="328"/>
    </row>
    <row r="2" spans="1:17" ht="14.5">
      <c r="A2" s="250" t="str">
        <f>'Project Overview'!A2</f>
        <v>Developer</v>
      </c>
      <c r="B2" s="330">
        <f>'Project Overview'!B2</f>
        <v>0</v>
      </c>
      <c r="C2" s="331" t="s">
        <v>267</v>
      </c>
      <c r="D2" s="331">
        <f>'Project Overview'!$E$22</f>
        <v>0</v>
      </c>
      <c r="E2" s="332"/>
      <c r="F2" s="328"/>
      <c r="G2" s="328"/>
      <c r="H2" s="329"/>
      <c r="I2" s="329"/>
      <c r="J2" s="329"/>
      <c r="K2" s="329"/>
      <c r="L2" s="329"/>
      <c r="M2" s="328"/>
      <c r="N2" s="328"/>
      <c r="O2" s="328"/>
      <c r="P2" s="328"/>
      <c r="Q2" s="328"/>
    </row>
    <row r="3" spans="1:17" ht="14.5">
      <c r="A3" s="250" t="str">
        <f>'Project Overview'!A3</f>
        <v>Address</v>
      </c>
      <c r="B3" s="325">
        <f>'Project Overview'!B3</f>
        <v>0</v>
      </c>
      <c r="C3" s="331" t="s">
        <v>268</v>
      </c>
      <c r="D3" s="333"/>
      <c r="E3" s="663"/>
      <c r="F3" s="328"/>
      <c r="G3" s="328"/>
      <c r="H3" s="329"/>
      <c r="I3" s="329"/>
      <c r="J3" s="329"/>
      <c r="K3" s="329"/>
      <c r="L3" s="329"/>
      <c r="M3" s="328"/>
      <c r="N3" s="328"/>
      <c r="O3" s="328"/>
      <c r="P3" s="328"/>
      <c r="Q3" s="328"/>
    </row>
    <row r="4" spans="1:17" ht="14.5">
      <c r="A4" s="250" t="str">
        <f>'Project Overview'!A4</f>
        <v>BBL</v>
      </c>
      <c r="B4" s="325">
        <f>'Project Overview'!B4</f>
        <v>0</v>
      </c>
      <c r="C4" s="331" t="s">
        <v>269</v>
      </c>
      <c r="D4" s="333"/>
      <c r="E4" s="663"/>
      <c r="F4" s="328"/>
      <c r="G4" s="328"/>
      <c r="H4" s="329"/>
      <c r="I4" s="329"/>
      <c r="J4" s="329"/>
      <c r="K4" s="329"/>
      <c r="L4" s="329"/>
      <c r="M4" s="328"/>
      <c r="N4" s="328"/>
      <c r="O4" s="328"/>
      <c r="P4" s="328"/>
      <c r="Q4" s="328"/>
    </row>
    <row r="5" spans="1:17" ht="14.5">
      <c r="A5" s="328"/>
      <c r="B5" s="334"/>
      <c r="C5" s="334"/>
      <c r="D5" s="334"/>
      <c r="E5" s="328"/>
      <c r="F5" s="328"/>
      <c r="G5" s="328"/>
      <c r="H5" s="329"/>
      <c r="I5" s="329"/>
      <c r="J5" s="329"/>
      <c r="K5" s="329"/>
      <c r="L5" s="329"/>
      <c r="M5" s="328"/>
      <c r="N5" s="328"/>
      <c r="O5" s="328"/>
      <c r="P5" s="328"/>
      <c r="Q5" s="328"/>
    </row>
    <row r="6" spans="1:17" ht="14.5">
      <c r="A6" s="788" t="s">
        <v>270</v>
      </c>
      <c r="B6" s="788"/>
      <c r="C6" s="788"/>
      <c r="D6" s="788"/>
      <c r="E6" s="328"/>
      <c r="F6" s="328"/>
      <c r="G6" s="328"/>
      <c r="H6" s="329"/>
      <c r="I6" s="329"/>
      <c r="J6" s="329"/>
      <c r="K6" s="329"/>
      <c r="L6" s="329"/>
      <c r="M6" s="328"/>
      <c r="N6" s="328"/>
      <c r="O6" s="328"/>
      <c r="P6" s="328"/>
      <c r="Q6" s="328"/>
    </row>
    <row r="7" spans="1:17" ht="15" thickBot="1">
      <c r="A7" s="789"/>
      <c r="B7" s="789"/>
      <c r="C7" s="789"/>
      <c r="D7" s="789"/>
      <c r="E7" s="329"/>
      <c r="F7" s="328"/>
      <c r="G7" s="328"/>
      <c r="H7" s="335"/>
      <c r="I7" s="335"/>
      <c r="J7" s="664"/>
      <c r="K7" s="664"/>
      <c r="L7" s="329"/>
      <c r="M7" s="328"/>
      <c r="N7" s="328"/>
      <c r="O7" s="328"/>
      <c r="P7" s="328"/>
      <c r="Q7" s="328"/>
    </row>
    <row r="8" spans="1:17" ht="14.5">
      <c r="A8" s="336" t="s">
        <v>271</v>
      </c>
      <c r="B8" s="652" t="s">
        <v>54</v>
      </c>
      <c r="C8" s="652" t="s">
        <v>272</v>
      </c>
      <c r="D8" s="652" t="s">
        <v>273</v>
      </c>
      <c r="E8" s="337"/>
      <c r="F8" s="329"/>
      <c r="G8" s="338" t="s">
        <v>273</v>
      </c>
      <c r="H8" s="339"/>
      <c r="I8" s="335"/>
      <c r="J8" s="335"/>
      <c r="K8" s="664"/>
      <c r="L8" s="329"/>
      <c r="M8" s="328"/>
      <c r="N8" s="328"/>
      <c r="O8" s="328"/>
      <c r="P8" s="328"/>
      <c r="Q8" s="328"/>
    </row>
    <row r="9" spans="1:17" ht="14.5">
      <c r="A9" s="340" t="s">
        <v>274</v>
      </c>
      <c r="B9" s="334"/>
      <c r="C9" s="341">
        <f>D9*D1</f>
        <v>0</v>
      </c>
      <c r="D9" s="342"/>
      <c r="E9" s="343" t="s">
        <v>275</v>
      </c>
      <c r="F9" s="329"/>
      <c r="G9" s="344">
        <v>230</v>
      </c>
      <c r="H9" s="343" t="s">
        <v>275</v>
      </c>
      <c r="I9" s="345"/>
      <c r="J9" s="346"/>
      <c r="K9" s="345"/>
      <c r="L9" s="329"/>
      <c r="M9" s="328"/>
      <c r="N9" s="328"/>
      <c r="O9" s="328"/>
      <c r="P9" s="328"/>
      <c r="Q9" s="328"/>
    </row>
    <row r="10" spans="1:17" ht="14.5">
      <c r="A10" s="340" t="s">
        <v>276</v>
      </c>
      <c r="B10" s="334"/>
      <c r="C10" s="341">
        <f>D10*D3</f>
        <v>0</v>
      </c>
      <c r="D10" s="342"/>
      <c r="E10" s="343" t="s">
        <v>277</v>
      </c>
      <c r="F10" s="329"/>
      <c r="G10" s="344">
        <v>1500</v>
      </c>
      <c r="H10" s="343" t="s">
        <v>277</v>
      </c>
      <c r="I10" s="345"/>
      <c r="J10" s="346"/>
      <c r="K10" s="345"/>
      <c r="L10" s="329"/>
      <c r="M10" s="328"/>
      <c r="N10" s="328"/>
      <c r="O10" s="328"/>
      <c r="P10" s="328"/>
      <c r="Q10" s="328"/>
    </row>
    <row r="11" spans="1:17" ht="15.5">
      <c r="A11" s="340" t="s">
        <v>278</v>
      </c>
      <c r="B11" s="334"/>
      <c r="C11" s="342"/>
      <c r="D11" s="342"/>
      <c r="E11" s="342"/>
      <c r="F11" s="329"/>
      <c r="G11" s="347">
        <v>6.5000000000000002E-2</v>
      </c>
      <c r="H11" s="343" t="s">
        <v>279</v>
      </c>
      <c r="I11" s="345"/>
      <c r="J11" s="653" t="s">
        <v>280</v>
      </c>
      <c r="K11" s="653"/>
      <c r="L11" s="329"/>
      <c r="M11" s="328"/>
      <c r="N11" s="328"/>
      <c r="O11" s="328"/>
      <c r="P11" s="328"/>
      <c r="Q11" s="328"/>
    </row>
    <row r="12" spans="1:17" ht="15.5">
      <c r="A12" s="340" t="s">
        <v>280</v>
      </c>
      <c r="B12" s="334"/>
      <c r="C12" s="341">
        <f>D12*D1</f>
        <v>0</v>
      </c>
      <c r="D12" s="342"/>
      <c r="E12" s="343" t="s">
        <v>281</v>
      </c>
      <c r="F12" s="329"/>
      <c r="G12" s="348"/>
      <c r="H12" s="343" t="s">
        <v>281</v>
      </c>
      <c r="I12" s="345"/>
      <c r="J12" s="654" t="s">
        <v>282</v>
      </c>
      <c r="K12" s="655" t="s">
        <v>283</v>
      </c>
      <c r="L12" s="329"/>
      <c r="M12" s="328"/>
      <c r="N12" s="328"/>
      <c r="O12" s="328"/>
      <c r="P12" s="328"/>
      <c r="Q12" s="328"/>
    </row>
    <row r="13" spans="1:17" ht="15.5">
      <c r="A13" s="340" t="s">
        <v>284</v>
      </c>
      <c r="B13" s="334"/>
      <c r="C13" s="341">
        <f>D13*D3</f>
        <v>0</v>
      </c>
      <c r="D13" s="342"/>
      <c r="E13" s="343" t="s">
        <v>277</v>
      </c>
      <c r="F13" s="329"/>
      <c r="G13" s="349"/>
      <c r="H13" s="343"/>
      <c r="I13" s="345"/>
      <c r="J13" s="654" t="s">
        <v>285</v>
      </c>
      <c r="K13" s="655" t="s">
        <v>286</v>
      </c>
      <c r="L13" s="329"/>
      <c r="M13" s="328"/>
      <c r="N13" s="328"/>
      <c r="O13" s="328"/>
      <c r="P13" s="328"/>
      <c r="Q13" s="328"/>
    </row>
    <row r="14" spans="1:17" ht="14.5">
      <c r="A14" s="350"/>
      <c r="B14" s="334"/>
      <c r="C14" s="341"/>
      <c r="D14" s="351"/>
      <c r="E14" s="343"/>
      <c r="F14" s="329"/>
      <c r="G14" s="352"/>
      <c r="H14" s="343"/>
      <c r="I14" s="335"/>
      <c r="J14" s="335"/>
      <c r="K14" s="664"/>
      <c r="L14" s="329"/>
      <c r="M14" s="328"/>
      <c r="N14" s="328"/>
      <c r="O14" s="328"/>
      <c r="P14" s="328"/>
      <c r="Q14" s="328"/>
    </row>
    <row r="15" spans="1:17" ht="14.5">
      <c r="A15" s="340" t="s">
        <v>287</v>
      </c>
      <c r="B15" s="334"/>
      <c r="C15" s="341">
        <f>D15*D2</f>
        <v>0</v>
      </c>
      <c r="D15" s="342"/>
      <c r="E15" s="343" t="s">
        <v>288</v>
      </c>
      <c r="F15" s="329"/>
      <c r="G15" s="348">
        <v>280</v>
      </c>
      <c r="H15" s="343" t="s">
        <v>289</v>
      </c>
      <c r="I15" s="345"/>
      <c r="J15" s="346"/>
      <c r="K15" s="345"/>
      <c r="L15" s="329"/>
      <c r="M15" s="328"/>
      <c r="N15" s="328"/>
      <c r="O15" s="328"/>
      <c r="P15" s="328"/>
      <c r="Q15" s="328"/>
    </row>
    <row r="16" spans="1:17" ht="14.5">
      <c r="A16" s="340" t="s">
        <v>290</v>
      </c>
      <c r="B16" s="334"/>
      <c r="C16" s="341">
        <f>D16*D2</f>
        <v>0</v>
      </c>
      <c r="D16" s="342"/>
      <c r="E16" s="343" t="s">
        <v>288</v>
      </c>
      <c r="F16" s="329"/>
      <c r="G16" s="348" t="s">
        <v>291</v>
      </c>
      <c r="H16" s="343" t="s">
        <v>292</v>
      </c>
      <c r="I16" s="345"/>
      <c r="J16" s="346"/>
      <c r="K16" s="345"/>
      <c r="L16" s="329"/>
      <c r="M16" s="328"/>
      <c r="N16" s="328"/>
      <c r="O16" s="328"/>
      <c r="P16" s="328"/>
      <c r="Q16" s="328"/>
    </row>
    <row r="17" spans="1:17" ht="14.5">
      <c r="A17" s="340" t="s">
        <v>293</v>
      </c>
      <c r="B17" s="334"/>
      <c r="C17" s="341">
        <f>D17*D2</f>
        <v>0</v>
      </c>
      <c r="D17" s="342"/>
      <c r="E17" s="343" t="s">
        <v>294</v>
      </c>
      <c r="F17" s="329"/>
      <c r="G17" s="344">
        <v>220</v>
      </c>
      <c r="H17" s="343" t="s">
        <v>295</v>
      </c>
      <c r="I17" s="345"/>
      <c r="J17" s="346"/>
      <c r="K17" s="345"/>
      <c r="L17" s="329"/>
      <c r="M17" s="328"/>
      <c r="N17" s="328"/>
      <c r="O17" s="328"/>
      <c r="P17" s="328"/>
      <c r="Q17" s="328"/>
    </row>
    <row r="18" spans="1:17" ht="14.5">
      <c r="A18" s="350"/>
      <c r="B18" s="334"/>
      <c r="C18" s="341"/>
      <c r="D18" s="341"/>
      <c r="E18" s="343"/>
      <c r="F18" s="329"/>
      <c r="G18" s="344"/>
      <c r="H18" s="343"/>
      <c r="I18" s="335"/>
      <c r="J18" s="335"/>
      <c r="K18" s="664"/>
      <c r="L18" s="329"/>
      <c r="M18" s="328"/>
      <c r="N18" s="328"/>
      <c r="O18" s="328"/>
      <c r="P18" s="328"/>
      <c r="Q18" s="328"/>
    </row>
    <row r="19" spans="1:17" ht="14.5">
      <c r="A19" s="340" t="s">
        <v>296</v>
      </c>
      <c r="B19" s="334"/>
      <c r="C19" s="341">
        <f>D19*D1</f>
        <v>0</v>
      </c>
      <c r="D19" s="342"/>
      <c r="E19" s="343" t="s">
        <v>275</v>
      </c>
      <c r="F19" s="329"/>
      <c r="G19" s="344">
        <v>750</v>
      </c>
      <c r="H19" s="343" t="s">
        <v>275</v>
      </c>
      <c r="I19" s="345"/>
      <c r="J19" s="346"/>
      <c r="K19" s="345"/>
      <c r="L19" s="329"/>
      <c r="M19" s="328"/>
      <c r="N19" s="328"/>
      <c r="O19" s="328"/>
      <c r="P19" s="328"/>
      <c r="Q19" s="328"/>
    </row>
    <row r="20" spans="1:17" ht="14.5">
      <c r="A20" s="340" t="s">
        <v>297</v>
      </c>
      <c r="B20" s="334"/>
      <c r="C20" s="341">
        <f>D20*D2</f>
        <v>0</v>
      </c>
      <c r="D20" s="342"/>
      <c r="E20" s="343" t="s">
        <v>294</v>
      </c>
      <c r="F20" s="329"/>
      <c r="G20" s="344">
        <v>100</v>
      </c>
      <c r="H20" s="343" t="s">
        <v>294</v>
      </c>
      <c r="I20" s="345"/>
      <c r="J20" s="346"/>
      <c r="K20" s="345"/>
      <c r="L20" s="329"/>
      <c r="M20" s="328"/>
      <c r="N20" s="328"/>
      <c r="O20" s="328"/>
      <c r="P20" s="328"/>
      <c r="Q20" s="328"/>
    </row>
    <row r="21" spans="1:17" ht="14.5">
      <c r="A21" s="340"/>
      <c r="B21" s="334"/>
      <c r="C21" s="341"/>
      <c r="D21" s="341"/>
      <c r="E21" s="343"/>
      <c r="F21" s="329"/>
      <c r="G21" s="344"/>
      <c r="H21" s="343"/>
      <c r="I21" s="345"/>
      <c r="J21" s="346"/>
      <c r="K21" s="345"/>
      <c r="L21" s="329"/>
      <c r="M21" s="328"/>
      <c r="N21" s="328"/>
      <c r="O21" s="328"/>
      <c r="P21" s="328"/>
      <c r="Q21" s="328"/>
    </row>
    <row r="22" spans="1:17" ht="14.5">
      <c r="A22" s="340" t="s">
        <v>298</v>
      </c>
      <c r="B22" s="334"/>
      <c r="C22" s="341">
        <f>D4*D22</f>
        <v>0</v>
      </c>
      <c r="D22" s="342"/>
      <c r="E22" s="343" t="s">
        <v>299</v>
      </c>
      <c r="F22" s="329"/>
      <c r="G22" s="344">
        <v>6250</v>
      </c>
      <c r="H22" s="343" t="s">
        <v>299</v>
      </c>
      <c r="I22" s="345"/>
      <c r="J22" s="346"/>
      <c r="K22" s="345"/>
      <c r="L22" s="329"/>
      <c r="M22" s="328"/>
      <c r="N22" s="328"/>
      <c r="O22" s="328"/>
      <c r="P22" s="328"/>
      <c r="Q22" s="328"/>
    </row>
    <row r="23" spans="1:17" ht="14.5">
      <c r="A23" s="340" t="s">
        <v>300</v>
      </c>
      <c r="B23" s="334"/>
      <c r="C23" s="341">
        <f>D23*D1</f>
        <v>0</v>
      </c>
      <c r="D23" s="342"/>
      <c r="E23" s="343" t="s">
        <v>275</v>
      </c>
      <c r="F23" s="329"/>
      <c r="G23" s="344">
        <v>1200</v>
      </c>
      <c r="H23" s="343" t="s">
        <v>301</v>
      </c>
      <c r="I23" s="345"/>
      <c r="J23" s="346"/>
      <c r="K23" s="345"/>
      <c r="L23" s="329"/>
      <c r="M23" s="328"/>
      <c r="N23" s="328"/>
      <c r="O23" s="328"/>
      <c r="P23" s="328"/>
      <c r="Q23" s="328"/>
    </row>
    <row r="24" spans="1:17" ht="14.5">
      <c r="A24" s="340"/>
      <c r="B24" s="334"/>
      <c r="C24" s="341"/>
      <c r="D24" s="341"/>
      <c r="E24" s="343"/>
      <c r="F24" s="329"/>
      <c r="G24" s="344"/>
      <c r="H24" s="343"/>
      <c r="I24" s="329"/>
      <c r="J24" s="329"/>
      <c r="K24" s="329"/>
      <c r="L24" s="329"/>
      <c r="M24" s="328"/>
      <c r="N24" s="328"/>
      <c r="O24" s="328"/>
      <c r="P24" s="328"/>
      <c r="Q24" s="328"/>
    </row>
    <row r="25" spans="1:17" ht="14.5">
      <c r="A25" s="340" t="s">
        <v>302</v>
      </c>
      <c r="B25" s="334"/>
      <c r="C25" s="341">
        <f>D25*D1</f>
        <v>0</v>
      </c>
      <c r="D25" s="342"/>
      <c r="E25" s="343" t="s">
        <v>275</v>
      </c>
      <c r="F25" s="329"/>
      <c r="G25" s="344">
        <v>250</v>
      </c>
      <c r="H25" s="343" t="s">
        <v>275</v>
      </c>
      <c r="I25" s="345"/>
      <c r="J25" s="346"/>
      <c r="K25" s="345"/>
      <c r="L25" s="329"/>
      <c r="M25" s="328"/>
      <c r="N25" s="328"/>
      <c r="O25" s="328"/>
      <c r="P25" s="328"/>
      <c r="Q25" s="328"/>
    </row>
    <row r="26" spans="1:17" ht="14.5">
      <c r="A26" s="340"/>
      <c r="B26" s="334"/>
      <c r="C26" s="341"/>
      <c r="D26" s="341"/>
      <c r="E26" s="343"/>
      <c r="F26" s="329"/>
      <c r="G26" s="353"/>
      <c r="H26" s="343"/>
      <c r="I26" s="345"/>
      <c r="J26" s="346"/>
      <c r="K26" s="345"/>
      <c r="L26" s="329"/>
      <c r="M26" s="328"/>
      <c r="N26" s="328"/>
      <c r="O26" s="328"/>
      <c r="P26" s="328"/>
      <c r="Q26" s="328"/>
    </row>
    <row r="27" spans="1:17" ht="14.5">
      <c r="A27" s="350" t="s">
        <v>303</v>
      </c>
      <c r="B27" s="334"/>
      <c r="C27" s="354">
        <f>SUM(C9:C26)*1.05</f>
        <v>0</v>
      </c>
      <c r="D27" s="354">
        <f>C27/D1</f>
        <v>0</v>
      </c>
      <c r="E27" s="355" t="s">
        <v>275</v>
      </c>
      <c r="F27" s="329"/>
      <c r="G27" s="356"/>
      <c r="H27" s="355"/>
      <c r="I27" s="345"/>
      <c r="J27" s="346"/>
      <c r="K27" s="345"/>
      <c r="L27" s="329"/>
      <c r="M27" s="328"/>
      <c r="N27" s="328"/>
      <c r="O27" s="328"/>
      <c r="P27" s="328"/>
      <c r="Q27" s="328"/>
    </row>
    <row r="28" spans="1:17" ht="15" thickBot="1">
      <c r="A28" s="357"/>
      <c r="B28" s="656"/>
      <c r="C28" s="656"/>
      <c r="D28" s="656" t="e">
        <f>C27/D2</f>
        <v>#DIV/0!</v>
      </c>
      <c r="E28" s="704" t="s">
        <v>294</v>
      </c>
      <c r="F28" s="329"/>
      <c r="G28" s="358"/>
      <c r="H28" s="704"/>
      <c r="I28" s="359"/>
      <c r="J28" s="359"/>
      <c r="K28" s="359"/>
      <c r="L28" s="329"/>
      <c r="M28" s="328"/>
      <c r="N28" s="328"/>
      <c r="O28" s="328"/>
      <c r="P28" s="328"/>
      <c r="Q28" s="328"/>
    </row>
    <row r="29" spans="1:17" ht="14.5">
      <c r="A29" s="329"/>
      <c r="B29" s="360"/>
      <c r="C29" s="341"/>
      <c r="D29" s="360"/>
      <c r="E29" s="329"/>
      <c r="F29" s="328"/>
      <c r="G29" s="328"/>
      <c r="H29" s="328"/>
      <c r="I29" s="328"/>
      <c r="J29" s="328"/>
      <c r="K29" s="328"/>
      <c r="L29" s="328"/>
      <c r="M29" s="328"/>
      <c r="N29" s="328"/>
      <c r="O29" s="328"/>
      <c r="P29" s="328"/>
      <c r="Q29" s="328"/>
    </row>
    <row r="30" spans="1:17" ht="14.5">
      <c r="A30" s="329"/>
      <c r="B30" s="360"/>
      <c r="C30" s="341"/>
      <c r="D30" s="360"/>
      <c r="E30" s="329"/>
      <c r="F30" s="328"/>
      <c r="G30" s="328"/>
      <c r="H30" s="328"/>
      <c r="I30" s="328"/>
      <c r="J30" s="328"/>
      <c r="K30" s="328"/>
      <c r="L30" s="328"/>
      <c r="M30" s="328"/>
      <c r="N30" s="328"/>
      <c r="O30" s="328"/>
      <c r="P30" s="328"/>
      <c r="Q30" s="328"/>
    </row>
    <row r="31" spans="1:17" ht="14.5">
      <c r="A31" s="361"/>
      <c r="B31" s="362"/>
      <c r="C31" s="363"/>
      <c r="D31" s="364"/>
      <c r="E31" s="328"/>
      <c r="F31" s="328"/>
      <c r="G31" s="328"/>
      <c r="H31" s="328"/>
      <c r="I31" s="328"/>
      <c r="J31" s="328"/>
      <c r="K31" s="328"/>
      <c r="L31" s="328"/>
      <c r="M31" s="328"/>
      <c r="N31" s="328"/>
      <c r="O31" s="328"/>
      <c r="P31" s="328"/>
      <c r="Q31" s="328"/>
    </row>
    <row r="32" spans="1:17" ht="14.5">
      <c r="A32" s="361"/>
      <c r="B32" s="362"/>
      <c r="C32" s="363"/>
      <c r="D32" s="364"/>
      <c r="E32" s="328"/>
      <c r="F32" s="328"/>
      <c r="G32" s="328"/>
      <c r="H32" s="328"/>
      <c r="I32" s="328"/>
      <c r="J32" s="328"/>
      <c r="K32" s="328"/>
      <c r="L32" s="328"/>
      <c r="M32" s="328"/>
      <c r="N32" s="328"/>
      <c r="O32" s="328"/>
      <c r="P32" s="328"/>
      <c r="Q32" s="328"/>
    </row>
    <row r="33" spans="1:17" ht="14.5">
      <c r="A33" s="326" t="s">
        <v>304</v>
      </c>
      <c r="B33" s="326" t="s">
        <v>305</v>
      </c>
      <c r="C33" s="365" t="s">
        <v>306</v>
      </c>
      <c r="D33" s="365" t="s">
        <v>307</v>
      </c>
      <c r="E33" s="365" t="s">
        <v>308</v>
      </c>
      <c r="F33" s="365" t="s">
        <v>309</v>
      </c>
      <c r="G33" s="365" t="s">
        <v>310</v>
      </c>
      <c r="H33" s="365" t="s">
        <v>311</v>
      </c>
      <c r="I33" s="365" t="s">
        <v>312</v>
      </c>
      <c r="J33" s="365" t="s">
        <v>313</v>
      </c>
      <c r="K33" s="365" t="s">
        <v>314</v>
      </c>
      <c r="L33" s="365" t="s">
        <v>315</v>
      </c>
      <c r="M33" s="365" t="s">
        <v>316</v>
      </c>
      <c r="N33" s="365" t="s">
        <v>317</v>
      </c>
      <c r="O33" s="365" t="s">
        <v>318</v>
      </c>
      <c r="P33" s="365" t="s">
        <v>319</v>
      </c>
      <c r="Q33" s="365" t="s">
        <v>320</v>
      </c>
    </row>
    <row r="34" spans="1:17" ht="14.5">
      <c r="A34" s="250" t="s">
        <v>321</v>
      </c>
      <c r="B34" s="250"/>
      <c r="C34" s="335"/>
      <c r="D34" s="335"/>
      <c r="E34" s="335"/>
      <c r="F34" s="335"/>
      <c r="G34" s="335"/>
      <c r="H34" s="335"/>
      <c r="I34" s="335"/>
      <c r="J34" s="335"/>
      <c r="K34" s="335"/>
      <c r="L34" s="335"/>
      <c r="M34" s="335"/>
      <c r="N34" s="335"/>
      <c r="O34" s="335"/>
      <c r="P34" s="335"/>
      <c r="Q34" s="335"/>
    </row>
    <row r="35" spans="1:17" ht="14.5">
      <c r="A35" s="329" t="s">
        <v>322</v>
      </c>
      <c r="B35" s="366"/>
      <c r="C35" s="367">
        <f>'Sale Proceeds'!D7</f>
        <v>0</v>
      </c>
      <c r="D35" s="345">
        <f>C35*(100%+$B$35)</f>
        <v>0</v>
      </c>
      <c r="E35" s="345">
        <f t="shared" ref="E35:Q35" si="0">D35*(100%+$B$35)</f>
        <v>0</v>
      </c>
      <c r="F35" s="345">
        <f t="shared" si="0"/>
        <v>0</v>
      </c>
      <c r="G35" s="345">
        <f t="shared" si="0"/>
        <v>0</v>
      </c>
      <c r="H35" s="345">
        <f t="shared" si="0"/>
        <v>0</v>
      </c>
      <c r="I35" s="345">
        <f t="shared" si="0"/>
        <v>0</v>
      </c>
      <c r="J35" s="345">
        <f t="shared" si="0"/>
        <v>0</v>
      </c>
      <c r="K35" s="345">
        <f t="shared" si="0"/>
        <v>0</v>
      </c>
      <c r="L35" s="345">
        <f t="shared" si="0"/>
        <v>0</v>
      </c>
      <c r="M35" s="345">
        <f t="shared" si="0"/>
        <v>0</v>
      </c>
      <c r="N35" s="345">
        <f t="shared" si="0"/>
        <v>0</v>
      </c>
      <c r="O35" s="345">
        <f t="shared" si="0"/>
        <v>0</v>
      </c>
      <c r="P35" s="345">
        <f t="shared" si="0"/>
        <v>0</v>
      </c>
      <c r="Q35" s="345">
        <f t="shared" si="0"/>
        <v>0</v>
      </c>
    </row>
    <row r="36" spans="1:17" ht="14.5">
      <c r="A36" s="368" t="s">
        <v>323</v>
      </c>
      <c r="B36" s="369">
        <v>0.1</v>
      </c>
      <c r="C36" s="345">
        <f>-C35*$B$36</f>
        <v>0</v>
      </c>
      <c r="D36" s="345">
        <f t="shared" ref="D36:Q36" si="1">-D35*$B$36</f>
        <v>0</v>
      </c>
      <c r="E36" s="345">
        <f t="shared" si="1"/>
        <v>0</v>
      </c>
      <c r="F36" s="345">
        <f t="shared" si="1"/>
        <v>0</v>
      </c>
      <c r="G36" s="345">
        <f t="shared" si="1"/>
        <v>0</v>
      </c>
      <c r="H36" s="345">
        <f t="shared" si="1"/>
        <v>0</v>
      </c>
      <c r="I36" s="345">
        <f t="shared" si="1"/>
        <v>0</v>
      </c>
      <c r="J36" s="345">
        <f t="shared" si="1"/>
        <v>0</v>
      </c>
      <c r="K36" s="345">
        <f t="shared" si="1"/>
        <v>0</v>
      </c>
      <c r="L36" s="345">
        <f t="shared" si="1"/>
        <v>0</v>
      </c>
      <c r="M36" s="345">
        <f t="shared" si="1"/>
        <v>0</v>
      </c>
      <c r="N36" s="345">
        <f t="shared" si="1"/>
        <v>0</v>
      </c>
      <c r="O36" s="345">
        <f t="shared" si="1"/>
        <v>0</v>
      </c>
      <c r="P36" s="345">
        <f t="shared" si="1"/>
        <v>0</v>
      </c>
      <c r="Q36" s="345">
        <f t="shared" si="1"/>
        <v>0</v>
      </c>
    </row>
    <row r="37" spans="1:17" ht="14.5">
      <c r="A37" s="329" t="s">
        <v>324</v>
      </c>
      <c r="B37" s="366">
        <v>0.02</v>
      </c>
      <c r="C37" s="345">
        <f>'Sale Proceeds'!F79</f>
        <v>0</v>
      </c>
      <c r="D37" s="345">
        <f>C37*(100%+$B$37)</f>
        <v>0</v>
      </c>
      <c r="E37" s="345">
        <f t="shared" ref="E37:Q37" si="2">D37*(100%+$B$37)</f>
        <v>0</v>
      </c>
      <c r="F37" s="345">
        <f t="shared" si="2"/>
        <v>0</v>
      </c>
      <c r="G37" s="345">
        <f t="shared" si="2"/>
        <v>0</v>
      </c>
      <c r="H37" s="345">
        <f t="shared" si="2"/>
        <v>0</v>
      </c>
      <c r="I37" s="345">
        <f t="shared" si="2"/>
        <v>0</v>
      </c>
      <c r="J37" s="345">
        <f t="shared" si="2"/>
        <v>0</v>
      </c>
      <c r="K37" s="345">
        <f t="shared" si="2"/>
        <v>0</v>
      </c>
      <c r="L37" s="345">
        <f t="shared" si="2"/>
        <v>0</v>
      </c>
      <c r="M37" s="345">
        <f t="shared" si="2"/>
        <v>0</v>
      </c>
      <c r="N37" s="345">
        <f t="shared" si="2"/>
        <v>0</v>
      </c>
      <c r="O37" s="345">
        <f t="shared" si="2"/>
        <v>0</v>
      </c>
      <c r="P37" s="345">
        <f t="shared" si="2"/>
        <v>0</v>
      </c>
      <c r="Q37" s="345">
        <f t="shared" si="2"/>
        <v>0</v>
      </c>
    </row>
    <row r="38" spans="1:17" s="103" customFormat="1" ht="14.5">
      <c r="A38" s="370" t="s">
        <v>325</v>
      </c>
      <c r="B38" s="369">
        <v>0.05</v>
      </c>
      <c r="C38" s="345">
        <f>-C37*$B$38</f>
        <v>0</v>
      </c>
      <c r="D38" s="345">
        <f t="shared" ref="D38:Q38" si="3">-D37*$B$38</f>
        <v>0</v>
      </c>
      <c r="E38" s="345">
        <f t="shared" si="3"/>
        <v>0</v>
      </c>
      <c r="F38" s="345">
        <f t="shared" si="3"/>
        <v>0</v>
      </c>
      <c r="G38" s="345">
        <f t="shared" si="3"/>
        <v>0</v>
      </c>
      <c r="H38" s="345">
        <f t="shared" si="3"/>
        <v>0</v>
      </c>
      <c r="I38" s="345">
        <f t="shared" si="3"/>
        <v>0</v>
      </c>
      <c r="J38" s="345">
        <f t="shared" si="3"/>
        <v>0</v>
      </c>
      <c r="K38" s="345">
        <f t="shared" si="3"/>
        <v>0</v>
      </c>
      <c r="L38" s="345">
        <f t="shared" si="3"/>
        <v>0</v>
      </c>
      <c r="M38" s="345">
        <f t="shared" si="3"/>
        <v>0</v>
      </c>
      <c r="N38" s="345">
        <f t="shared" si="3"/>
        <v>0</v>
      </c>
      <c r="O38" s="345">
        <f t="shared" si="3"/>
        <v>0</v>
      </c>
      <c r="P38" s="345">
        <f t="shared" si="3"/>
        <v>0</v>
      </c>
      <c r="Q38" s="345">
        <f t="shared" si="3"/>
        <v>0</v>
      </c>
    </row>
    <row r="39" spans="1:17" ht="14.5">
      <c r="A39" s="329" t="s">
        <v>326</v>
      </c>
      <c r="B39" s="366"/>
      <c r="C39" s="345">
        <f>SUM('Sale Proceeds'!D10+'Sale Proceeds'!D11)</f>
        <v>0</v>
      </c>
      <c r="D39" s="345">
        <f t="shared" ref="D39:Q39" si="4">C39*(100%+$B$39)</f>
        <v>0</v>
      </c>
      <c r="E39" s="345">
        <f t="shared" si="4"/>
        <v>0</v>
      </c>
      <c r="F39" s="345">
        <f t="shared" si="4"/>
        <v>0</v>
      </c>
      <c r="G39" s="345">
        <f t="shared" si="4"/>
        <v>0</v>
      </c>
      <c r="H39" s="345">
        <f t="shared" si="4"/>
        <v>0</v>
      </c>
      <c r="I39" s="345">
        <f t="shared" si="4"/>
        <v>0</v>
      </c>
      <c r="J39" s="345">
        <f t="shared" si="4"/>
        <v>0</v>
      </c>
      <c r="K39" s="345">
        <f t="shared" si="4"/>
        <v>0</v>
      </c>
      <c r="L39" s="345">
        <f t="shared" si="4"/>
        <v>0</v>
      </c>
      <c r="M39" s="345">
        <f t="shared" si="4"/>
        <v>0</v>
      </c>
      <c r="N39" s="345">
        <f t="shared" si="4"/>
        <v>0</v>
      </c>
      <c r="O39" s="345">
        <f t="shared" si="4"/>
        <v>0</v>
      </c>
      <c r="P39" s="345">
        <f t="shared" si="4"/>
        <v>0</v>
      </c>
      <c r="Q39" s="345">
        <f t="shared" si="4"/>
        <v>0</v>
      </c>
    </row>
    <row r="40" spans="1:17" ht="15" thickBot="1">
      <c r="A40" s="371" t="s">
        <v>327</v>
      </c>
      <c r="B40" s="372">
        <v>0.1</v>
      </c>
      <c r="C40" s="373">
        <f t="shared" ref="C40:Q40" si="5">-C39*$B$40</f>
        <v>0</v>
      </c>
      <c r="D40" s="373">
        <f t="shared" si="5"/>
        <v>0</v>
      </c>
      <c r="E40" s="373">
        <f t="shared" si="5"/>
        <v>0</v>
      </c>
      <c r="F40" s="373">
        <f t="shared" si="5"/>
        <v>0</v>
      </c>
      <c r="G40" s="373">
        <f t="shared" si="5"/>
        <v>0</v>
      </c>
      <c r="H40" s="373">
        <f t="shared" si="5"/>
        <v>0</v>
      </c>
      <c r="I40" s="373">
        <f t="shared" si="5"/>
        <v>0</v>
      </c>
      <c r="J40" s="373">
        <f t="shared" si="5"/>
        <v>0</v>
      </c>
      <c r="K40" s="373">
        <f t="shared" si="5"/>
        <v>0</v>
      </c>
      <c r="L40" s="373">
        <f t="shared" si="5"/>
        <v>0</v>
      </c>
      <c r="M40" s="373">
        <f t="shared" si="5"/>
        <v>0</v>
      </c>
      <c r="N40" s="373">
        <f t="shared" si="5"/>
        <v>0</v>
      </c>
      <c r="O40" s="373">
        <f t="shared" si="5"/>
        <v>0</v>
      </c>
      <c r="P40" s="373">
        <f t="shared" si="5"/>
        <v>0</v>
      </c>
      <c r="Q40" s="373">
        <f t="shared" si="5"/>
        <v>0</v>
      </c>
    </row>
    <row r="41" spans="1:17" ht="14.5">
      <c r="A41" s="250" t="s">
        <v>328</v>
      </c>
      <c r="B41" s="250"/>
      <c r="C41" s="359">
        <f>SUM(C35:C40)</f>
        <v>0</v>
      </c>
      <c r="D41" s="359">
        <f t="shared" ref="D41:Q41" si="6">SUM(D35:D40)</f>
        <v>0</v>
      </c>
      <c r="E41" s="359">
        <f t="shared" si="6"/>
        <v>0</v>
      </c>
      <c r="F41" s="359">
        <f t="shared" si="6"/>
        <v>0</v>
      </c>
      <c r="G41" s="359">
        <f t="shared" si="6"/>
        <v>0</v>
      </c>
      <c r="H41" s="359">
        <f t="shared" si="6"/>
        <v>0</v>
      </c>
      <c r="I41" s="359">
        <f t="shared" si="6"/>
        <v>0</v>
      </c>
      <c r="J41" s="359">
        <f t="shared" si="6"/>
        <v>0</v>
      </c>
      <c r="K41" s="359">
        <f t="shared" si="6"/>
        <v>0</v>
      </c>
      <c r="L41" s="359">
        <f t="shared" si="6"/>
        <v>0</v>
      </c>
      <c r="M41" s="359">
        <f t="shared" si="6"/>
        <v>0</v>
      </c>
      <c r="N41" s="359">
        <f t="shared" si="6"/>
        <v>0</v>
      </c>
      <c r="O41" s="359">
        <f t="shared" si="6"/>
        <v>0</v>
      </c>
      <c r="P41" s="359">
        <f t="shared" si="6"/>
        <v>0</v>
      </c>
      <c r="Q41" s="359">
        <f t="shared" si="6"/>
        <v>0</v>
      </c>
    </row>
    <row r="42" spans="1:17" ht="14.5">
      <c r="A42" s="250"/>
      <c r="B42" s="250"/>
      <c r="C42" s="359"/>
      <c r="D42" s="359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59"/>
      <c r="Q42" s="359"/>
    </row>
    <row r="43" spans="1:17" ht="14.5">
      <c r="A43" s="250" t="s">
        <v>329</v>
      </c>
      <c r="B43" s="329"/>
      <c r="C43" s="345"/>
      <c r="D43" s="345"/>
      <c r="E43" s="345"/>
      <c r="F43" s="345"/>
      <c r="G43" s="345"/>
      <c r="H43" s="345"/>
      <c r="I43" s="345"/>
      <c r="J43" s="345"/>
      <c r="K43" s="345"/>
      <c r="L43" s="345"/>
      <c r="M43" s="345"/>
      <c r="N43" s="345"/>
      <c r="O43" s="345"/>
      <c r="P43" s="345"/>
      <c r="Q43" s="345"/>
    </row>
    <row r="44" spans="1:17" ht="14.5">
      <c r="A44" s="329" t="s">
        <v>330</v>
      </c>
      <c r="B44" s="366"/>
      <c r="C44" s="345">
        <f>CAM-C25-C11</f>
        <v>0</v>
      </c>
      <c r="D44" s="345">
        <f>C44*(100%+$B$44)</f>
        <v>0</v>
      </c>
      <c r="E44" s="345">
        <f t="shared" ref="E44:Q44" si="7">D44*(100%+$B$44)</f>
        <v>0</v>
      </c>
      <c r="F44" s="345">
        <f t="shared" si="7"/>
        <v>0</v>
      </c>
      <c r="G44" s="345">
        <f t="shared" si="7"/>
        <v>0</v>
      </c>
      <c r="H44" s="345">
        <f t="shared" si="7"/>
        <v>0</v>
      </c>
      <c r="I44" s="345">
        <f t="shared" si="7"/>
        <v>0</v>
      </c>
      <c r="J44" s="345">
        <f t="shared" si="7"/>
        <v>0</v>
      </c>
      <c r="K44" s="345">
        <f t="shared" si="7"/>
        <v>0</v>
      </c>
      <c r="L44" s="345">
        <f t="shared" si="7"/>
        <v>0</v>
      </c>
      <c r="M44" s="345">
        <f t="shared" si="7"/>
        <v>0</v>
      </c>
      <c r="N44" s="345">
        <f t="shared" si="7"/>
        <v>0</v>
      </c>
      <c r="O44" s="345">
        <f t="shared" si="7"/>
        <v>0</v>
      </c>
      <c r="P44" s="345">
        <f t="shared" si="7"/>
        <v>0</v>
      </c>
      <c r="Q44" s="345">
        <f t="shared" si="7"/>
        <v>0</v>
      </c>
    </row>
    <row r="45" spans="1:17" ht="14.5">
      <c r="A45" s="329" t="s">
        <v>278</v>
      </c>
      <c r="B45" s="366">
        <v>0.02</v>
      </c>
      <c r="C45" s="345">
        <f>C11</f>
        <v>0</v>
      </c>
      <c r="D45" s="345">
        <f>C45*(100%+$B$45)</f>
        <v>0</v>
      </c>
      <c r="E45" s="345">
        <f t="shared" ref="E45:Q45" si="8">D45*(100%+$B$45)</f>
        <v>0</v>
      </c>
      <c r="F45" s="345">
        <f t="shared" si="8"/>
        <v>0</v>
      </c>
      <c r="G45" s="345">
        <f t="shared" si="8"/>
        <v>0</v>
      </c>
      <c r="H45" s="345">
        <f t="shared" si="8"/>
        <v>0</v>
      </c>
      <c r="I45" s="345">
        <f t="shared" si="8"/>
        <v>0</v>
      </c>
      <c r="J45" s="345">
        <f t="shared" si="8"/>
        <v>0</v>
      </c>
      <c r="K45" s="345">
        <f t="shared" si="8"/>
        <v>0</v>
      </c>
      <c r="L45" s="345">
        <f t="shared" si="8"/>
        <v>0</v>
      </c>
      <c r="M45" s="345">
        <f t="shared" si="8"/>
        <v>0</v>
      </c>
      <c r="N45" s="345">
        <f t="shared" si="8"/>
        <v>0</v>
      </c>
      <c r="O45" s="345">
        <f t="shared" si="8"/>
        <v>0</v>
      </c>
      <c r="P45" s="345">
        <f t="shared" si="8"/>
        <v>0</v>
      </c>
      <c r="Q45" s="345">
        <f t="shared" si="8"/>
        <v>0</v>
      </c>
    </row>
    <row r="46" spans="1:17" ht="15" thickBot="1">
      <c r="A46" s="374" t="s">
        <v>108</v>
      </c>
      <c r="B46" s="375">
        <v>0.02</v>
      </c>
      <c r="C46" s="373">
        <f>C25</f>
        <v>0</v>
      </c>
      <c r="D46" s="373">
        <f t="shared" ref="D46:Q46" si="9">C46*(100%+$B$46)</f>
        <v>0</v>
      </c>
      <c r="E46" s="373">
        <f t="shared" si="9"/>
        <v>0</v>
      </c>
      <c r="F46" s="373">
        <f t="shared" si="9"/>
        <v>0</v>
      </c>
      <c r="G46" s="373">
        <f t="shared" si="9"/>
        <v>0</v>
      </c>
      <c r="H46" s="373">
        <f t="shared" si="9"/>
        <v>0</v>
      </c>
      <c r="I46" s="373">
        <f t="shared" si="9"/>
        <v>0</v>
      </c>
      <c r="J46" s="373">
        <f t="shared" si="9"/>
        <v>0</v>
      </c>
      <c r="K46" s="373">
        <f t="shared" si="9"/>
        <v>0</v>
      </c>
      <c r="L46" s="373">
        <f t="shared" si="9"/>
        <v>0</v>
      </c>
      <c r="M46" s="373">
        <f t="shared" si="9"/>
        <v>0</v>
      </c>
      <c r="N46" s="373">
        <f t="shared" si="9"/>
        <v>0</v>
      </c>
      <c r="O46" s="373">
        <f t="shared" si="9"/>
        <v>0</v>
      </c>
      <c r="P46" s="373">
        <f t="shared" si="9"/>
        <v>0</v>
      </c>
      <c r="Q46" s="373">
        <f t="shared" si="9"/>
        <v>0</v>
      </c>
    </row>
    <row r="47" spans="1:17" ht="14.5">
      <c r="A47" s="250" t="s">
        <v>331</v>
      </c>
      <c r="B47" s="250"/>
      <c r="C47" s="359">
        <f>SUM(C44:C46)</f>
        <v>0</v>
      </c>
      <c r="D47" s="359">
        <f t="shared" ref="D47:Q47" si="10">SUM(D44:D46)</f>
        <v>0</v>
      </c>
      <c r="E47" s="359">
        <f t="shared" si="10"/>
        <v>0</v>
      </c>
      <c r="F47" s="359">
        <f t="shared" si="10"/>
        <v>0</v>
      </c>
      <c r="G47" s="359">
        <f t="shared" si="10"/>
        <v>0</v>
      </c>
      <c r="H47" s="359">
        <f t="shared" si="10"/>
        <v>0</v>
      </c>
      <c r="I47" s="359">
        <f t="shared" si="10"/>
        <v>0</v>
      </c>
      <c r="J47" s="359">
        <f t="shared" si="10"/>
        <v>0</v>
      </c>
      <c r="K47" s="359">
        <f t="shared" si="10"/>
        <v>0</v>
      </c>
      <c r="L47" s="359">
        <f t="shared" si="10"/>
        <v>0</v>
      </c>
      <c r="M47" s="359">
        <f t="shared" si="10"/>
        <v>0</v>
      </c>
      <c r="N47" s="359">
        <f t="shared" si="10"/>
        <v>0</v>
      </c>
      <c r="O47" s="359">
        <f t="shared" si="10"/>
        <v>0</v>
      </c>
      <c r="P47" s="359">
        <f t="shared" si="10"/>
        <v>0</v>
      </c>
      <c r="Q47" s="359">
        <f t="shared" si="10"/>
        <v>0</v>
      </c>
    </row>
    <row r="48" spans="1:17" ht="15" thickBot="1">
      <c r="A48" s="250"/>
      <c r="B48" s="250"/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345"/>
      <c r="O48" s="345"/>
      <c r="P48" s="345"/>
      <c r="Q48" s="345"/>
    </row>
    <row r="49" spans="1:17" ht="15" thickBot="1">
      <c r="A49" s="376" t="s">
        <v>332</v>
      </c>
      <c r="B49" s="377"/>
      <c r="C49" s="378">
        <f>C41-C47</f>
        <v>0</v>
      </c>
      <c r="D49" s="378">
        <f t="shared" ref="D49:Q49" si="11">D41-D47</f>
        <v>0</v>
      </c>
      <c r="E49" s="378">
        <f t="shared" si="11"/>
        <v>0</v>
      </c>
      <c r="F49" s="378">
        <f t="shared" si="11"/>
        <v>0</v>
      </c>
      <c r="G49" s="378">
        <f t="shared" si="11"/>
        <v>0</v>
      </c>
      <c r="H49" s="378">
        <f t="shared" si="11"/>
        <v>0</v>
      </c>
      <c r="I49" s="378">
        <f t="shared" si="11"/>
        <v>0</v>
      </c>
      <c r="J49" s="378">
        <f t="shared" si="11"/>
        <v>0</v>
      </c>
      <c r="K49" s="378">
        <f t="shared" si="11"/>
        <v>0</v>
      </c>
      <c r="L49" s="378">
        <f t="shared" si="11"/>
        <v>0</v>
      </c>
      <c r="M49" s="378">
        <f t="shared" si="11"/>
        <v>0</v>
      </c>
      <c r="N49" s="378">
        <f t="shared" si="11"/>
        <v>0</v>
      </c>
      <c r="O49" s="378">
        <f t="shared" si="11"/>
        <v>0</v>
      </c>
      <c r="P49" s="378">
        <f t="shared" si="11"/>
        <v>0</v>
      </c>
      <c r="Q49" s="378">
        <f t="shared" si="11"/>
        <v>0</v>
      </c>
    </row>
    <row r="50" spans="1:17" ht="14.5">
      <c r="A50" s="329"/>
      <c r="B50" s="345"/>
      <c r="C50" s="345"/>
      <c r="D50" s="329"/>
      <c r="E50" s="329"/>
      <c r="F50" s="329"/>
      <c r="G50" s="329"/>
      <c r="H50" s="329"/>
      <c r="I50" s="329"/>
      <c r="J50" s="329"/>
      <c r="K50" s="329"/>
      <c r="L50" s="329"/>
      <c r="M50" s="329"/>
      <c r="N50" s="329"/>
      <c r="O50" s="329"/>
      <c r="P50" s="329"/>
      <c r="Q50" s="329"/>
    </row>
    <row r="51" spans="1:17" ht="14.5">
      <c r="A51" s="250" t="s">
        <v>333</v>
      </c>
      <c r="B51" s="345"/>
      <c r="C51" s="345">
        <f>C46+C49</f>
        <v>0</v>
      </c>
      <c r="D51" s="345">
        <f t="shared" ref="D51:Q51" si="12">D46+D49</f>
        <v>0</v>
      </c>
      <c r="E51" s="345">
        <f t="shared" si="12"/>
        <v>0</v>
      </c>
      <c r="F51" s="345">
        <f t="shared" si="12"/>
        <v>0</v>
      </c>
      <c r="G51" s="345">
        <f t="shared" si="12"/>
        <v>0</v>
      </c>
      <c r="H51" s="345">
        <f t="shared" si="12"/>
        <v>0</v>
      </c>
      <c r="I51" s="345">
        <f t="shared" si="12"/>
        <v>0</v>
      </c>
      <c r="J51" s="345">
        <f t="shared" si="12"/>
        <v>0</v>
      </c>
      <c r="K51" s="345">
        <f t="shared" si="12"/>
        <v>0</v>
      </c>
      <c r="L51" s="345">
        <f t="shared" si="12"/>
        <v>0</v>
      </c>
      <c r="M51" s="345">
        <f t="shared" si="12"/>
        <v>0</v>
      </c>
      <c r="N51" s="345">
        <f t="shared" si="12"/>
        <v>0</v>
      </c>
      <c r="O51" s="345">
        <f t="shared" si="12"/>
        <v>0</v>
      </c>
      <c r="P51" s="345">
        <f t="shared" si="12"/>
        <v>0</v>
      </c>
      <c r="Q51" s="345">
        <f t="shared" si="12"/>
        <v>0</v>
      </c>
    </row>
    <row r="52" spans="1:17" ht="14.5">
      <c r="A52" s="329"/>
      <c r="B52" s="345"/>
      <c r="C52" s="345"/>
      <c r="D52" s="345"/>
      <c r="E52" s="329"/>
      <c r="F52" s="329"/>
      <c r="G52" s="329"/>
      <c r="H52" s="329"/>
      <c r="I52" s="329"/>
      <c r="J52" s="329"/>
      <c r="K52" s="329"/>
      <c r="L52" s="329"/>
      <c r="M52" s="329"/>
      <c r="N52" s="329"/>
      <c r="O52" s="329"/>
      <c r="P52" s="329"/>
      <c r="Q52" s="329"/>
    </row>
  </sheetData>
  <mergeCells count="2">
    <mergeCell ref="A6:D6"/>
    <mergeCell ref="A7:D7"/>
  </mergeCells>
  <pageMargins left="0.7" right="0.7" top="0.75" bottom="0.75" header="0.3" footer="0.3"/>
  <pageSetup paperSize="5" scale="55" orientation="landscape" r:id="rId1"/>
  <headerFooter>
    <oddHeader>&amp;L&amp;"Arial,Bold"&amp;12&amp;A&amp;R&amp;"Arial,Regular"&amp;D</oddHeader>
    <oddFooter>&amp;L&amp;"Arial,Regular"&amp;9&amp;F&amp;R&amp;"Arial,Italic"&amp;10&amp;P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Project Overview</vt:lpstr>
      <vt:lpstr>S+U</vt:lpstr>
      <vt:lpstr>Dev Budget</vt:lpstr>
      <vt:lpstr>Const. Loan Interest</vt:lpstr>
      <vt:lpstr>Sale Proceeds OLD</vt:lpstr>
      <vt:lpstr>Permanent Loan</vt:lpstr>
      <vt:lpstr>Sale Proceeds</vt:lpstr>
      <vt:lpstr>HH Factor</vt:lpstr>
      <vt:lpstr>CAM Charges &amp; Cashflow</vt:lpstr>
      <vt:lpstr>Project Sellout</vt:lpstr>
      <vt:lpstr>Draw Schedule</vt:lpstr>
      <vt:lpstr>'CAM Charges &amp; Cashflow'!CAM</vt:lpstr>
      <vt:lpstr>GSF</vt:lpstr>
      <vt:lpstr>'CAM Charges &amp; Cashflow'!Print_Area</vt:lpstr>
      <vt:lpstr>'Const. Loan Interest'!Print_Area</vt:lpstr>
      <vt:lpstr>'Dev Budget'!Print_Area</vt:lpstr>
      <vt:lpstr>'Permanent Loan'!Print_Area</vt:lpstr>
      <vt:lpstr>'Project Sellout'!Print_Area</vt:lpstr>
      <vt:lpstr>'S+U'!Print_Area</vt:lpstr>
      <vt:lpstr>'Sale Proceeds'!Print_Area</vt:lpstr>
      <vt:lpstr>'Sale Proceeds OLD'!Print_Area</vt:lpstr>
      <vt:lpstr>TDC</vt:lpstr>
      <vt:lpstr>TOTALAHC</vt:lpstr>
      <vt:lpstr>TOTALDU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Morgan Perez</dc:creator>
  <cp:keywords/>
  <dc:description/>
  <cp:lastModifiedBy>FriedmanHoulding</cp:lastModifiedBy>
  <cp:revision/>
  <dcterms:created xsi:type="dcterms:W3CDTF">2014-04-08T22:41:51Z</dcterms:created>
  <dcterms:modified xsi:type="dcterms:W3CDTF">2020-10-09T15:59:13Z</dcterms:modified>
  <cp:category/>
  <cp:contentStatus/>
</cp:coreProperties>
</file>