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christmr\Downloads\"/>
    </mc:Choice>
  </mc:AlternateContent>
  <xr:revisionPtr revIDLastSave="0" documentId="8_{7FD8B677-91A1-4E64-BFE2-79DAE3EA9E9F}" xr6:coauthVersionLast="47" xr6:coauthVersionMax="47" xr10:uidLastSave="{00000000-0000-0000-0000-000000000000}"/>
  <bookViews>
    <workbookView xWindow="-120" yWindow="-120" windowWidth="29040" windowHeight="15720" xr2:uid="{BBFDDB67-28F7-4EFD-8404-5194BEDD8985}"/>
  </bookViews>
  <sheets>
    <sheet name="Proposal Intake Form" sheetId="19" r:id="rId1"/>
    <sheet name="Instructions" sheetId="13" r:id="rId2"/>
    <sheet name="Sources and Use" sheetId="2" r:id="rId3"/>
    <sheet name="Devel. Bud" sheetId="5" r:id="rId4"/>
    <sheet name="Cons Int &amp; Neg Arb" sheetId="6" r:id="rId5"/>
    <sheet name="Units &amp; Income" sheetId="1" r:id="rId6"/>
    <sheet name="M and O" sheetId="3" r:id="rId7"/>
    <sheet name="Mort" sheetId="4" r:id="rId8"/>
    <sheet name="Cash Flow" sheetId="8" r:id="rId9"/>
    <sheet name="Tax Credit " sheetId="9" r:id="rId10"/>
    <sheet name="Trade Pmt" sheetId="10" r:id="rId11"/>
    <sheet name="Pro Forma Summary" sheetId="14" state="hidden" r:id="rId12"/>
    <sheet name="Fl Area Summary" sheetId="11" r:id="rId13"/>
    <sheet name="AMI &amp; Rent 2025" sheetId="18" r:id="rId14"/>
    <sheet name="Expanded UA Table" sheetId="17" r:id="rId15"/>
    <sheet name="Project Summary" sheetId="12" state="hidden" r:id="rId16"/>
  </sheets>
  <definedNames>
    <definedName name="_Fill" localSheetId="13" hidden="1">#REF!</definedName>
    <definedName name="_Fill" localSheetId="0" hidden="1">#REF!</definedName>
    <definedName name="_Fill" hidden="1">#REF!</definedName>
    <definedName name="Expenses">'M and O'!$C$42</definedName>
    <definedName name="FIRST">Mort!$H$31</definedName>
    <definedName name="LAUNDRY">'Units &amp; Income'!$E$40</definedName>
    <definedName name="NOI">Mort!$D$32</definedName>
    <definedName name="_xlnm.Print_Area" localSheetId="13">'AMI &amp; Rent 2025'!$A$1:$M$115</definedName>
    <definedName name="_xlnm.Print_Area" localSheetId="4">'Cons Int &amp; Neg Arb'!$A$1:$F$77</definedName>
    <definedName name="_xlnm.Print_Area" localSheetId="3">'Devel. Bud'!$A$1:$F$107</definedName>
    <definedName name="_xlnm.Print_Area" localSheetId="6">'M and O'!$A$1:$E$50</definedName>
    <definedName name="_xlnm.Print_Area" localSheetId="7">Mort!$A$1:$L$44</definedName>
    <definedName name="_xlnm.Print_Area" localSheetId="15">'Project Summary'!$A$1:$I$53</definedName>
    <definedName name="_xlnm.Print_Area" localSheetId="2">'Sources and Use'!$A$1:$D$41</definedName>
    <definedName name="_xlnm.Print_Area" localSheetId="9">'Tax Credit '!$A$1:$H$78</definedName>
    <definedName name="_xlnm.Print_Area" localSheetId="5">'Units &amp; Income'!$A$1:$K$120</definedName>
    <definedName name="_xlnm.Print_Titles" localSheetId="8">'Cash Flow'!$A:$B</definedName>
    <definedName name="ROOMS">'Units &amp; Income'!$E$22</definedName>
    <definedName name="SECOND">Mort!$I$31</definedName>
    <definedName name="Second_Mortgage">Mort!$I$23</definedName>
    <definedName name="solver_adj" localSheetId="13" hidden="1">'AMI &amp; Rent 2025'!#REF!</definedName>
    <definedName name="solver_cvg" localSheetId="13" hidden="1">0.0001</definedName>
    <definedName name="solver_drv" localSheetId="13" hidden="1">1</definedName>
    <definedName name="solver_est" localSheetId="13" hidden="1">1</definedName>
    <definedName name="solver_itr" localSheetId="13" hidden="1">100</definedName>
    <definedName name="solver_lin" localSheetId="13" hidden="1">2</definedName>
    <definedName name="solver_neg" localSheetId="13" hidden="1">2</definedName>
    <definedName name="solver_num" localSheetId="13" hidden="1">0</definedName>
    <definedName name="solver_nwt" localSheetId="13" hidden="1">1</definedName>
    <definedName name="solver_opt" localSheetId="13" hidden="1">'AMI &amp; Rent 2025'!#REF!</definedName>
    <definedName name="solver_pre" localSheetId="13" hidden="1">0.000001</definedName>
    <definedName name="solver_scl" localSheetId="13" hidden="1">2</definedName>
    <definedName name="solver_sho" localSheetId="13" hidden="1">2</definedName>
    <definedName name="solver_tim" localSheetId="13" hidden="1">100</definedName>
    <definedName name="solver_tol" localSheetId="13" hidden="1">0.05</definedName>
    <definedName name="solver_typ" localSheetId="13" hidden="1">3</definedName>
    <definedName name="solver_val" localSheetId="13" hidden="1">21520</definedName>
    <definedName name="TOTALLOAN">Mort!$L$31</definedName>
    <definedName name="UNITS">'Units &amp; Income'!$C$22</definedName>
    <definedName name="Z_1ECE83C7_A3CE_4F97_BFD3_498FF783C0D9_.wvu.Cols" localSheetId="6" hidden="1">'M and O'!#REF!</definedName>
    <definedName name="Z_1ECE83C7_A3CE_4F97_BFD3_498FF783C0D9_.wvu.PrintArea" localSheetId="4" hidden="1">'Cons Int &amp; Neg Arb'!$A$1:$F$71</definedName>
    <definedName name="Z_1ECE83C7_A3CE_4F97_BFD3_498FF783C0D9_.wvu.PrintArea" localSheetId="3" hidden="1">'Devel. Bud'!$A$1:$H$112</definedName>
    <definedName name="Z_1ECE83C7_A3CE_4F97_BFD3_498FF783C0D9_.wvu.PrintArea" localSheetId="6" hidden="1">'M and O'!$A$1:$E$53</definedName>
    <definedName name="Z_1ECE83C7_A3CE_4F97_BFD3_498FF783C0D9_.wvu.PrintArea" localSheetId="7" hidden="1">Mort!$A$1:$L$44</definedName>
    <definedName name="Z_1ECE83C7_A3CE_4F97_BFD3_498FF783C0D9_.wvu.PrintArea" localSheetId="2" hidden="1">'Sources and Use'!$A$1:$D$44</definedName>
    <definedName name="Z_1ECE83C7_A3CE_4F97_BFD3_498FF783C0D9_.wvu.PrintArea" localSheetId="5" hidden="1">'Units &amp; Income'!$B$1:$F$45</definedName>
    <definedName name="Z_25C4E7E7_1006_4A2D_BC83_AEE4ADF8A914_.wvu.Cols" localSheetId="6" hidden="1">'M and O'!#REF!</definedName>
    <definedName name="Z_25C4E7E7_1006_4A2D_BC83_AEE4ADF8A914_.wvu.PrintArea" localSheetId="4" hidden="1">'Cons Int &amp; Neg Arb'!$A$1:$F$71</definedName>
    <definedName name="Z_25C4E7E7_1006_4A2D_BC83_AEE4ADF8A914_.wvu.PrintArea" localSheetId="3" hidden="1">'Devel. Bud'!$A$1:$H$112</definedName>
    <definedName name="Z_25C4E7E7_1006_4A2D_BC83_AEE4ADF8A914_.wvu.PrintArea" localSheetId="6" hidden="1">'M and O'!$A$1:$E$53</definedName>
    <definedName name="Z_25C4E7E7_1006_4A2D_BC83_AEE4ADF8A914_.wvu.PrintArea" localSheetId="7" hidden="1">Mort!$A$1:$L$44</definedName>
    <definedName name="Z_25C4E7E7_1006_4A2D_BC83_AEE4ADF8A914_.wvu.PrintArea" localSheetId="2" hidden="1">'Sources and Use'!$A$1:$D$44</definedName>
    <definedName name="Z_25C4E7E7_1006_4A2D_BC83_AEE4ADF8A914_.wvu.PrintArea" localSheetId="5" hidden="1">'Units &amp; Income'!$B$1:$F$45</definedName>
    <definedName name="Z_25C4E7E7_1006_4A2D_BC83_AEE4ADF8A914_.wvu.Rows" localSheetId="4" hidden="1">'Cons Int &amp; Neg Arb'!$27:$30,'Cons Int &amp; Neg Arb'!$46:$52</definedName>
    <definedName name="Z_25C4E7E7_1006_4A2D_BC83_AEE4ADF8A914_.wvu.Rows" localSheetId="3" hidden="1">'Devel. Bud'!$105:$105</definedName>
    <definedName name="Z_25C4E7E7_1006_4A2D_BC83_AEE4ADF8A914_.wvu.Rows" localSheetId="6" hidden="1">'M and O'!$39:$39</definedName>
    <definedName name="Z_25C4E7E7_1006_4A2D_BC83_AEE4ADF8A914_.wvu.Rows" localSheetId="2" hidden="1">'Sources and Use'!#REF!</definedName>
    <definedName name="Z_28F81D13_D146_4D67_8981_BA5D7A496326_.wvu.Cols" localSheetId="6" hidden="1">'M and O'!#REF!</definedName>
    <definedName name="Z_28F81D13_D146_4D67_8981_BA5D7A496326_.wvu.PrintArea" localSheetId="4" hidden="1">'Cons Int &amp; Neg Arb'!$A$1:$I$68</definedName>
    <definedName name="Z_28F81D13_D146_4D67_8981_BA5D7A496326_.wvu.PrintArea" localSheetId="3" hidden="1">'Devel. Bud'!$A$1:$F$111</definedName>
    <definedName name="Z_28F81D13_D146_4D67_8981_BA5D7A496326_.wvu.PrintArea" localSheetId="6" hidden="1">'M and O'!$A$1:$E$52</definedName>
    <definedName name="Z_28F81D13_D146_4D67_8981_BA5D7A496326_.wvu.PrintArea" localSheetId="7" hidden="1">Mort!$A$1:$L$51</definedName>
    <definedName name="Z_28F81D13_D146_4D67_8981_BA5D7A496326_.wvu.PrintArea" localSheetId="2" hidden="1">'Sources and Use'!$A$1:$C$44</definedName>
    <definedName name="Z_28F81D13_D146_4D67_8981_BA5D7A496326_.wvu.PrintArea" localSheetId="5" hidden="1">'Units &amp; Income'!$B$1:$F$45</definedName>
    <definedName name="Z_28F81D13_D146_4D67_8981_BA5D7A496326_.wvu.Rows" localSheetId="4" hidden="1">'Cons Int &amp; Neg Arb'!$55:$55</definedName>
    <definedName name="Z_560D4AFA_61E5_46C3_B0CD_D0EB3053A033_.wvu.Cols" localSheetId="6" hidden="1">'M and O'!#REF!</definedName>
    <definedName name="Z_560D4AFA_61E5_46C3_B0CD_D0EB3053A033_.wvu.PrintArea" localSheetId="4" hidden="1">'Cons Int &amp; Neg Arb'!$A$1:$F$71</definedName>
    <definedName name="Z_560D4AFA_61E5_46C3_B0CD_D0EB3053A033_.wvu.PrintArea" localSheetId="3" hidden="1">'Devel. Bud'!$A$1:$H$112</definedName>
    <definedName name="Z_560D4AFA_61E5_46C3_B0CD_D0EB3053A033_.wvu.PrintArea" localSheetId="6" hidden="1">'M and O'!$A$1:$E$53</definedName>
    <definedName name="Z_560D4AFA_61E5_46C3_B0CD_D0EB3053A033_.wvu.PrintArea" localSheetId="7" hidden="1">Mort!$A$1:$L$44</definedName>
    <definedName name="Z_560D4AFA_61E5_46C3_B0CD_D0EB3053A033_.wvu.PrintArea" localSheetId="2" hidden="1">'Sources and Use'!$A$1:$D$44</definedName>
    <definedName name="Z_560D4AFA_61E5_46C3_B0CD_D0EB3053A033_.wvu.PrintArea" localSheetId="5" hidden="1">'Units &amp; Income'!$B$1:$F$45</definedName>
    <definedName name="Z_560D4AFA_61E5_46C3_B0CD_D0EB3053A033_.wvu.Rows" localSheetId="4" hidden="1">'Cons Int &amp; Neg Arb'!$27:$30,'Cons Int &amp; Neg Arb'!$46:$52</definedName>
    <definedName name="Z_560D4AFA_61E5_46C3_B0CD_D0EB3053A033_.wvu.Rows" localSheetId="3" hidden="1">'Devel. Bud'!$105:$105</definedName>
    <definedName name="Z_560D4AFA_61E5_46C3_B0CD_D0EB3053A033_.wvu.Rows" localSheetId="6" hidden="1">'M and O'!$39:$39</definedName>
    <definedName name="Z_560D4AFA_61E5_46C3_B0CD_D0EB3053A033_.wvu.Rows" localSheetId="2" hidden="1">'Sources and Use'!#REF!</definedName>
    <definedName name="Z_6EF643BE_69F3_424E_8A44_3890161370D4_.wvu.Cols" localSheetId="6" hidden="1">'M and O'!#REF!</definedName>
    <definedName name="Z_6EF643BE_69F3_424E_8A44_3890161370D4_.wvu.PrintArea" localSheetId="4" hidden="1">'Cons Int &amp; Neg Arb'!$A$1:$I$68</definedName>
    <definedName name="Z_6EF643BE_69F3_424E_8A44_3890161370D4_.wvu.PrintArea" localSheetId="3" hidden="1">'Devel. Bud'!$A$1:$F$94</definedName>
    <definedName name="Z_6EF643BE_69F3_424E_8A44_3890161370D4_.wvu.PrintArea" localSheetId="6" hidden="1">'M and O'!$A$1:$E$52</definedName>
    <definedName name="Z_6EF643BE_69F3_424E_8A44_3890161370D4_.wvu.PrintArea" localSheetId="7" hidden="1">Mort!$A$1:$L$51</definedName>
    <definedName name="Z_6EF643BE_69F3_424E_8A44_3890161370D4_.wvu.PrintArea" localSheetId="2" hidden="1">'Sources and Use'!$A$1:$C$44</definedName>
    <definedName name="Z_6EF643BE_69F3_424E_8A44_3890161370D4_.wvu.PrintArea" localSheetId="5" hidden="1">'Units &amp; Income'!$B$1:$F$45</definedName>
    <definedName name="Z_6EF643BE_69F3_424E_8A44_3890161370D4_.wvu.Rows" localSheetId="4" hidden="1">'Cons Int &amp; Neg Arb'!$55:$55</definedName>
    <definedName name="Z_AEA5979F_5357_4ED6_A6CA_1BB80F5C7A74_.wvu.Cols" localSheetId="6" hidden="1">'M and O'!#REF!</definedName>
    <definedName name="Z_AEA5979F_5357_4ED6_A6CA_1BB80F5C7A74_.wvu.PrintArea" localSheetId="4" hidden="1">'Cons Int &amp; Neg Arb'!$A$1:$I$68</definedName>
    <definedName name="Z_AEA5979F_5357_4ED6_A6CA_1BB80F5C7A74_.wvu.PrintArea" localSheetId="3" hidden="1">'Devel. Bud'!$A$1:$F$94</definedName>
    <definedName name="Z_AEA5979F_5357_4ED6_A6CA_1BB80F5C7A74_.wvu.PrintArea" localSheetId="6" hidden="1">'M and O'!$A$1:$E$52</definedName>
    <definedName name="Z_AEA5979F_5357_4ED6_A6CA_1BB80F5C7A74_.wvu.PrintArea" localSheetId="7" hidden="1">Mort!$A$1:$L$51</definedName>
    <definedName name="Z_AEA5979F_5357_4ED6_A6CA_1BB80F5C7A74_.wvu.PrintArea" localSheetId="2" hidden="1">'Sources and Use'!$A$1:$C$44</definedName>
    <definedName name="Z_AEA5979F_5357_4ED6_A6CA_1BB80F5C7A74_.wvu.PrintArea" localSheetId="5" hidden="1">'Units &amp; Income'!$B$1:$F$45</definedName>
    <definedName name="Z_AEA5979F_5357_4ED6_A6CA_1BB80F5C7A74_.wvu.Rows" localSheetId="4" hidden="1">'Cons Int &amp; Neg Arb'!$55:$55</definedName>
    <definedName name="Z_EB776EFC_3589_4DB5_BEAF_1E83D9703F9E_.wvu.Cols" localSheetId="4" hidden="1">'Cons Int &amp; Neg Arb'!#REF!</definedName>
    <definedName name="Z_EB776EFC_3589_4DB5_BEAF_1E83D9703F9E_.wvu.Cols" localSheetId="3" hidden="1">'Devel. Bud'!#REF!</definedName>
    <definedName name="Z_EB776EFC_3589_4DB5_BEAF_1E83D9703F9E_.wvu.Cols" localSheetId="6" hidden="1">'M and O'!#REF!</definedName>
    <definedName name="Z_EB776EFC_3589_4DB5_BEAF_1E83D9703F9E_.wvu.PrintArea" localSheetId="3" hidden="1">'Devel. Bud'!$A$1:$F$94</definedName>
    <definedName name="Z_EB776EFC_3589_4DB5_BEAF_1E83D9703F9E_.wvu.PrintArea" localSheetId="6" hidden="1">'M and O'!$A$1:$E$52</definedName>
    <definedName name="Z_EB776EFC_3589_4DB5_BEAF_1E83D9703F9E_.wvu.PrintArea" localSheetId="7" hidden="1">Mort!$A$1:$L$51</definedName>
    <definedName name="Z_EB776EFC_3589_4DB5_BEAF_1E83D9703F9E_.wvu.PrintArea" localSheetId="5" hidden="1">'Units &amp; Income'!$B$1:$F$45</definedName>
    <definedName name="Z_EB776EFC_3589_4DB5_BEAF_1E83D9703F9E_.wvu.Rows" localSheetId="4" hidden="1">'Cons Int &amp; Neg Arb'!$55:$55</definedName>
    <definedName name="Z_FBB4BF8E_8A9F_4E98_A6F9_5F9BF4C55C67_.wvu.Cols" localSheetId="4" hidden="1">'Cons Int &amp; Neg Arb'!#REF!</definedName>
    <definedName name="Z_FBB4BF8E_8A9F_4E98_A6F9_5F9BF4C55C67_.wvu.Cols" localSheetId="3" hidden="1">'Devel. Bud'!#REF!</definedName>
    <definedName name="Z_FBB4BF8E_8A9F_4E98_A6F9_5F9BF4C55C67_.wvu.Cols" localSheetId="6" hidden="1">'M and O'!#REF!</definedName>
    <definedName name="Z_FBB4BF8E_8A9F_4E98_A6F9_5F9BF4C55C67_.wvu.PrintArea" localSheetId="3" hidden="1">'Devel. Bud'!$A$1:$F$94</definedName>
    <definedName name="Z_FBB4BF8E_8A9F_4E98_A6F9_5F9BF4C55C67_.wvu.PrintArea" localSheetId="6" hidden="1">'M and O'!$A$1:$E$52</definedName>
    <definedName name="Z_FBB4BF8E_8A9F_4E98_A6F9_5F9BF4C55C67_.wvu.PrintArea" localSheetId="7" hidden="1">Mort!$A$1:$L$51</definedName>
    <definedName name="Z_FBB4BF8E_8A9F_4E98_A6F9_5F9BF4C55C67_.wvu.PrintArea" localSheetId="5" hidden="1">'Units &amp; Income'!$B$1:$F$45</definedName>
    <definedName name="Z_FBB4BF8E_8A9F_4E98_A6F9_5F9BF4C55C67_.wvu.Rows" localSheetId="4" hidden="1">'Cons Int &amp; Neg Arb'!$55:$55</definedName>
  </definedNames>
  <calcPr calcId="191029" iterate="1"/>
  <customWorkbookViews>
    <customWorkbookView name="NYC - Personal View" guid="{560D4AFA-61E5-46C3-B0CD-D0EB3053A033}" mergeInterval="0" personalView="1" maximized="1" windowWidth="994" windowHeight="554" tabRatio="734" activeSheetId="10" showComments="commIndAndComment"/>
    <customWorkbookView name="dandrepont - Personal View" guid="{1ECE83C7-A3CE-4F97-BFD3-498FF783C0D9}" mergeInterval="0" personalView="1" xWindow="365" yWindow="33" windowWidth="649" windowHeight="528" tabRatio="734" activeSheetId="5"/>
    <customWorkbookView name="akoffman - Personal View" guid="{6EF643BE-69F3-424E-8A44-3890161370D4}" mergeInterval="0" personalView="1" maximized="1" windowWidth="796" windowHeight="411" tabRatio="601" activeSheetId="5"/>
    <customWorkbookView name="rgrossman - Personal View" guid="{FBB4BF8E-8A9F-4E98-A6F9-5F9BF4C55C67}" mergeInterval="0" personalView="1" maximized="1" windowWidth="796" windowHeight="411" tabRatio="601" activeSheetId="5"/>
    <customWorkbookView name="  - Personal View" guid="{EB776EFC-3589-4DB5-BEAF-1E83D9703F9E}" mergeInterval="0" personalView="1" maximized="1" windowWidth="1020" windowHeight="632" tabRatio="601" activeSheetId="3"/>
    <customWorkbookView name="grodney - Personal View" guid="{AEA5979F-5357-4ED6-A6CA-1BB80F5C7A74}" mergeInterval="0" personalView="1" maximized="1" windowWidth="1020" windowHeight="604" tabRatio="601" activeSheetId="1"/>
    <customWorkbookView name="Shelly Fox - Personal View" guid="{28F81D13-D146-4D67-8981-BA5D7A496326}" mergeInterval="0" personalView="1" maximized="1" windowWidth="796" windowHeight="428" tabRatio="601" activeSheetId="5"/>
    <customWorkbookView name="framirez - Personal View" guid="{25C4E7E7-1006-4A2D-BC83-AEE4ADF8A914}" mergeInterval="0" personalView="1" maximized="1" windowWidth="796" windowHeight="402" tabRatio="734"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8" l="1"/>
  <c r="G56" i="1" l="1"/>
  <c r="G57" i="1"/>
  <c r="G58" i="1"/>
  <c r="G59" i="1"/>
  <c r="H19" i="9"/>
  <c r="H20" i="9" s="1"/>
  <c r="D99" i="5"/>
  <c r="D87" i="5"/>
  <c r="B13" i="2" s="1"/>
  <c r="C13" i="2" s="1"/>
  <c r="C29" i="8"/>
  <c r="D103" i="5" s="1"/>
  <c r="B31" i="2"/>
  <c r="B30" i="2"/>
  <c r="B27" i="2"/>
  <c r="B26" i="2"/>
  <c r="B12" i="2"/>
  <c r="C12" i="2" s="1"/>
  <c r="B17" i="2"/>
  <c r="B16" i="2"/>
  <c r="B70" i="19" l="1"/>
  <c r="B53" i="19"/>
  <c r="B52" i="19"/>
  <c r="B45" i="19"/>
  <c r="B44" i="19"/>
  <c r="B43" i="19"/>
  <c r="D42" i="19"/>
  <c r="B42" i="19"/>
  <c r="D41" i="19"/>
  <c r="B41" i="19"/>
  <c r="B40" i="19"/>
  <c r="D39" i="19"/>
  <c r="B38" i="19"/>
  <c r="B37" i="19"/>
  <c r="B39" i="19" l="1"/>
  <c r="I50" i="1"/>
  <c r="H50" i="1"/>
  <c r="I49" i="1"/>
  <c r="H49" i="1"/>
  <c r="I48" i="1"/>
  <c r="H48" i="1"/>
  <c r="I47" i="1"/>
  <c r="H47" i="1"/>
  <c r="C48" i="1"/>
  <c r="C47" i="1"/>
  <c r="D114" i="18"/>
  <c r="E114" i="18" s="1"/>
  <c r="C114" i="18"/>
  <c r="K113" i="18"/>
  <c r="D113" i="18"/>
  <c r="E113" i="18" s="1"/>
  <c r="K112" i="18"/>
  <c r="K111" i="18"/>
  <c r="L110" i="18"/>
  <c r="L111" i="18" s="1"/>
  <c r="L112" i="18" s="1"/>
  <c r="L113" i="18" s="1"/>
  <c r="L114" i="18" s="1"/>
  <c r="K110" i="18"/>
  <c r="K109" i="18" s="1"/>
  <c r="K108" i="18" s="1"/>
  <c r="K107" i="18" s="1"/>
  <c r="D111" i="18"/>
  <c r="E111" i="18" s="1"/>
  <c r="F106" i="1" s="1"/>
  <c r="L109" i="18"/>
  <c r="C109" i="18"/>
  <c r="D109" i="18" s="1"/>
  <c r="E109" i="18" s="1"/>
  <c r="F104" i="1" s="1"/>
  <c r="L108" i="18"/>
  <c r="D110" i="18"/>
  <c r="E110" i="18" s="1"/>
  <c r="F105" i="1" s="1"/>
  <c r="C104" i="18"/>
  <c r="C102" i="18"/>
  <c r="K101" i="18"/>
  <c r="K100" i="18" s="1"/>
  <c r="D101" i="18"/>
  <c r="E101" i="18" s="1"/>
  <c r="K99" i="18"/>
  <c r="K98" i="18" s="1"/>
  <c r="D99" i="18"/>
  <c r="E99" i="18" s="1"/>
  <c r="L97" i="18"/>
  <c r="L98" i="18" s="1"/>
  <c r="L99" i="18" s="1"/>
  <c r="L100" i="18" s="1"/>
  <c r="L101" i="18" s="1"/>
  <c r="L102" i="18" s="1"/>
  <c r="K97" i="18"/>
  <c r="K96" i="18" s="1"/>
  <c r="D97" i="18"/>
  <c r="E97" i="18" s="1"/>
  <c r="C97" i="18"/>
  <c r="L96" i="18"/>
  <c r="K95" i="18"/>
  <c r="C90" i="18"/>
  <c r="K89" i="18"/>
  <c r="K88" i="18" s="1"/>
  <c r="K87" i="18" s="1"/>
  <c r="K86" i="18" s="1"/>
  <c r="K85" i="18" s="1"/>
  <c r="K84" i="18" s="1"/>
  <c r="K83" i="18" s="1"/>
  <c r="D89" i="18"/>
  <c r="E89" i="18" s="1"/>
  <c r="D87" i="18"/>
  <c r="E87" i="18" s="1"/>
  <c r="F98" i="1" s="1"/>
  <c r="L85" i="18"/>
  <c r="L86" i="18" s="1"/>
  <c r="D85" i="18"/>
  <c r="E85" i="18" s="1"/>
  <c r="F96" i="1" s="1"/>
  <c r="C85" i="18"/>
  <c r="L84" i="18"/>
  <c r="C78" i="18"/>
  <c r="D78" i="18"/>
  <c r="E78" i="18" s="1"/>
  <c r="H78" i="18" s="1"/>
  <c r="K77" i="18"/>
  <c r="K76" i="18" s="1"/>
  <c r="K75" i="18" s="1"/>
  <c r="K74" i="18" s="1"/>
  <c r="K73" i="18" s="1"/>
  <c r="D77" i="18"/>
  <c r="E77" i="18" s="1"/>
  <c r="F77" i="18" s="1"/>
  <c r="D76" i="18"/>
  <c r="E76" i="18" s="1"/>
  <c r="D75" i="18"/>
  <c r="E75" i="18" s="1"/>
  <c r="L73" i="18"/>
  <c r="L74" i="18" s="1"/>
  <c r="C68" i="18" s="1"/>
  <c r="C73" i="18"/>
  <c r="D73" i="18" s="1"/>
  <c r="E73" i="18" s="1"/>
  <c r="L72" i="18"/>
  <c r="K72" i="18"/>
  <c r="K71" i="18" s="1"/>
  <c r="C65" i="18"/>
  <c r="K64" i="18"/>
  <c r="D64" i="18"/>
  <c r="E64" i="18" s="1"/>
  <c r="K63" i="18"/>
  <c r="K62" i="18" s="1"/>
  <c r="D63" i="18"/>
  <c r="E63" i="18" s="1"/>
  <c r="F91" i="1" s="1"/>
  <c r="K61" i="18"/>
  <c r="K60" i="18" s="1"/>
  <c r="K59" i="18" s="1"/>
  <c r="K58" i="18" s="1"/>
  <c r="D62" i="18"/>
  <c r="E62" i="18" s="1"/>
  <c r="F90" i="1" s="1"/>
  <c r="D60" i="18"/>
  <c r="E60" i="18" s="1"/>
  <c r="F88" i="1" s="1"/>
  <c r="C60" i="18"/>
  <c r="L59" i="18"/>
  <c r="L60" i="18" s="1"/>
  <c r="L61" i="18" s="1"/>
  <c r="C52" i="18"/>
  <c r="D52" i="18"/>
  <c r="E52" i="18" s="1"/>
  <c r="K51" i="18"/>
  <c r="D51" i="18"/>
  <c r="E51" i="18" s="1"/>
  <c r="K50" i="18"/>
  <c r="K49" i="18" s="1"/>
  <c r="D50" i="18"/>
  <c r="E50" i="18" s="1"/>
  <c r="F83" i="1" s="1"/>
  <c r="L48" i="18"/>
  <c r="K48" i="18"/>
  <c r="K47" i="18" s="1"/>
  <c r="K46" i="18" s="1"/>
  <c r="K45" i="18" s="1"/>
  <c r="D48" i="18"/>
  <c r="E48" i="18" s="1"/>
  <c r="F81" i="1" s="1"/>
  <c r="D49" i="18"/>
  <c r="E49" i="18" s="1"/>
  <c r="C47" i="18"/>
  <c r="D47" i="18" s="1"/>
  <c r="E47" i="18" s="1"/>
  <c r="L46" i="18"/>
  <c r="L47" i="18" s="1"/>
  <c r="D39" i="18"/>
  <c r="E39" i="18" s="1"/>
  <c r="C39" i="18"/>
  <c r="K38" i="18"/>
  <c r="K37" i="18" s="1"/>
  <c r="K36" i="18" s="1"/>
  <c r="K35" i="18" s="1"/>
  <c r="K34" i="18" s="1"/>
  <c r="D38" i="18"/>
  <c r="E38" i="18" s="1"/>
  <c r="H38" i="18" s="1"/>
  <c r="D36" i="18"/>
  <c r="E36" i="18" s="1"/>
  <c r="F74" i="1" s="1"/>
  <c r="C34" i="18"/>
  <c r="D34" i="18" s="1"/>
  <c r="E34" i="18" s="1"/>
  <c r="F72" i="1" s="1"/>
  <c r="D35" i="18"/>
  <c r="E35" i="18" s="1"/>
  <c r="F73" i="1" s="1"/>
  <c r="L33" i="18"/>
  <c r="L34" i="18" s="1"/>
  <c r="L35" i="18" s="1"/>
  <c r="K33" i="18"/>
  <c r="K32" i="18" s="1"/>
  <c r="C27" i="18"/>
  <c r="K26" i="18"/>
  <c r="K25" i="18" s="1"/>
  <c r="K24" i="18" s="1"/>
  <c r="K23" i="18" s="1"/>
  <c r="K22" i="18" s="1"/>
  <c r="K21" i="18" s="1"/>
  <c r="K20" i="18" s="1"/>
  <c r="D26" i="18"/>
  <c r="E26" i="18" s="1"/>
  <c r="C17" i="18"/>
  <c r="D24" i="18"/>
  <c r="E24" i="18" s="1"/>
  <c r="C22" i="18"/>
  <c r="D22" i="18" s="1"/>
  <c r="E22" i="18" s="1"/>
  <c r="F64" i="1" s="1"/>
  <c r="L21" i="18"/>
  <c r="L22" i="18" s="1"/>
  <c r="L23" i="18" s="1"/>
  <c r="L24" i="18" s="1"/>
  <c r="L25" i="18" s="1"/>
  <c r="L26" i="18" s="1"/>
  <c r="L27" i="18" s="1"/>
  <c r="D23" i="18"/>
  <c r="E23" i="18" s="1"/>
  <c r="F65" i="1" s="1"/>
  <c r="H10" i="18"/>
  <c r="H9" i="18"/>
  <c r="H8" i="18"/>
  <c r="H7" i="18"/>
  <c r="H6" i="18"/>
  <c r="H5" i="18"/>
  <c r="D88" i="18" l="1"/>
  <c r="E88" i="18" s="1"/>
  <c r="F99" i="1" s="1"/>
  <c r="D74" i="18"/>
  <c r="E74" i="18" s="1"/>
  <c r="I74" i="18" s="1"/>
  <c r="D98" i="18"/>
  <c r="E98" i="18" s="1"/>
  <c r="G98" i="18" s="1"/>
  <c r="D37" i="18"/>
  <c r="E37" i="18" s="1"/>
  <c r="F75" i="1" s="1"/>
  <c r="D61" i="18"/>
  <c r="E61" i="18" s="1"/>
  <c r="F89" i="1" s="1"/>
  <c r="F51" i="18"/>
  <c r="H51" i="18"/>
  <c r="G51" i="18"/>
  <c r="G24" i="18"/>
  <c r="F66" i="1"/>
  <c r="I38" i="18"/>
  <c r="G47" i="18"/>
  <c r="F80" i="1"/>
  <c r="G49" i="18"/>
  <c r="F82" i="1"/>
  <c r="G88" i="18"/>
  <c r="D90" i="18"/>
  <c r="E90" i="18" s="1"/>
  <c r="G90" i="18" s="1"/>
  <c r="D100" i="18"/>
  <c r="E100" i="18" s="1"/>
  <c r="D27" i="18"/>
  <c r="E27" i="18" s="1"/>
  <c r="H27" i="18" s="1"/>
  <c r="D65" i="18"/>
  <c r="E65" i="18" s="1"/>
  <c r="H74" i="18"/>
  <c r="D86" i="18"/>
  <c r="E86" i="18" s="1"/>
  <c r="G86" i="18" s="1"/>
  <c r="C80" i="18"/>
  <c r="H88" i="18"/>
  <c r="D102" i="18"/>
  <c r="E102" i="18" s="1"/>
  <c r="D112" i="18"/>
  <c r="E112" i="18" s="1"/>
  <c r="F107" i="1" s="1"/>
  <c r="I39" i="18"/>
  <c r="H39" i="18"/>
  <c r="G39" i="18"/>
  <c r="F39" i="18"/>
  <c r="L36" i="18"/>
  <c r="L37" i="18" s="1"/>
  <c r="L38" i="18" s="1"/>
  <c r="L39" i="18" s="1"/>
  <c r="C29" i="18"/>
  <c r="I48" i="18"/>
  <c r="H48" i="18"/>
  <c r="G48" i="18"/>
  <c r="F48" i="18"/>
  <c r="I87" i="18"/>
  <c r="H87" i="18"/>
  <c r="G87" i="18"/>
  <c r="F87" i="18"/>
  <c r="I35" i="18"/>
  <c r="H35" i="18"/>
  <c r="G35" i="18"/>
  <c r="F35" i="18"/>
  <c r="H22" i="18"/>
  <c r="F22" i="18"/>
  <c r="G22" i="18"/>
  <c r="I22" i="18"/>
  <c r="I50" i="18"/>
  <c r="H50" i="18"/>
  <c r="G50" i="18"/>
  <c r="F50" i="18"/>
  <c r="L87" i="18"/>
  <c r="L88" i="18" s="1"/>
  <c r="L89" i="18" s="1"/>
  <c r="L90" i="18" s="1"/>
  <c r="I89" i="18"/>
  <c r="H89" i="18"/>
  <c r="G89" i="18"/>
  <c r="F89" i="18"/>
  <c r="I111" i="18"/>
  <c r="H111" i="18"/>
  <c r="G111" i="18"/>
  <c r="F111" i="18"/>
  <c r="H26" i="18"/>
  <c r="F26" i="18"/>
  <c r="G36" i="18"/>
  <c r="F36" i="18"/>
  <c r="I36" i="18"/>
  <c r="H52" i="18"/>
  <c r="G52" i="18"/>
  <c r="F52" i="18"/>
  <c r="L62" i="18"/>
  <c r="L63" i="18" s="1"/>
  <c r="L64" i="18" s="1"/>
  <c r="L65" i="18" s="1"/>
  <c r="C55" i="18"/>
  <c r="I64" i="18"/>
  <c r="H64" i="18"/>
  <c r="G76" i="18"/>
  <c r="F76" i="18"/>
  <c r="D25" i="18"/>
  <c r="E25" i="18" s="1"/>
  <c r="F67" i="1" s="1"/>
  <c r="G26" i="18"/>
  <c r="F27" i="18"/>
  <c r="L49" i="18"/>
  <c r="L50" i="18" s="1"/>
  <c r="L51" i="18" s="1"/>
  <c r="L52" i="18" s="1"/>
  <c r="C42" i="18"/>
  <c r="I52" i="18"/>
  <c r="F61" i="18"/>
  <c r="F64" i="18"/>
  <c r="H76" i="18"/>
  <c r="F88" i="18"/>
  <c r="I88" i="18"/>
  <c r="F100" i="18"/>
  <c r="I100" i="18"/>
  <c r="H100" i="18"/>
  <c r="I101" i="18"/>
  <c r="H101" i="18"/>
  <c r="G101" i="18"/>
  <c r="F101" i="18"/>
  <c r="F110" i="18"/>
  <c r="I110" i="18"/>
  <c r="H110" i="18"/>
  <c r="G110" i="18"/>
  <c r="I113" i="18"/>
  <c r="H113" i="18"/>
  <c r="G113" i="18"/>
  <c r="F113" i="18"/>
  <c r="C92" i="18"/>
  <c r="I97" i="18"/>
  <c r="H97" i="18"/>
  <c r="G97" i="18"/>
  <c r="F97" i="18"/>
  <c r="I99" i="18"/>
  <c r="H99" i="18"/>
  <c r="G99" i="18"/>
  <c r="F99" i="18"/>
  <c r="I90" i="18"/>
  <c r="H90" i="18"/>
  <c r="I102" i="18"/>
  <c r="H102" i="18"/>
  <c r="F102" i="18"/>
  <c r="G102" i="18"/>
  <c r="F112" i="18"/>
  <c r="I112" i="18"/>
  <c r="H112" i="18"/>
  <c r="G112" i="18"/>
  <c r="I73" i="18"/>
  <c r="H73" i="18"/>
  <c r="G73" i="18"/>
  <c r="I23" i="18"/>
  <c r="H23" i="18"/>
  <c r="F78" i="18"/>
  <c r="I78" i="18"/>
  <c r="G65" i="18"/>
  <c r="F65" i="18"/>
  <c r="F47" i="18"/>
  <c r="I47" i="18"/>
  <c r="I62" i="18"/>
  <c r="H62" i="18"/>
  <c r="G62" i="18"/>
  <c r="H24" i="18"/>
  <c r="F24" i="18"/>
  <c r="I26" i="18"/>
  <c r="I27" i="18"/>
  <c r="I37" i="18"/>
  <c r="H37" i="18"/>
  <c r="G37" i="18"/>
  <c r="H47" i="18"/>
  <c r="H63" i="18"/>
  <c r="G63" i="18"/>
  <c r="F63" i="18"/>
  <c r="G64" i="18"/>
  <c r="I76" i="18"/>
  <c r="I85" i="18"/>
  <c r="H85" i="18"/>
  <c r="G85" i="18"/>
  <c r="F85" i="18"/>
  <c r="G34" i="18"/>
  <c r="F34" i="18"/>
  <c r="F37" i="18"/>
  <c r="F49" i="18"/>
  <c r="I49" i="18"/>
  <c r="I60" i="18"/>
  <c r="H60" i="18"/>
  <c r="I63" i="18"/>
  <c r="G74" i="18"/>
  <c r="F74" i="18"/>
  <c r="F73" i="18"/>
  <c r="I75" i="18"/>
  <c r="H75" i="18"/>
  <c r="G75" i="18"/>
  <c r="I86" i="18"/>
  <c r="F23" i="18"/>
  <c r="I24" i="18"/>
  <c r="H34" i="18"/>
  <c r="H49" i="18"/>
  <c r="F60" i="18"/>
  <c r="F75" i="18"/>
  <c r="F98" i="18"/>
  <c r="I98" i="18"/>
  <c r="H98" i="18"/>
  <c r="I109" i="18"/>
  <c r="H109" i="18"/>
  <c r="G109" i="18"/>
  <c r="F109" i="18"/>
  <c r="G23" i="18"/>
  <c r="I34" i="18"/>
  <c r="H36" i="18"/>
  <c r="G38" i="18"/>
  <c r="F38" i="18"/>
  <c r="G60" i="18"/>
  <c r="F62" i="18"/>
  <c r="L75" i="18"/>
  <c r="L76" i="18" s="1"/>
  <c r="L77" i="18" s="1"/>
  <c r="L78" i="18" s="1"/>
  <c r="I77" i="18"/>
  <c r="H77" i="18"/>
  <c r="G77" i="18"/>
  <c r="G78" i="18"/>
  <c r="F90" i="18"/>
  <c r="G100" i="18"/>
  <c r="I114" i="18"/>
  <c r="H114" i="18"/>
  <c r="G114" i="18"/>
  <c r="F114" i="18"/>
  <c r="I51" i="18"/>
  <c r="G61" i="18" l="1"/>
  <c r="I61" i="18"/>
  <c r="H61" i="18"/>
  <c r="F86" i="18"/>
  <c r="G27" i="18"/>
  <c r="I65" i="18"/>
  <c r="H65" i="18"/>
  <c r="H86" i="18"/>
  <c r="F97" i="1"/>
  <c r="I25" i="18"/>
  <c r="H25" i="18"/>
  <c r="F25" i="18"/>
  <c r="G25" i="18"/>
  <c r="A2" i="11" l="1"/>
  <c r="A2" i="10"/>
  <c r="A2" i="9"/>
  <c r="B2" i="1"/>
  <c r="A2" i="8" s="1"/>
  <c r="A2" i="5"/>
  <c r="A2" i="6" s="1"/>
  <c r="A2" i="3" s="1"/>
  <c r="A2" i="4" s="1"/>
  <c r="A13" i="2"/>
  <c r="A27" i="2" s="1"/>
  <c r="A14" i="2"/>
  <c r="A28" i="2" s="1"/>
  <c r="G41" i="6"/>
  <c r="G42" i="6"/>
  <c r="G40" i="6"/>
  <c r="G39" i="6"/>
  <c r="G38" i="6"/>
  <c r="G37" i="6"/>
  <c r="G36" i="6"/>
  <c r="D25" i="6"/>
  <c r="D24" i="6"/>
  <c r="D23" i="6"/>
  <c r="H20" i="6"/>
  <c r="D22" i="6"/>
  <c r="D21" i="6"/>
  <c r="G36" i="3" l="1"/>
  <c r="G25" i="3"/>
  <c r="C15" i="3" l="1"/>
  <c r="G30" i="3"/>
  <c r="K12" i="4"/>
  <c r="I34" i="3"/>
  <c r="I33" i="3"/>
  <c r="G34" i="3"/>
  <c r="G33" i="3"/>
  <c r="I26" i="3"/>
  <c r="G27" i="3"/>
  <c r="G26" i="3"/>
  <c r="I22" i="3"/>
  <c r="I21" i="3"/>
  <c r="I16" i="3"/>
  <c r="I14" i="3"/>
  <c r="I13" i="3"/>
  <c r="I12" i="3"/>
  <c r="I11" i="3"/>
  <c r="G23" i="3"/>
  <c r="G22" i="3"/>
  <c r="G21" i="3"/>
  <c r="G20" i="3"/>
  <c r="G19" i="3"/>
  <c r="G18" i="3"/>
  <c r="G10" i="3"/>
  <c r="G16" i="3"/>
  <c r="G15" i="3"/>
  <c r="G14" i="3"/>
  <c r="G12" i="3"/>
  <c r="G11" i="3"/>
  <c r="C16" i="3" l="1"/>
  <c r="C12" i="3"/>
  <c r="C21" i="1"/>
  <c r="C20" i="1"/>
  <c r="C19" i="1"/>
  <c r="C18" i="1"/>
  <c r="E12" i="5" l="1"/>
  <c r="G65" i="1" l="1"/>
  <c r="G97" i="1" s="1"/>
  <c r="G66" i="1"/>
  <c r="G67" i="1"/>
  <c r="G75" i="1" s="1"/>
  <c r="G64" i="1"/>
  <c r="G80" i="1" s="1"/>
  <c r="N48" i="1"/>
  <c r="N49" i="1"/>
  <c r="N50" i="1"/>
  <c r="N47" i="1"/>
  <c r="I108" i="1"/>
  <c r="I60" i="1"/>
  <c r="D54" i="1"/>
  <c r="E58" i="1" s="1"/>
  <c r="F58" i="1" s="1"/>
  <c r="J58" i="1" s="1"/>
  <c r="D102" i="1"/>
  <c r="E106" i="1" s="1"/>
  <c r="D94" i="1"/>
  <c r="E97" i="1" s="1"/>
  <c r="D86" i="1"/>
  <c r="E90" i="1" s="1"/>
  <c r="D78" i="1"/>
  <c r="E83" i="1" s="1"/>
  <c r="D70" i="1"/>
  <c r="E74" i="1" s="1"/>
  <c r="D62" i="1"/>
  <c r="E65" i="1" s="1"/>
  <c r="O48" i="1"/>
  <c r="P48" i="1"/>
  <c r="Q48" i="1"/>
  <c r="R48" i="1"/>
  <c r="S48" i="1"/>
  <c r="T48" i="1"/>
  <c r="O49" i="1"/>
  <c r="P49" i="1"/>
  <c r="Q49" i="1"/>
  <c r="R49" i="1"/>
  <c r="S49" i="1"/>
  <c r="T49" i="1"/>
  <c r="O50" i="1"/>
  <c r="P50" i="1"/>
  <c r="Q50" i="1"/>
  <c r="R50" i="1"/>
  <c r="S50" i="1"/>
  <c r="T50" i="1"/>
  <c r="U49" i="1"/>
  <c r="U51" i="1" s="1"/>
  <c r="T47" i="1"/>
  <c r="S47" i="1"/>
  <c r="R47" i="1"/>
  <c r="R51" i="1" s="1"/>
  <c r="Q47" i="1"/>
  <c r="Q51" i="1" s="1"/>
  <c r="P47" i="1"/>
  <c r="O47" i="1"/>
  <c r="T46" i="1"/>
  <c r="S46" i="1"/>
  <c r="R46" i="1"/>
  <c r="Q46" i="1"/>
  <c r="P46" i="1"/>
  <c r="O46" i="1"/>
  <c r="E33" i="1"/>
  <c r="E32" i="1"/>
  <c r="C11" i="1"/>
  <c r="B9" i="1" s="1"/>
  <c r="I92" i="1"/>
  <c r="I100" i="1"/>
  <c r="I68" i="1"/>
  <c r="I76" i="1"/>
  <c r="I84" i="1"/>
  <c r="E18" i="1"/>
  <c r="E19" i="1"/>
  <c r="E20" i="1"/>
  <c r="E21" i="1"/>
  <c r="A18" i="2"/>
  <c r="A32" i="2"/>
  <c r="F8" i="1"/>
  <c r="C35" i="1"/>
  <c r="E35" i="1" s="1"/>
  <c r="D15" i="4" s="1"/>
  <c r="F9" i="1"/>
  <c r="C37" i="1" s="1"/>
  <c r="E37" i="1" s="1"/>
  <c r="D16" i="4" s="1"/>
  <c r="E31" i="1"/>
  <c r="D14" i="4" s="1"/>
  <c r="A1" i="14"/>
  <c r="A2" i="14"/>
  <c r="G1" i="14"/>
  <c r="F10" i="1"/>
  <c r="D52" i="9"/>
  <c r="C33" i="10"/>
  <c r="C37" i="10" s="1"/>
  <c r="D16" i="5"/>
  <c r="D17" i="5" s="1"/>
  <c r="B17" i="6"/>
  <c r="C17" i="6" s="1"/>
  <c r="D49" i="6" s="1"/>
  <c r="E23" i="1"/>
  <c r="C30" i="3"/>
  <c r="C31" i="3"/>
  <c r="C33" i="3"/>
  <c r="D27" i="4"/>
  <c r="D37" i="5"/>
  <c r="C40" i="9" s="1"/>
  <c r="J111" i="1"/>
  <c r="J112" i="1"/>
  <c r="J113" i="1"/>
  <c r="J114" i="1"/>
  <c r="E13" i="5"/>
  <c r="E14" i="5"/>
  <c r="E15" i="5"/>
  <c r="E11" i="5"/>
  <c r="B61" i="6"/>
  <c r="B64" i="6" s="1"/>
  <c r="C61" i="6"/>
  <c r="C64" i="6" s="1"/>
  <c r="C15" i="6"/>
  <c r="C65" i="6" s="1"/>
  <c r="E36" i="6"/>
  <c r="E38" i="6"/>
  <c r="C16" i="6"/>
  <c r="D39" i="6" s="1"/>
  <c r="E37" i="6"/>
  <c r="E39" i="6"/>
  <c r="E40" i="6"/>
  <c r="E41" i="6"/>
  <c r="E42" i="6"/>
  <c r="B30" i="6"/>
  <c r="E47" i="6" s="1"/>
  <c r="E50" i="6"/>
  <c r="E49" i="6"/>
  <c r="B15" i="2"/>
  <c r="C14" i="9"/>
  <c r="C15" i="9"/>
  <c r="C16" i="9"/>
  <c r="A14" i="9"/>
  <c r="A15" i="9"/>
  <c r="A16" i="9"/>
  <c r="A17" i="9"/>
  <c r="C13" i="9"/>
  <c r="F1" i="11"/>
  <c r="G1" i="12"/>
  <c r="A2" i="12"/>
  <c r="A1" i="12"/>
  <c r="A3" i="11"/>
  <c r="A1" i="11"/>
  <c r="C1" i="10"/>
  <c r="A3" i="10"/>
  <c r="A1" i="10"/>
  <c r="C26" i="9"/>
  <c r="C27" i="9"/>
  <c r="C28" i="9"/>
  <c r="C29" i="9"/>
  <c r="C30" i="9"/>
  <c r="C31" i="9"/>
  <c r="C32" i="9"/>
  <c r="C33" i="9"/>
  <c r="C35" i="9"/>
  <c r="C36" i="9"/>
  <c r="C37" i="9"/>
  <c r="C38" i="9"/>
  <c r="C39" i="9"/>
  <c r="E20" i="11"/>
  <c r="E19" i="11"/>
  <c r="E13" i="11"/>
  <c r="I7" i="12"/>
  <c r="I8" i="12"/>
  <c r="I9" i="12"/>
  <c r="I10" i="12"/>
  <c r="C11" i="12"/>
  <c r="E11" i="12"/>
  <c r="G11" i="12"/>
  <c r="I15" i="12"/>
  <c r="I16" i="12"/>
  <c r="I17" i="12"/>
  <c r="I18" i="12"/>
  <c r="I19" i="12"/>
  <c r="C20" i="12"/>
  <c r="E20" i="12"/>
  <c r="G20" i="12"/>
  <c r="I23" i="12"/>
  <c r="I24" i="12"/>
  <c r="I25" i="12"/>
  <c r="I26" i="12"/>
  <c r="I27" i="12"/>
  <c r="C28" i="12"/>
  <c r="E28" i="12"/>
  <c r="G28" i="12"/>
  <c r="I33" i="12"/>
  <c r="I35" i="12"/>
  <c r="I36" i="12"/>
  <c r="I37" i="12"/>
  <c r="I40" i="12" s="1"/>
  <c r="I38" i="12"/>
  <c r="I39" i="12"/>
  <c r="C40" i="12"/>
  <c r="E40" i="12"/>
  <c r="G40" i="12"/>
  <c r="I43" i="12"/>
  <c r="I44" i="12"/>
  <c r="I45" i="12"/>
  <c r="I46" i="12"/>
  <c r="I47" i="12"/>
  <c r="C48" i="12"/>
  <c r="E48" i="12"/>
  <c r="G48" i="12"/>
  <c r="I52" i="12"/>
  <c r="I53" i="12"/>
  <c r="D21" i="9"/>
  <c r="C76" i="9"/>
  <c r="A83" i="5"/>
  <c r="A9" i="2" s="1"/>
  <c r="A23" i="2" s="1"/>
  <c r="A84" i="5"/>
  <c r="A10" i="2" s="1"/>
  <c r="A24" i="2" s="1"/>
  <c r="A85" i="5"/>
  <c r="A11" i="2" s="1"/>
  <c r="A25" i="2" s="1"/>
  <c r="A90" i="5"/>
  <c r="A16" i="2" s="1"/>
  <c r="A30" i="2" s="1"/>
  <c r="A86" i="5"/>
  <c r="A12" i="2" s="1"/>
  <c r="A26" i="2" s="1"/>
  <c r="A89" i="5"/>
  <c r="A15" i="2" s="1"/>
  <c r="A29" i="2" s="1"/>
  <c r="A91" i="5"/>
  <c r="A17" i="2"/>
  <c r="A31" i="2" s="1"/>
  <c r="A41" i="6"/>
  <c r="A42" i="6"/>
  <c r="A40" i="6"/>
  <c r="C58" i="9"/>
  <c r="C59" i="9"/>
  <c r="C60" i="9"/>
  <c r="C61" i="9"/>
  <c r="C63" i="9"/>
  <c r="A50" i="9"/>
  <c r="C50" i="9"/>
  <c r="G3" i="9"/>
  <c r="B3" i="8"/>
  <c r="K3" i="4"/>
  <c r="D3" i="3"/>
  <c r="I3" i="1"/>
  <c r="E3" i="6"/>
  <c r="E3" i="5"/>
  <c r="A70" i="9"/>
  <c r="A72" i="9"/>
  <c r="A74" i="9"/>
  <c r="A76" i="9"/>
  <c r="A78" i="9"/>
  <c r="A40" i="9"/>
  <c r="A42" i="9"/>
  <c r="A43" i="9"/>
  <c r="A44" i="9"/>
  <c r="A45" i="9"/>
  <c r="A46" i="9"/>
  <c r="A47" i="9"/>
  <c r="C47" i="9"/>
  <c r="A48" i="9"/>
  <c r="C48" i="9"/>
  <c r="A49" i="9"/>
  <c r="C49" i="9"/>
  <c r="A51" i="9"/>
  <c r="C51" i="9"/>
  <c r="A52" i="9"/>
  <c r="A54" i="9"/>
  <c r="A55" i="9"/>
  <c r="A56" i="9"/>
  <c r="A57" i="9"/>
  <c r="A58" i="9"/>
  <c r="A59" i="9"/>
  <c r="A60" i="9"/>
  <c r="A61" i="9"/>
  <c r="A62" i="9"/>
  <c r="C62" i="9"/>
  <c r="A63" i="9"/>
  <c r="A64" i="9"/>
  <c r="A66" i="9"/>
  <c r="A67" i="9"/>
  <c r="C67" i="9"/>
  <c r="A68" i="9"/>
  <c r="A69" i="9"/>
  <c r="C69" i="9"/>
  <c r="A82" i="5"/>
  <c r="A8" i="2" s="1"/>
  <c r="A22" i="2" s="1"/>
  <c r="A38" i="9"/>
  <c r="A39" i="9"/>
  <c r="A27" i="9"/>
  <c r="A28" i="9"/>
  <c r="A29" i="9"/>
  <c r="A30" i="9"/>
  <c r="A31" i="9"/>
  <c r="A32" i="9"/>
  <c r="A33" i="9"/>
  <c r="A34" i="9"/>
  <c r="A35" i="9"/>
  <c r="A36" i="9"/>
  <c r="A37" i="9"/>
  <c r="C9" i="9"/>
  <c r="A11" i="9"/>
  <c r="A12" i="9"/>
  <c r="A13" i="9"/>
  <c r="A21" i="9"/>
  <c r="A24" i="9"/>
  <c r="A26" i="9"/>
  <c r="A9" i="9"/>
  <c r="A3" i="9"/>
  <c r="A1" i="9"/>
  <c r="H16" i="4"/>
  <c r="A3" i="8"/>
  <c r="A107" i="5"/>
  <c r="B1" i="1"/>
  <c r="A1" i="8" s="1"/>
  <c r="A1" i="5"/>
  <c r="A1" i="6" s="1"/>
  <c r="A1" i="3" s="1"/>
  <c r="A1" i="4" s="1"/>
  <c r="B36" i="2"/>
  <c r="B39" i="2"/>
  <c r="B3" i="1"/>
  <c r="A3" i="5" s="1"/>
  <c r="A3" i="6" s="1"/>
  <c r="C57" i="9"/>
  <c r="C34" i="9"/>
  <c r="D40" i="9"/>
  <c r="C70" i="9"/>
  <c r="D72" i="9"/>
  <c r="D64" i="9"/>
  <c r="O51" i="1"/>
  <c r="F24" i="1"/>
  <c r="F6" i="1" s="1"/>
  <c r="A3" i="3" l="1"/>
  <c r="A3" i="4" s="1"/>
  <c r="E72" i="1"/>
  <c r="E105" i="1"/>
  <c r="S51" i="1"/>
  <c r="E104" i="1"/>
  <c r="E48" i="6"/>
  <c r="C28" i="3"/>
  <c r="E73" i="1"/>
  <c r="H65" i="1"/>
  <c r="J65" i="1" s="1"/>
  <c r="E107" i="1"/>
  <c r="E66" i="1"/>
  <c r="H66" i="1" s="1"/>
  <c r="J66" i="1" s="1"/>
  <c r="E64" i="1"/>
  <c r="H64" i="1" s="1"/>
  <c r="J64" i="1" s="1"/>
  <c r="E59" i="1"/>
  <c r="F59" i="1" s="1"/>
  <c r="E82" i="1"/>
  <c r="E56" i="1"/>
  <c r="F56" i="1" s="1"/>
  <c r="G50" i="12"/>
  <c r="E30" i="12"/>
  <c r="D47" i="6"/>
  <c r="E91" i="1"/>
  <c r="C17" i="9"/>
  <c r="D38" i="6"/>
  <c r="E89" i="1"/>
  <c r="B8" i="1"/>
  <c r="E23" i="11"/>
  <c r="P51" i="1"/>
  <c r="V50" i="1"/>
  <c r="V48" i="1"/>
  <c r="D36" i="6"/>
  <c r="I48" i="12"/>
  <c r="C50" i="12"/>
  <c r="C22" i="1"/>
  <c r="C24" i="1" s="1"/>
  <c r="C40" i="1" s="1"/>
  <c r="E40" i="1" s="1"/>
  <c r="E88" i="1"/>
  <c r="I116" i="1"/>
  <c r="B10" i="1"/>
  <c r="B7" i="1"/>
  <c r="J59" i="1"/>
  <c r="G89" i="1"/>
  <c r="G98" i="1"/>
  <c r="G74" i="1"/>
  <c r="H74" i="1" s="1"/>
  <c r="J74" i="1" s="1"/>
  <c r="E81" i="1"/>
  <c r="E96" i="1"/>
  <c r="E80" i="1"/>
  <c r="H80" i="1" s="1"/>
  <c r="J80" i="1" s="1"/>
  <c r="B37" i="2"/>
  <c r="C21" i="9"/>
  <c r="H9" i="9"/>
  <c r="E17" i="5"/>
  <c r="D20" i="4"/>
  <c r="C10" i="8" s="1"/>
  <c r="D10" i="8" s="1"/>
  <c r="E10" i="8" s="1"/>
  <c r="F10" i="8" s="1"/>
  <c r="G10" i="8" s="1"/>
  <c r="H10" i="8" s="1"/>
  <c r="I10" i="8" s="1"/>
  <c r="J10" i="8" s="1"/>
  <c r="K10" i="8" s="1"/>
  <c r="L10" i="8" s="1"/>
  <c r="M10" i="8" s="1"/>
  <c r="N10" i="8" s="1"/>
  <c r="O10" i="8" s="1"/>
  <c r="P10" i="8" s="1"/>
  <c r="Q10" i="8" s="1"/>
  <c r="R10" i="8" s="1"/>
  <c r="S10" i="8" s="1"/>
  <c r="T10" i="8" s="1"/>
  <c r="U10" i="8" s="1"/>
  <c r="V10" i="8" s="1"/>
  <c r="W10" i="8" s="1"/>
  <c r="X10" i="8" s="1"/>
  <c r="Y10" i="8" s="1"/>
  <c r="Z10" i="8" s="1"/>
  <c r="AA10" i="8" s="1"/>
  <c r="AB10" i="8" s="1"/>
  <c r="AC10" i="8" s="1"/>
  <c r="AD10" i="8" s="1"/>
  <c r="AE10" i="8" s="1"/>
  <c r="AF10" i="8" s="1"/>
  <c r="E6" i="1"/>
  <c r="B6" i="1"/>
  <c r="J115" i="1"/>
  <c r="D42" i="6"/>
  <c r="G30" i="12"/>
  <c r="T51" i="1"/>
  <c r="E98" i="1"/>
  <c r="E99" i="1"/>
  <c r="E67" i="1"/>
  <c r="H67" i="1" s="1"/>
  <c r="J67" i="1" s="1"/>
  <c r="V47" i="1"/>
  <c r="N51" i="1"/>
  <c r="G107" i="1"/>
  <c r="H107" i="1" s="1"/>
  <c r="J107" i="1" s="1"/>
  <c r="G91" i="1"/>
  <c r="G83" i="1"/>
  <c r="H83" i="1" s="1"/>
  <c r="J83" i="1" s="1"/>
  <c r="G105" i="1"/>
  <c r="H105" i="1" s="1"/>
  <c r="J105" i="1" s="1"/>
  <c r="G72" i="1"/>
  <c r="H72" i="1" s="1"/>
  <c r="J56" i="1"/>
  <c r="G81" i="1"/>
  <c r="G88" i="1"/>
  <c r="G90" i="1"/>
  <c r="H90" i="1" s="1"/>
  <c r="J90" i="1" s="1"/>
  <c r="G96" i="1"/>
  <c r="G106" i="1"/>
  <c r="H106" i="1" s="1"/>
  <c r="J106" i="1" s="1"/>
  <c r="G82" i="1"/>
  <c r="G99" i="1"/>
  <c r="G104" i="1"/>
  <c r="H104" i="1" s="1"/>
  <c r="J104" i="1" s="1"/>
  <c r="H97" i="1"/>
  <c r="J97" i="1" s="1"/>
  <c r="E57" i="1"/>
  <c r="F57" i="1" s="1"/>
  <c r="J57" i="1" s="1"/>
  <c r="E75" i="1"/>
  <c r="D18" i="4"/>
  <c r="D8" i="8" s="1"/>
  <c r="E8" i="8" s="1"/>
  <c r="F8" i="8" s="1"/>
  <c r="G8" i="8" s="1"/>
  <c r="H8" i="8" s="1"/>
  <c r="I8" i="8" s="1"/>
  <c r="J8" i="8" s="1"/>
  <c r="K8" i="8" s="1"/>
  <c r="L8" i="8" s="1"/>
  <c r="M8" i="8" s="1"/>
  <c r="N8" i="8" s="1"/>
  <c r="O8" i="8" s="1"/>
  <c r="P8" i="8" s="1"/>
  <c r="Q8" i="8" s="1"/>
  <c r="R8" i="8" s="1"/>
  <c r="S8" i="8" s="1"/>
  <c r="T8" i="8" s="1"/>
  <c r="U8" i="8" s="1"/>
  <c r="V8" i="8" s="1"/>
  <c r="W8" i="8" s="1"/>
  <c r="X8" i="8" s="1"/>
  <c r="Y8" i="8" s="1"/>
  <c r="Z8" i="8" s="1"/>
  <c r="AA8" i="8" s="1"/>
  <c r="AB8" i="8" s="1"/>
  <c r="AC8" i="8" s="1"/>
  <c r="AD8" i="8" s="1"/>
  <c r="AE8" i="8" s="1"/>
  <c r="AF8" i="8" s="1"/>
  <c r="D19" i="4"/>
  <c r="C9" i="8" s="1"/>
  <c r="D9" i="8" s="1"/>
  <c r="E9" i="8" s="1"/>
  <c r="F9" i="8" s="1"/>
  <c r="G9" i="8" s="1"/>
  <c r="H9" i="8" s="1"/>
  <c r="I9" i="8" s="1"/>
  <c r="J9" i="8" s="1"/>
  <c r="K9" i="8" s="1"/>
  <c r="L9" i="8" s="1"/>
  <c r="M9" i="8" s="1"/>
  <c r="N9" i="8" s="1"/>
  <c r="O9" i="8" s="1"/>
  <c r="P9" i="8" s="1"/>
  <c r="Q9" i="8" s="1"/>
  <c r="R9" i="8" s="1"/>
  <c r="S9" i="8" s="1"/>
  <c r="T9" i="8" s="1"/>
  <c r="U9" i="8" s="1"/>
  <c r="V9" i="8" s="1"/>
  <c r="W9" i="8" s="1"/>
  <c r="X9" i="8" s="1"/>
  <c r="Y9" i="8" s="1"/>
  <c r="Z9" i="8" s="1"/>
  <c r="AA9" i="8" s="1"/>
  <c r="AB9" i="8" s="1"/>
  <c r="AC9" i="8" s="1"/>
  <c r="AD9" i="8" s="1"/>
  <c r="AE9" i="8" s="1"/>
  <c r="AF9" i="8" s="1"/>
  <c r="I20" i="12"/>
  <c r="D50" i="6"/>
  <c r="D41" i="6"/>
  <c r="D40" i="6"/>
  <c r="D74" i="9"/>
  <c r="D78" i="9" s="1"/>
  <c r="H14" i="9" s="1"/>
  <c r="C30" i="12"/>
  <c r="I28" i="12"/>
  <c r="D37" i="6"/>
  <c r="D48" i="6"/>
  <c r="E22" i="1"/>
  <c r="E24" i="1" s="1"/>
  <c r="D7" i="3" s="1"/>
  <c r="E50" i="12"/>
  <c r="I11" i="12"/>
  <c r="V49" i="1"/>
  <c r="G73" i="1"/>
  <c r="H73" i="1" s="1"/>
  <c r="J73" i="1" s="1"/>
  <c r="B65" i="6"/>
  <c r="C37" i="2" l="1"/>
  <c r="C26" i="3"/>
  <c r="C22" i="3"/>
  <c r="C20" i="3"/>
  <c r="C19" i="3"/>
  <c r="B27" i="4"/>
  <c r="I1" i="12"/>
  <c r="D6" i="3"/>
  <c r="D28" i="3" s="1"/>
  <c r="C26" i="2"/>
  <c r="D1" i="10"/>
  <c r="J72" i="1"/>
  <c r="H96" i="1"/>
  <c r="J96" i="1" s="1"/>
  <c r="H82" i="1"/>
  <c r="J82" i="1" s="1"/>
  <c r="H75" i="1"/>
  <c r="J75" i="1" s="1"/>
  <c r="H89" i="1"/>
  <c r="J89" i="1" s="1"/>
  <c r="H88" i="1"/>
  <c r="J88" i="1" s="1"/>
  <c r="C39" i="2"/>
  <c r="F3" i="6"/>
  <c r="F3" i="5"/>
  <c r="L3" i="4"/>
  <c r="C15" i="2"/>
  <c r="H91" i="1"/>
  <c r="J91" i="1" s="1"/>
  <c r="C17" i="2"/>
  <c r="K31" i="4"/>
  <c r="I25" i="4" s="1"/>
  <c r="J31" i="4"/>
  <c r="I24" i="4" s="1"/>
  <c r="C36" i="2"/>
  <c r="H3" i="9"/>
  <c r="H8" i="9" s="1"/>
  <c r="H10" i="9" s="1"/>
  <c r="G1" i="11"/>
  <c r="I1" i="14"/>
  <c r="C31" i="2"/>
  <c r="I31" i="4"/>
  <c r="D97" i="5" s="1"/>
  <c r="B23" i="2" s="1"/>
  <c r="C23" i="2" s="1"/>
  <c r="F25" i="1"/>
  <c r="E3" i="3"/>
  <c r="J3" i="1"/>
  <c r="D69" i="5"/>
  <c r="D3" i="2"/>
  <c r="C3" i="8"/>
  <c r="B17" i="5"/>
  <c r="I50" i="12"/>
  <c r="B11" i="5"/>
  <c r="H81" i="1"/>
  <c r="J81" i="1" s="1"/>
  <c r="J60" i="1"/>
  <c r="H99" i="1"/>
  <c r="J99" i="1" s="1"/>
  <c r="H98" i="1"/>
  <c r="J98" i="1" s="1"/>
  <c r="D17" i="4"/>
  <c r="E42" i="1"/>
  <c r="J68" i="1"/>
  <c r="J108" i="1"/>
  <c r="H16" i="9"/>
  <c r="H17" i="9" s="1"/>
  <c r="H18" i="9" s="1"/>
  <c r="H15" i="9"/>
  <c r="V51" i="1"/>
  <c r="W49" i="1" s="1"/>
  <c r="C21" i="3"/>
  <c r="I30" i="12"/>
  <c r="I37" i="4" l="1"/>
  <c r="I35" i="4" s="1"/>
  <c r="I34" i="4" s="1"/>
  <c r="I23" i="4"/>
  <c r="I26" i="4" s="1"/>
  <c r="D72" i="5"/>
  <c r="C72" i="9" s="1"/>
  <c r="D83" i="5"/>
  <c r="B40" i="6" s="1"/>
  <c r="C23" i="3"/>
  <c r="C27" i="3"/>
  <c r="C38" i="3"/>
  <c r="C14" i="3"/>
  <c r="C11" i="3"/>
  <c r="C34" i="3"/>
  <c r="D28" i="4" s="1"/>
  <c r="C17" i="8" s="1"/>
  <c r="D17" i="8" s="1"/>
  <c r="E17" i="8" s="1"/>
  <c r="F17" i="8" s="1"/>
  <c r="G17" i="8" s="1"/>
  <c r="H17" i="8" s="1"/>
  <c r="I17" i="8" s="1"/>
  <c r="J17" i="8" s="1"/>
  <c r="K17" i="8" s="1"/>
  <c r="L17" i="8" s="1"/>
  <c r="M17" i="8" s="1"/>
  <c r="N17" i="8" s="1"/>
  <c r="O17" i="8" s="1"/>
  <c r="P17" i="8" s="1"/>
  <c r="Q17" i="8" s="1"/>
  <c r="R17" i="8" s="1"/>
  <c r="S17" i="8" s="1"/>
  <c r="T17" i="8" s="1"/>
  <c r="U17" i="8" s="1"/>
  <c r="V17" i="8" s="1"/>
  <c r="W17" i="8" s="1"/>
  <c r="X17" i="8" s="1"/>
  <c r="Y17" i="8" s="1"/>
  <c r="Z17" i="8" s="1"/>
  <c r="AA17" i="8" s="1"/>
  <c r="AB17" i="8" s="1"/>
  <c r="AC17" i="8" s="1"/>
  <c r="AD17" i="8" s="1"/>
  <c r="AE17" i="8" s="1"/>
  <c r="AF17" i="8" s="1"/>
  <c r="J37" i="4"/>
  <c r="J35" i="4" s="1"/>
  <c r="J34" i="4" s="1"/>
  <c r="C68" i="9"/>
  <c r="D98" i="5"/>
  <c r="D84" i="5" s="1"/>
  <c r="J84" i="1"/>
  <c r="J76" i="1"/>
  <c r="J92" i="1"/>
  <c r="K37" i="4"/>
  <c r="K35" i="4" s="1"/>
  <c r="K36" i="4" s="1"/>
  <c r="J100" i="1"/>
  <c r="D21" i="4"/>
  <c r="D22" i="4" s="1"/>
  <c r="W50" i="1"/>
  <c r="R52" i="1"/>
  <c r="U52" i="1"/>
  <c r="N52" i="1"/>
  <c r="P52" i="1"/>
  <c r="T52" i="1"/>
  <c r="Q52" i="1"/>
  <c r="W48" i="1"/>
  <c r="O52" i="1"/>
  <c r="W47" i="1"/>
  <c r="S52" i="1"/>
  <c r="B49" i="6" l="1"/>
  <c r="F49" i="6" s="1"/>
  <c r="I36" i="4"/>
  <c r="B9" i="2"/>
  <c r="C9" i="2" s="1"/>
  <c r="F40" i="6"/>
  <c r="H40" i="6"/>
  <c r="B28" i="4"/>
  <c r="J36" i="4"/>
  <c r="B24" i="2"/>
  <c r="C24" i="2" s="1"/>
  <c r="J118" i="1"/>
  <c r="J120" i="1" s="1"/>
  <c r="F42" i="1" s="1"/>
  <c r="K34" i="4"/>
  <c r="C11" i="8"/>
  <c r="D11" i="8" s="1"/>
  <c r="E11" i="8" s="1"/>
  <c r="F11" i="8" s="1"/>
  <c r="G11" i="8" s="1"/>
  <c r="H11" i="8" s="1"/>
  <c r="I11" i="8" s="1"/>
  <c r="J11" i="8" s="1"/>
  <c r="K11" i="8" s="1"/>
  <c r="L11" i="8" s="1"/>
  <c r="M11" i="8" s="1"/>
  <c r="N11" i="8" s="1"/>
  <c r="O11" i="8" s="1"/>
  <c r="P11" i="8" s="1"/>
  <c r="Q11" i="8" s="1"/>
  <c r="R11" i="8" s="1"/>
  <c r="S11" i="8" s="1"/>
  <c r="T11" i="8" s="1"/>
  <c r="U11" i="8" s="1"/>
  <c r="V11" i="8" s="1"/>
  <c r="W11" i="8" s="1"/>
  <c r="X11" i="8" s="1"/>
  <c r="Y11" i="8" s="1"/>
  <c r="Z11" i="8" s="1"/>
  <c r="AA11" i="8" s="1"/>
  <c r="AB11" i="8" s="1"/>
  <c r="AC11" i="8" s="1"/>
  <c r="AD11" i="8" s="1"/>
  <c r="AE11" i="8" s="1"/>
  <c r="AF11" i="8" s="1"/>
  <c r="B41" i="6"/>
  <c r="B10" i="2"/>
  <c r="C10" i="2" s="1"/>
  <c r="B50" i="6"/>
  <c r="F50" i="6" s="1"/>
  <c r="F41" i="6" l="1"/>
  <c r="H41" i="6"/>
  <c r="I40" i="6"/>
  <c r="D10" i="4"/>
  <c r="D11" i="4" s="1"/>
  <c r="D12" i="4" s="1"/>
  <c r="I41" i="6" l="1"/>
  <c r="D23" i="4"/>
  <c r="C13" i="3"/>
  <c r="C16" i="8" s="1"/>
  <c r="C7" i="8"/>
  <c r="C12" i="8" s="1"/>
  <c r="D7" i="8" l="1"/>
  <c r="D12" i="8" s="1"/>
  <c r="D16" i="8"/>
  <c r="E16" i="8" s="1"/>
  <c r="F16" i="8" s="1"/>
  <c r="G16" i="8" s="1"/>
  <c r="H16" i="8" s="1"/>
  <c r="I16" i="8" s="1"/>
  <c r="J16" i="8" s="1"/>
  <c r="K16" i="8" s="1"/>
  <c r="L16" i="8" s="1"/>
  <c r="M16" i="8" s="1"/>
  <c r="N16" i="8" s="1"/>
  <c r="O16" i="8" s="1"/>
  <c r="P16" i="8" s="1"/>
  <c r="Q16" i="8" s="1"/>
  <c r="R16" i="8" s="1"/>
  <c r="S16" i="8" s="1"/>
  <c r="T16" i="8" s="1"/>
  <c r="U16" i="8" s="1"/>
  <c r="V16" i="8" s="1"/>
  <c r="W16" i="8" s="1"/>
  <c r="X16" i="8" s="1"/>
  <c r="Y16" i="8" s="1"/>
  <c r="Z16" i="8" s="1"/>
  <c r="AA16" i="8" s="1"/>
  <c r="AB16" i="8" s="1"/>
  <c r="AC16" i="8" s="1"/>
  <c r="AD16" i="8" s="1"/>
  <c r="AE16" i="8" s="1"/>
  <c r="AF16" i="8" s="1"/>
  <c r="E7" i="8" l="1"/>
  <c r="E12" i="8" s="1"/>
  <c r="F7" i="8" l="1"/>
  <c r="F12" i="8" s="1"/>
  <c r="G7" i="8" l="1"/>
  <c r="G12" i="8" s="1"/>
  <c r="H7" i="8" l="1"/>
  <c r="H12" i="8" s="1"/>
  <c r="I7" i="8" l="1"/>
  <c r="J7" i="8" s="1"/>
  <c r="I12" i="8" l="1"/>
  <c r="J12" i="8"/>
  <c r="K7" i="8"/>
  <c r="L7" i="8" l="1"/>
  <c r="K12" i="8"/>
  <c r="L12" i="8" l="1"/>
  <c r="M7" i="8"/>
  <c r="M12" i="8" l="1"/>
  <c r="N7" i="8"/>
  <c r="O7" i="8" l="1"/>
  <c r="N12" i="8"/>
  <c r="P7" i="8" l="1"/>
  <c r="O12" i="8"/>
  <c r="Q7" i="8" l="1"/>
  <c r="P12" i="8"/>
  <c r="Q12" i="8" l="1"/>
  <c r="R7" i="8"/>
  <c r="R12" i="8" l="1"/>
  <c r="S7" i="8"/>
  <c r="S12" i="8" l="1"/>
  <c r="T7" i="8"/>
  <c r="U7" i="8" l="1"/>
  <c r="T12" i="8"/>
  <c r="V7" i="8" l="1"/>
  <c r="U12" i="8"/>
  <c r="V12" i="8" l="1"/>
  <c r="W7" i="8"/>
  <c r="W12" i="8" l="1"/>
  <c r="X7" i="8"/>
  <c r="X12" i="8" l="1"/>
  <c r="Y7" i="8"/>
  <c r="Y12" i="8" l="1"/>
  <c r="Z7" i="8"/>
  <c r="AA7" i="8" l="1"/>
  <c r="Z12" i="8"/>
  <c r="AB7" i="8" l="1"/>
  <c r="AA12" i="8"/>
  <c r="AC7" i="8" l="1"/>
  <c r="AB12" i="8"/>
  <c r="AC12" i="8" l="1"/>
  <c r="AD7" i="8"/>
  <c r="AE7" i="8" l="1"/>
  <c r="AD12" i="8"/>
  <c r="AE12" i="8" l="1"/>
  <c r="AF7" i="8"/>
  <c r="AF12" i="8" s="1"/>
  <c r="F7" i="1" l="1"/>
  <c r="F11" i="1"/>
  <c r="H32" i="4" l="1"/>
  <c r="C16" i="2" l="1"/>
  <c r="C30" i="2"/>
  <c r="B11" i="6" l="1"/>
  <c r="B47" i="6"/>
  <c r="F47" i="6" s="1"/>
  <c r="B48" i="6"/>
  <c r="F48" i="6" s="1"/>
  <c r="C73" i="6"/>
  <c r="C74" i="6"/>
  <c r="C75" i="6" s="1"/>
  <c r="D42" i="5"/>
  <c r="D43" i="5"/>
  <c r="D44" i="5"/>
  <c r="B8" i="2"/>
  <c r="C8" i="2" s="1"/>
  <c r="C45" i="9"/>
  <c r="C46" i="9"/>
  <c r="F51" i="6" l="1"/>
  <c r="D40" i="5"/>
  <c r="D41" i="5"/>
  <c r="C44" i="9" s="1"/>
  <c r="D51" i="5" l="1"/>
  <c r="C43" i="9"/>
  <c r="C52" i="9" l="1"/>
  <c r="D85" i="5"/>
  <c r="B42" i="6" s="1"/>
  <c r="B11" i="2"/>
  <c r="C11" i="2" s="1"/>
  <c r="B25" i="2"/>
  <c r="C25" i="2" s="1"/>
  <c r="F42" i="6" l="1"/>
  <c r="H42" i="6"/>
  <c r="I42" i="6" l="1"/>
  <c r="B29" i="2"/>
  <c r="C29" i="2" s="1"/>
  <c r="C15" i="8" l="1"/>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C25" i="8"/>
  <c r="D25" i="8"/>
  <c r="E25" i="8"/>
  <c r="F25" i="8"/>
  <c r="G25" i="8"/>
  <c r="H25" i="8"/>
  <c r="I25" i="8"/>
  <c r="J25" i="8"/>
  <c r="K25" i="8"/>
  <c r="L25" i="8"/>
  <c r="M25" i="8"/>
  <c r="N25" i="8"/>
  <c r="O25" i="8"/>
  <c r="P25" i="8"/>
  <c r="Q25" i="8"/>
  <c r="R25" i="8"/>
  <c r="S25" i="8"/>
  <c r="T25" i="8"/>
  <c r="U25" i="8"/>
  <c r="V25" i="8"/>
  <c r="W25" i="8"/>
  <c r="X25" i="8"/>
  <c r="Y25" i="8"/>
  <c r="Z25" i="8"/>
  <c r="AA25" i="8"/>
  <c r="AB25" i="8"/>
  <c r="AC25" i="8"/>
  <c r="AD25" i="8"/>
  <c r="AE25" i="8"/>
  <c r="AF25" i="8"/>
  <c r="C26" i="8"/>
  <c r="C30" i="8"/>
  <c r="D30" i="8"/>
  <c r="E30" i="8"/>
  <c r="F30" i="8"/>
  <c r="G30" i="8"/>
  <c r="H30" i="8"/>
  <c r="I30" i="8"/>
  <c r="J30" i="8"/>
  <c r="K30" i="8"/>
  <c r="L30" i="8"/>
  <c r="M30" i="8"/>
  <c r="N30" i="8"/>
  <c r="O30" i="8"/>
  <c r="P30" i="8"/>
  <c r="Q30" i="8"/>
  <c r="R30" i="8"/>
  <c r="S30" i="8"/>
  <c r="T30" i="8"/>
  <c r="U30" i="8"/>
  <c r="V30" i="8"/>
  <c r="W30" i="8"/>
  <c r="X30" i="8"/>
  <c r="Y30" i="8"/>
  <c r="Z30" i="8"/>
  <c r="AA30" i="8"/>
  <c r="AB30" i="8"/>
  <c r="AC30" i="8"/>
  <c r="AD30" i="8"/>
  <c r="AE30" i="8"/>
  <c r="AF30" i="8"/>
  <c r="C32" i="8"/>
  <c r="D32" i="8"/>
  <c r="E32" i="8"/>
  <c r="F32" i="8"/>
  <c r="G32" i="8"/>
  <c r="H32" i="8"/>
  <c r="I32" i="8"/>
  <c r="J32" i="8"/>
  <c r="K32" i="8"/>
  <c r="L32" i="8"/>
  <c r="M32" i="8"/>
  <c r="N32" i="8"/>
  <c r="O32" i="8"/>
  <c r="P32" i="8"/>
  <c r="Q32" i="8"/>
  <c r="R32" i="8"/>
  <c r="S32" i="8"/>
  <c r="T32" i="8"/>
  <c r="U32" i="8"/>
  <c r="V32" i="8"/>
  <c r="W32" i="8"/>
  <c r="X32" i="8"/>
  <c r="Y32" i="8"/>
  <c r="Z32" i="8"/>
  <c r="AA32" i="8"/>
  <c r="AB32" i="8"/>
  <c r="AC32" i="8"/>
  <c r="AD32" i="8"/>
  <c r="AE32" i="8"/>
  <c r="AF32" i="8"/>
  <c r="C33" i="8"/>
  <c r="D33" i="8"/>
  <c r="E33" i="8"/>
  <c r="F33" i="8"/>
  <c r="G33" i="8"/>
  <c r="H33" i="8"/>
  <c r="I33" i="8"/>
  <c r="J33" i="8"/>
  <c r="K33" i="8"/>
  <c r="L33" i="8"/>
  <c r="M33" i="8"/>
  <c r="N33" i="8"/>
  <c r="O33" i="8"/>
  <c r="P33" i="8"/>
  <c r="Q33" i="8"/>
  <c r="R33" i="8"/>
  <c r="S33" i="8"/>
  <c r="T33" i="8"/>
  <c r="U33" i="8"/>
  <c r="V33" i="8"/>
  <c r="W33" i="8"/>
  <c r="X33" i="8"/>
  <c r="Y33" i="8"/>
  <c r="Z33" i="8"/>
  <c r="AA33" i="8"/>
  <c r="AB33" i="8"/>
  <c r="AC33" i="8"/>
  <c r="AD33" i="8"/>
  <c r="AE33" i="8"/>
  <c r="AF33" i="8"/>
  <c r="C35" i="8"/>
  <c r="D35" i="8"/>
  <c r="E35" i="8"/>
  <c r="F35" i="8"/>
  <c r="G35" i="8"/>
  <c r="H35" i="8"/>
  <c r="I35" i="8"/>
  <c r="J35" i="8"/>
  <c r="K35" i="8"/>
  <c r="L35" i="8"/>
  <c r="M35" i="8"/>
  <c r="N35" i="8"/>
  <c r="O35" i="8"/>
  <c r="P35" i="8"/>
  <c r="Q35" i="8"/>
  <c r="R35" i="8"/>
  <c r="S35" i="8"/>
  <c r="T35" i="8"/>
  <c r="U35" i="8"/>
  <c r="V35" i="8"/>
  <c r="W35" i="8"/>
  <c r="X35" i="8"/>
  <c r="Y35" i="8"/>
  <c r="Z35" i="8"/>
  <c r="AA35" i="8"/>
  <c r="AB35" i="8"/>
  <c r="AC35" i="8"/>
  <c r="AD35" i="8"/>
  <c r="AE35" i="8"/>
  <c r="AF35" i="8"/>
  <c r="C36" i="8"/>
  <c r="D36" i="8"/>
  <c r="E36" i="8"/>
  <c r="F36" i="8"/>
  <c r="G36" i="8"/>
  <c r="H36" i="8"/>
  <c r="I36" i="8"/>
  <c r="J36" i="8"/>
  <c r="K36" i="8"/>
  <c r="L36" i="8"/>
  <c r="M36" i="8"/>
  <c r="N36" i="8"/>
  <c r="O36" i="8"/>
  <c r="P36" i="8"/>
  <c r="Q36" i="8"/>
  <c r="R36" i="8"/>
  <c r="S36" i="8"/>
  <c r="T36" i="8"/>
  <c r="U36" i="8"/>
  <c r="V36" i="8"/>
  <c r="W36" i="8"/>
  <c r="X36" i="8"/>
  <c r="Y36" i="8"/>
  <c r="Z36" i="8"/>
  <c r="AA36" i="8"/>
  <c r="AB36" i="8"/>
  <c r="AC36" i="8"/>
  <c r="AD36" i="8"/>
  <c r="AE36" i="8"/>
  <c r="AF36" i="8"/>
  <c r="B9" i="6"/>
  <c r="C9" i="6"/>
  <c r="B10" i="6"/>
  <c r="C10" i="6"/>
  <c r="B36" i="6"/>
  <c r="F36" i="6"/>
  <c r="H36" i="6"/>
  <c r="I36" i="6"/>
  <c r="B37" i="6"/>
  <c r="F37" i="6"/>
  <c r="H37" i="6"/>
  <c r="I37" i="6"/>
  <c r="B38" i="6"/>
  <c r="F38" i="6"/>
  <c r="H38" i="6"/>
  <c r="I38" i="6"/>
  <c r="B39" i="6"/>
  <c r="F39" i="6"/>
  <c r="H39" i="6"/>
  <c r="I39" i="6"/>
  <c r="F43" i="6"/>
  <c r="H43" i="6"/>
  <c r="I43" i="6"/>
  <c r="B62" i="6"/>
  <c r="C62" i="6"/>
  <c r="B66" i="6"/>
  <c r="C66" i="6"/>
  <c r="B68" i="6"/>
  <c r="D54" i="5"/>
  <c r="D55" i="5"/>
  <c r="D56" i="5"/>
  <c r="D65" i="5"/>
  <c r="E71" i="5"/>
  <c r="D74" i="5"/>
  <c r="E76" i="5"/>
  <c r="D79" i="5"/>
  <c r="E82" i="5"/>
  <c r="E83" i="5"/>
  <c r="E84" i="5"/>
  <c r="E85" i="5"/>
  <c r="E86" i="5"/>
  <c r="E87" i="5"/>
  <c r="D88" i="5"/>
  <c r="E88" i="5"/>
  <c r="E89" i="5"/>
  <c r="E90" i="5"/>
  <c r="E91" i="5"/>
  <c r="D92" i="5"/>
  <c r="E92" i="5"/>
  <c r="D93" i="5"/>
  <c r="E93" i="5"/>
  <c r="D96" i="5"/>
  <c r="E96" i="5"/>
  <c r="E97" i="5"/>
  <c r="E98" i="5"/>
  <c r="E99" i="5"/>
  <c r="E100" i="5"/>
  <c r="E101" i="5"/>
  <c r="D102" i="5"/>
  <c r="E102" i="5"/>
  <c r="E103" i="5"/>
  <c r="E104" i="5"/>
  <c r="E105" i="5"/>
  <c r="D106" i="5"/>
  <c r="E106" i="5"/>
  <c r="D107" i="5"/>
  <c r="E107" i="5"/>
  <c r="C37" i="3"/>
  <c r="C42" i="3"/>
  <c r="D43" i="3"/>
  <c r="D44" i="3"/>
  <c r="C48" i="3"/>
  <c r="C49" i="3"/>
  <c r="C50" i="3"/>
  <c r="B26" i="4"/>
  <c r="D26" i="4"/>
  <c r="B29" i="4"/>
  <c r="D29" i="4"/>
  <c r="H31" i="4"/>
  <c r="L31" i="4"/>
  <c r="D32" i="4"/>
  <c r="H34" i="4"/>
  <c r="D35" i="4"/>
  <c r="H36" i="4"/>
  <c r="D37" i="4"/>
  <c r="H37" i="4"/>
  <c r="L37" i="4"/>
  <c r="D38" i="4"/>
  <c r="H38" i="4"/>
  <c r="I38" i="4"/>
  <c r="J38" i="4"/>
  <c r="K38" i="4"/>
  <c r="L38" i="4"/>
  <c r="D40" i="4"/>
  <c r="D41" i="4"/>
  <c r="D8" i="2"/>
  <c r="D9" i="2"/>
  <c r="D10" i="2"/>
  <c r="D11" i="2"/>
  <c r="D12" i="2"/>
  <c r="D13" i="2"/>
  <c r="B14" i="2"/>
  <c r="C14" i="2"/>
  <c r="D14" i="2"/>
  <c r="D15" i="2"/>
  <c r="D16" i="2"/>
  <c r="D17" i="2"/>
  <c r="B18" i="2"/>
  <c r="C18" i="2"/>
  <c r="D18" i="2"/>
  <c r="B19" i="2"/>
  <c r="C19" i="2"/>
  <c r="D19" i="2"/>
  <c r="B22" i="2"/>
  <c r="C22" i="2"/>
  <c r="D22" i="2"/>
  <c r="D23" i="2"/>
  <c r="D24" i="2"/>
  <c r="D25" i="2"/>
  <c r="D26" i="2"/>
  <c r="B28" i="2"/>
  <c r="D29" i="2"/>
  <c r="D30" i="2"/>
  <c r="D31" i="2"/>
  <c r="B32" i="2"/>
  <c r="C32" i="2"/>
  <c r="D32" i="2"/>
  <c r="B33" i="2"/>
  <c r="C33" i="2"/>
  <c r="D33" i="2"/>
  <c r="D36" i="2"/>
  <c r="D37" i="2"/>
  <c r="B38" i="2"/>
  <c r="C38" i="2"/>
  <c r="D38" i="2"/>
  <c r="D39" i="2"/>
  <c r="B41" i="2"/>
  <c r="C41" i="2"/>
  <c r="D41" i="2"/>
  <c r="H11" i="9"/>
  <c r="C55" i="9"/>
  <c r="C56" i="9"/>
  <c r="C64" i="9"/>
  <c r="C74" i="9"/>
  <c r="C7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NYC</author>
  </authors>
  <commentList>
    <comment ref="H29" authorId="0" shapeId="0" xr:uid="{00000000-0006-0000-0600-000001000000}">
      <text>
        <r>
          <rPr>
            <b/>
            <sz val="8"/>
            <color indexed="81"/>
            <rFont val="Tahoma"/>
            <family val="2"/>
          </rPr>
          <t>NYC:</t>
        </r>
        <r>
          <rPr>
            <sz val="8"/>
            <color indexed="81"/>
            <rFont val="Tahoma"/>
            <family val="2"/>
          </rPr>
          <t xml:space="preserve">
If I:E ratio or 1st mort DSCR is more restrictive than combined DSCR, then you need to reduce 1st mort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Budd, William</author>
  </authors>
  <commentList>
    <comment ref="H15" authorId="0" shapeId="0" xr:uid="{00000000-0006-0000-0800-000001000000}">
      <text>
        <r>
          <rPr>
            <b/>
            <sz val="11"/>
            <color indexed="81"/>
            <rFont val="Tahoma"/>
            <family val="2"/>
          </rPr>
          <t xml:space="preserve">Note: </t>
        </r>
        <r>
          <rPr>
            <sz val="11"/>
            <color indexed="81"/>
            <rFont val="Tahoma"/>
            <family val="2"/>
          </rPr>
          <t xml:space="preserve"> Please refer to Qualified Allocation Plan (QAP) for current eligible basis  per unit cap.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Angus Page</author>
    <author>Vincent Guglietta</author>
  </authors>
  <commentList>
    <comment ref="A5" authorId="0" shapeId="0" xr:uid="{0FB67E44-6C08-4B3B-BB0F-575B7642DAA1}">
      <text>
        <r>
          <rPr>
            <sz val="9"/>
            <color indexed="81"/>
            <rFont val="Tahoma"/>
            <family val="2"/>
          </rPr>
          <t xml:space="preserve">Note that this cell in the 2025 cacluator is not active in income limit/rent calculations 
</t>
        </r>
      </text>
    </comment>
    <comment ref="A6" authorId="1" shapeId="0" xr:uid="{11B3CC4D-9CAA-4961-BA3F-B721011F95FC}">
      <text>
        <r>
          <rPr>
            <sz val="9"/>
            <color indexed="81"/>
            <rFont val="Tahoma"/>
            <family val="2"/>
          </rPr>
          <t>Note that this cell in the 2025 cacluator is not active in income limit/rent calculations 
The FY 2025 Fair Market Rents (</t>
        </r>
        <r>
          <rPr>
            <b/>
            <sz val="9"/>
            <color indexed="81"/>
            <rFont val="Tahoma"/>
            <family val="2"/>
          </rPr>
          <t xml:space="preserve">effective 4/28/2025) </t>
        </r>
        <r>
          <rPr>
            <sz val="9"/>
            <color indexed="81"/>
            <rFont val="Tahoma"/>
            <family val="2"/>
          </rPr>
          <t>for New York, NY 
HUD Metro FMR Area are based on the results of a local rent survey conducted in December 2024.</t>
        </r>
      </text>
    </comment>
  </commentList>
</comments>
</file>

<file path=xl/sharedStrings.xml><?xml version="1.0" encoding="utf-8"?>
<sst xmlns="http://schemas.openxmlformats.org/spreadsheetml/2006/main" count="1374" uniqueCount="676">
  <si>
    <t># of Units</t>
  </si>
  <si>
    <t>Total</t>
  </si>
  <si>
    <t># of Spaces</t>
  </si>
  <si>
    <t>Monthly Rent</t>
  </si>
  <si>
    <t>Annual Income</t>
  </si>
  <si>
    <t>Total s.f.</t>
  </si>
  <si>
    <t>Annual Rent/s.f.</t>
  </si>
  <si>
    <t># units</t>
  </si>
  <si>
    <t>Laundry</t>
  </si>
  <si>
    <t>SOURCES AND USES</t>
  </si>
  <si>
    <t xml:space="preserve">     Acquisition Cost</t>
  </si>
  <si>
    <t xml:space="preserve">     Construction Cost</t>
  </si>
  <si>
    <t xml:space="preserve">     Soft Cost</t>
  </si>
  <si>
    <t xml:space="preserve">     Developer's Fee</t>
  </si>
  <si>
    <t xml:space="preserve">          TOTAL USES</t>
  </si>
  <si>
    <t>Supplies/Cleaning/Exterminating</t>
  </si>
  <si>
    <t>per room</t>
  </si>
  <si>
    <t>per unit</t>
  </si>
  <si>
    <t>Painting</t>
  </si>
  <si>
    <t>Number of:</t>
  </si>
  <si>
    <t xml:space="preserve">Elevator Maintenance &amp; Repairs </t>
  </si>
  <si>
    <t xml:space="preserve">Fire and Liability Insurance </t>
  </si>
  <si>
    <t>M &amp; O Before Taxes and Debt Service</t>
  </si>
  <si>
    <t>Real estate taxes</t>
  </si>
  <si>
    <t>Total Expenses</t>
  </si>
  <si>
    <t>Determination of Maximum Insurable Mortgage</t>
  </si>
  <si>
    <t>Net Residential Income</t>
  </si>
  <si>
    <t>MIP</t>
  </si>
  <si>
    <t>Sum of above rates</t>
  </si>
  <si>
    <t xml:space="preserve">Ancillary/Laundry </t>
  </si>
  <si>
    <t>Total Supportable First Mortgage</t>
  </si>
  <si>
    <t>Total Combined Debt</t>
  </si>
  <si>
    <t>1st Loan</t>
  </si>
  <si>
    <t>2nd Loan</t>
  </si>
  <si>
    <t>Maintenance/Operating</t>
  </si>
  <si>
    <t xml:space="preserve">Real estate taxes </t>
  </si>
  <si>
    <t>Term</t>
  </si>
  <si>
    <t>NET OPERATING INCOME</t>
  </si>
  <si>
    <t>Balance</t>
  </si>
  <si>
    <t>Net Available @1.05 Income to Expense</t>
  </si>
  <si>
    <t>Debt Service</t>
  </si>
  <si>
    <t>/du</t>
  </si>
  <si>
    <t>Borrower's Legal</t>
  </si>
  <si>
    <t>Accounting</t>
  </si>
  <si>
    <t>Borrower's Engineer/Architect Fees</t>
  </si>
  <si>
    <t>Subtotal</t>
  </si>
  <si>
    <t>Negative Arbitrage</t>
  </si>
  <si>
    <t>HDC 2nd</t>
  </si>
  <si>
    <t>Bank Legal</t>
  </si>
  <si>
    <t>Survey</t>
  </si>
  <si>
    <t>Insurance</t>
  </si>
  <si>
    <t>Utilities</t>
  </si>
  <si>
    <t>Marketing</t>
  </si>
  <si>
    <t>Developer's Fee</t>
  </si>
  <si>
    <t>Total Development Cost:</t>
  </si>
  <si>
    <t>Studio</t>
  </si>
  <si>
    <t># of Rms/ DU</t>
  </si>
  <si>
    <t>per rm/du</t>
  </si>
  <si>
    <t>Units</t>
  </si>
  <si>
    <t>Rooms</t>
  </si>
  <si>
    <t>% Outstanding</t>
  </si>
  <si>
    <t>per elevator</t>
  </si>
  <si>
    <t xml:space="preserve">Net Available for Debt Service @ </t>
  </si>
  <si>
    <t>Deferred Developer's Fee</t>
  </si>
  <si>
    <t>Expenses</t>
  </si>
  <si>
    <t>Contingency</t>
  </si>
  <si>
    <t>Title Insurance</t>
  </si>
  <si>
    <t xml:space="preserve">per unit </t>
  </si>
  <si>
    <t>Bank's Engineer</t>
  </si>
  <si>
    <t>Costs of Issuance</t>
  </si>
  <si>
    <t>Super's Unit</t>
  </si>
  <si>
    <t>Permanent Sources</t>
  </si>
  <si>
    <t>Upfront L/C Fee</t>
  </si>
  <si>
    <t>Annual L/C Fee</t>
  </si>
  <si>
    <t>Income to Expense</t>
  </si>
  <si>
    <t>Construction Sources</t>
  </si>
  <si>
    <t>Soft Cost Contingency</t>
  </si>
  <si>
    <t>Security</t>
  </si>
  <si>
    <t>Commercial</t>
  </si>
  <si>
    <t>Total Income</t>
  </si>
  <si>
    <t>M&amp;O Expenses</t>
  </si>
  <si>
    <t>Building Reserve</t>
  </si>
  <si>
    <t>NOI</t>
  </si>
  <si>
    <t>Net Cash Flow</t>
  </si>
  <si>
    <t>Total Bond Amount</t>
  </si>
  <si>
    <t>Long Term Amount</t>
  </si>
  <si>
    <t>Short Term Amount</t>
  </si>
  <si>
    <t>Investment Spread</t>
  </si>
  <si>
    <t>porters</t>
  </si>
  <si>
    <t>/unit</t>
  </si>
  <si>
    <t>Community</t>
  </si>
  <si>
    <t>General Conditions</t>
  </si>
  <si>
    <t>Parking Income</t>
  </si>
  <si>
    <t>average per sf</t>
  </si>
  <si>
    <t>Total Soft Costs</t>
  </si>
  <si>
    <t>of soft costs</t>
  </si>
  <si>
    <t>Parking</t>
  </si>
  <si>
    <t>psf</t>
  </si>
  <si>
    <t>Ancillary Income</t>
  </si>
  <si>
    <t>Borings</t>
  </si>
  <si>
    <t xml:space="preserve"> </t>
  </si>
  <si>
    <t xml:space="preserve">  </t>
  </si>
  <si>
    <t>Interest Rate Cap (estimate)</t>
  </si>
  <si>
    <t>per DU</t>
  </si>
  <si>
    <t>% of total</t>
  </si>
  <si>
    <t>UNIT DISTRBUTION</t>
  </si>
  <si>
    <t># Rooms</t>
  </si>
  <si>
    <t>Commercial Income</t>
  </si>
  <si>
    <t>Total Commercial &amp; Ancillary  Income</t>
  </si>
  <si>
    <t>Residential Income</t>
  </si>
  <si>
    <t>Annual per unit</t>
  </si>
  <si>
    <t>TOTAL ANNUAL PROJECT INCOME</t>
  </si>
  <si>
    <t>DEVELOPMENT BUDGET</t>
  </si>
  <si>
    <t>SF DISTRBUTION</t>
  </si>
  <si>
    <t>NEGATIVE ARBITRAGE</t>
  </si>
  <si>
    <t>MAINTENANCE &amp; OPERATING EXPENSES</t>
  </si>
  <si>
    <t>F/T super(s)</t>
  </si>
  <si>
    <t>TOTAL ANNUAL PROJECT EXPENSES</t>
  </si>
  <si>
    <t>% of bond</t>
  </si>
  <si>
    <t>Bond Amount</t>
  </si>
  <si>
    <t>Months</t>
  </si>
  <si>
    <t>Years</t>
  </si>
  <si>
    <t>Construction term</t>
  </si>
  <si>
    <t xml:space="preserve">Rent-up &amp; conversion term </t>
  </si>
  <si>
    <t>Total term</t>
  </si>
  <si>
    <t>Variable Rate</t>
  </si>
  <si>
    <t>Amount</t>
  </si>
  <si>
    <t>Interest Rate</t>
  </si>
  <si>
    <t>Fixed Rate</t>
  </si>
  <si>
    <t>Term (years)</t>
  </si>
  <si>
    <t>Interest</t>
  </si>
  <si>
    <t>Total Fixed Rate Cons. Interest</t>
  </si>
  <si>
    <t xml:space="preserve"> HDC 1st</t>
  </si>
  <si>
    <t>Total Variable Rate Cons. Interest</t>
  </si>
  <si>
    <t>Interest Calculations</t>
  </si>
  <si>
    <t>Rate</t>
  </si>
  <si>
    <t>Construction Term (years)</t>
  </si>
  <si>
    <t>Investment Rate</t>
  </si>
  <si>
    <t>(for fixed-rate deals only)</t>
  </si>
  <si>
    <t xml:space="preserve">Less Residential Vacancies </t>
  </si>
  <si>
    <t xml:space="preserve">Commercial Income </t>
  </si>
  <si>
    <t>Community Space Income</t>
  </si>
  <si>
    <t>Less Parking Vacancies</t>
  </si>
  <si>
    <t>Less Ancillary/Laundry Vac</t>
  </si>
  <si>
    <t xml:space="preserve">Less Commercial Vac </t>
  </si>
  <si>
    <t>Net Comm &amp; Ancillary Income</t>
  </si>
  <si>
    <t>based on net available for debt service and land taxes</t>
  </si>
  <si>
    <t>Income</t>
  </si>
  <si>
    <t>Net Income</t>
  </si>
  <si>
    <t>Less Community Space Income</t>
  </si>
  <si>
    <t>Fixed Interest Rates</t>
  </si>
  <si>
    <t>Amt Amortized</t>
  </si>
  <si>
    <t>Balloon %</t>
  </si>
  <si>
    <t>Debt Coverage</t>
  </si>
  <si>
    <t>Yrs 1 - 30</t>
  </si>
  <si>
    <t>increases</t>
  </si>
  <si>
    <t>EFFECTIVE INCOMES</t>
  </si>
  <si>
    <t>EXPENSES</t>
  </si>
  <si>
    <t xml:space="preserve">Contractor Price </t>
  </si>
  <si>
    <t>Community Space</t>
  </si>
  <si>
    <t>Residential</t>
  </si>
  <si>
    <t>Housing/Development Consultant</t>
  </si>
  <si>
    <t xml:space="preserve">Appraisal </t>
  </si>
  <si>
    <t>Total Hard Cost</t>
  </si>
  <si>
    <t>Acquisition Cost</t>
  </si>
  <si>
    <t>Construction Cost</t>
  </si>
  <si>
    <t>Soft Cost</t>
  </si>
  <si>
    <t>Construction Monitor</t>
  </si>
  <si>
    <t>Permits and expediting</t>
  </si>
  <si>
    <t>of ERI</t>
  </si>
  <si>
    <t>Hard Costs</t>
  </si>
  <si>
    <t>Average Net SF</t>
  </si>
  <si>
    <t>per Unit</t>
  </si>
  <si>
    <t>Average Net SF per DU</t>
  </si>
  <si>
    <t>Environmental Phase I &amp; II</t>
  </si>
  <si>
    <t>Capitalized Operating Reserve</t>
  </si>
  <si>
    <t>Geotechnical</t>
  </si>
  <si>
    <t>Non Profit Sponsor</t>
  </si>
  <si>
    <t>CEQR</t>
  </si>
  <si>
    <t>Water/Sewer &amp; Real Estate Taxes</t>
  </si>
  <si>
    <t>Net Residential Square Feet</t>
  </si>
  <si>
    <t xml:space="preserve">Legal </t>
  </si>
  <si>
    <t>per project</t>
  </si>
  <si>
    <t>Assumed Subsidies</t>
  </si>
  <si>
    <t>Uses</t>
  </si>
  <si>
    <t>CONSTRUCTION INTEREST</t>
  </si>
  <si>
    <t>LETTER OF CREDIT AMOUNT</t>
  </si>
  <si>
    <t>Days Interest</t>
  </si>
  <si>
    <t>LC Amount</t>
  </si>
  <si>
    <t xml:space="preserve">Long Term </t>
  </si>
  <si>
    <t xml:space="preserve">Short Term </t>
  </si>
  <si>
    <t>COMMERICAL AND ANCILLARY INCOME</t>
  </si>
  <si>
    <t>MORTGAGE SIZING</t>
  </si>
  <si>
    <t>Variable Interest Rates</t>
  </si>
  <si>
    <t>Base Rate</t>
  </si>
  <si>
    <t>Underwriting Cushion</t>
  </si>
  <si>
    <t>LC Fees</t>
  </si>
  <si>
    <t>Trustee</t>
  </si>
  <si>
    <t>Remarketing</t>
  </si>
  <si>
    <t>Servicing</t>
  </si>
  <si>
    <t>Base Underwriting Rate</t>
  </si>
  <si>
    <t>Reserves and Contingency</t>
  </si>
  <si>
    <t>Total Cost</t>
  </si>
  <si>
    <t>Eligible Cost (Y/N)</t>
  </si>
  <si>
    <t>Eligible Amount</t>
  </si>
  <si>
    <t>N</t>
  </si>
  <si>
    <t>Y</t>
  </si>
  <si>
    <t>% TC Units</t>
  </si>
  <si>
    <t>% Non Residential Costs</t>
  </si>
  <si>
    <t>Aplicable Fraction</t>
  </si>
  <si>
    <t>Construction Bonds</t>
  </si>
  <si>
    <t>Annual Credit @</t>
  </si>
  <si>
    <t>Amount Raised per Credit @</t>
  </si>
  <si>
    <t>Amount Raised Total</t>
  </si>
  <si>
    <t>Eligible Basis with Boost</t>
  </si>
  <si>
    <t>Units:</t>
  </si>
  <si>
    <t>TAX CREDIT ANAYLSIS*</t>
  </si>
  <si>
    <t>*This is an estimate; for actual raise and calculation, defer to LIHTC Investor</t>
  </si>
  <si>
    <t>LIHTC Application Fee</t>
  </si>
  <si>
    <t>Third Mortgage</t>
  </si>
  <si>
    <t>Fourth Mortgage</t>
  </si>
  <si>
    <t>3rd Loan</t>
  </si>
  <si>
    <t>4th Loan</t>
  </si>
  <si>
    <t>Mortgage Recorting Tax</t>
  </si>
  <si>
    <t>Social Service Reserve</t>
  </si>
  <si>
    <t>HPD Fee (if applicable)</t>
  </si>
  <si>
    <t>LIHTC Equity</t>
  </si>
  <si>
    <t>Accounting &amp; Cost Certification</t>
  </si>
  <si>
    <t>Additional Operating Reserve (if applicable)</t>
  </si>
  <si>
    <t>TAX EXEMPT</t>
  </si>
  <si>
    <t>Commercial Space</t>
  </si>
  <si>
    <t>Total Annual Rental Income upon occupancy</t>
  </si>
  <si>
    <t>First Mortgage (Lender:                                )</t>
  </si>
  <si>
    <t>Second Mortgage (Lender:                                )</t>
  </si>
  <si>
    <t>Third Mortgage (Lender:                                )</t>
  </si>
  <si>
    <t>Fourth Mortgage (Lender:                                )</t>
  </si>
  <si>
    <t>Developer Equity</t>
  </si>
  <si>
    <t>PROJECT NAME</t>
  </si>
  <si>
    <t>TRADE ITEM</t>
  </si>
  <si>
    <t>$ AMOUNT</t>
  </si>
  <si>
    <t>Demolition</t>
  </si>
  <si>
    <t>Environmental Remediation</t>
  </si>
  <si>
    <t>Landscaping / Site Work</t>
  </si>
  <si>
    <t>Concrete</t>
  </si>
  <si>
    <t>6a</t>
  </si>
  <si>
    <t>Masonry, pointing, waterproofing, steam cleaning</t>
  </si>
  <si>
    <t>6b</t>
  </si>
  <si>
    <t>Carpentry, rough</t>
  </si>
  <si>
    <t>Carpentry, finished</t>
  </si>
  <si>
    <t>Metals, structural steel</t>
  </si>
  <si>
    <t>Roofing</t>
  </si>
  <si>
    <t>Insulation</t>
  </si>
  <si>
    <t>Doors, frames, hardware</t>
  </si>
  <si>
    <t>Windows and glazing</t>
  </si>
  <si>
    <t>Entrance doors</t>
  </si>
  <si>
    <t>Drywall and plastering</t>
  </si>
  <si>
    <t>Ceramic tile</t>
  </si>
  <si>
    <t>Finish flooring</t>
  </si>
  <si>
    <t>Kitchen cabinets</t>
  </si>
  <si>
    <t>Heating and ventilation</t>
  </si>
  <si>
    <t>Plumbing</t>
  </si>
  <si>
    <t>Electrical</t>
  </si>
  <si>
    <t>Other:__________________</t>
  </si>
  <si>
    <t>Overhead</t>
  </si>
  <si>
    <t>Profit</t>
  </si>
  <si>
    <t>These calculations must match the architectural plans included in the proposal.</t>
  </si>
  <si>
    <t xml:space="preserve">TOTAL BUILT FLOOR AREA (Gross Square Feet): </t>
  </si>
  <si>
    <t>1. Residential Space</t>
  </si>
  <si>
    <t>2. Unfinished Basement</t>
  </si>
  <si>
    <t>3. Cellar</t>
  </si>
  <si>
    <t>4. Attics</t>
  </si>
  <si>
    <t>5. Mechanical / Utility Areas</t>
  </si>
  <si>
    <t>6. Garages</t>
  </si>
  <si>
    <t>7. Commercial Space</t>
  </si>
  <si>
    <t>8. Community Space</t>
  </si>
  <si>
    <t>9. Parking</t>
  </si>
  <si>
    <t>10. Other ___________________</t>
  </si>
  <si>
    <t>11. Subtotal Gross Square Feet</t>
  </si>
  <si>
    <t>Component 1</t>
  </si>
  <si>
    <t>Component 2</t>
  </si>
  <si>
    <t>Component 3</t>
  </si>
  <si>
    <t>All</t>
  </si>
  <si>
    <t>TOTAL DEVELOPMENT COST</t>
  </si>
  <si>
    <t>(Specify)</t>
  </si>
  <si>
    <t>Components</t>
  </si>
  <si>
    <t>Acquisition</t>
  </si>
  <si>
    <t>Soft Costs</t>
  </si>
  <si>
    <t>Developers Fee</t>
  </si>
  <si>
    <t>Construction Sources of Financing</t>
  </si>
  <si>
    <t>Equity</t>
  </si>
  <si>
    <t>Lender / Source</t>
  </si>
  <si>
    <t xml:space="preserve">   Cash Equity</t>
  </si>
  <si>
    <t xml:space="preserve">   Other  Source</t>
  </si>
  <si>
    <t>Total Equity</t>
  </si>
  <si>
    <t>Loans / Grants</t>
  </si>
  <si>
    <t xml:space="preserve">   Bank Construction Loan</t>
  </si>
  <si>
    <t xml:space="preserve">   Other Loan / Grant</t>
  </si>
  <si>
    <t>Total Loans / Grants</t>
  </si>
  <si>
    <t>Total Construction Sources</t>
  </si>
  <si>
    <t>Permanent Sources of Financing</t>
  </si>
  <si>
    <t>Sales Proceeds</t>
  </si>
  <si>
    <t>Total Permanent Sources</t>
  </si>
  <si>
    <t>Total Residential Units</t>
  </si>
  <si>
    <t>Gross Square Footage</t>
  </si>
  <si>
    <r>
      <t xml:space="preserve">Please provide the information below for the </t>
    </r>
    <r>
      <rPr>
        <b/>
        <u/>
        <sz val="10"/>
        <rFont val="Arial"/>
        <family val="2"/>
      </rPr>
      <t>entire project,</t>
    </r>
    <r>
      <rPr>
        <b/>
        <sz val="10"/>
        <rFont val="Arial"/>
        <family val="2"/>
      </rPr>
      <t xml:space="preserve"> including all separately financed rental and homeownership components.</t>
    </r>
  </si>
  <si>
    <r>
      <t xml:space="preserve">   Bank 1</t>
    </r>
    <r>
      <rPr>
        <vertAlign val="superscript"/>
        <sz val="10"/>
        <rFont val="Arial"/>
        <family val="2"/>
      </rPr>
      <t>st</t>
    </r>
    <r>
      <rPr>
        <sz val="10"/>
        <rFont val="Arial"/>
        <family val="2"/>
      </rPr>
      <t xml:space="preserve"> Mortgage</t>
    </r>
  </si>
  <si>
    <r>
      <t xml:space="preserve">   2</t>
    </r>
    <r>
      <rPr>
        <vertAlign val="superscript"/>
        <sz val="10"/>
        <rFont val="Arial"/>
        <family val="2"/>
      </rPr>
      <t>nd</t>
    </r>
    <r>
      <rPr>
        <sz val="10"/>
        <rFont val="Arial"/>
        <family val="2"/>
      </rPr>
      <t xml:space="preserve"> Mortgage</t>
    </r>
  </si>
  <si>
    <t>Source:</t>
  </si>
  <si>
    <t>2nd Construction</t>
  </si>
  <si>
    <t>3rd Construction</t>
  </si>
  <si>
    <t>1st - Short Term</t>
  </si>
  <si>
    <t>1st - Long Term</t>
  </si>
  <si>
    <t xml:space="preserve">SUBTOTAL </t>
  </si>
  <si>
    <t xml:space="preserve">GRAND TOTAL </t>
  </si>
  <si>
    <t>Developer Costs</t>
  </si>
  <si>
    <t>Second Mortgage</t>
  </si>
  <si>
    <t>Family of Four</t>
  </si>
  <si>
    <t>2 BR FMR</t>
  </si>
  <si>
    <t>Gas Allowance</t>
  </si>
  <si>
    <t>2 rooms</t>
  </si>
  <si>
    <t>studio</t>
  </si>
  <si>
    <t>3 rooms</t>
  </si>
  <si>
    <t>1 BR</t>
  </si>
  <si>
    <t>4 rooms</t>
  </si>
  <si>
    <t>2 BR</t>
  </si>
  <si>
    <t>5 rooms</t>
  </si>
  <si>
    <t>3 BR</t>
  </si>
  <si>
    <t>HH size</t>
  </si>
  <si>
    <t>HH factor</t>
  </si>
  <si>
    <t>max gross monthly rent</t>
  </si>
  <si>
    <t>rent less electricity</t>
  </si>
  <si>
    <t>max net monthly rent</t>
  </si>
  <si>
    <t>RESIDENTIAL INCOME</t>
  </si>
  <si>
    <t>Number of units</t>
  </si>
  <si>
    <t>Annual Rent</t>
  </si>
  <si>
    <t>HUD IL</t>
  </si>
  <si>
    <t>Unit size</t>
  </si>
  <si>
    <t>Total units</t>
  </si>
  <si>
    <t>annual + fringe</t>
  </si>
  <si>
    <t>Repairs/Replacement</t>
  </si>
  <si>
    <t>Other Expenses(Specify:_________)</t>
  </si>
  <si>
    <t>+___ bps cushion</t>
  </si>
  <si>
    <t xml:space="preserve">Fixed Rates </t>
  </si>
  <si>
    <t>SIFMA</t>
  </si>
  <si>
    <t xml:space="preserve">Carrying Costs </t>
  </si>
  <si>
    <t>(change link if assuming variable rate)</t>
  </si>
  <si>
    <t>Financing Fees (Please maintain links to original calculations and note any changes)</t>
  </si>
  <si>
    <t>HDC Fee (if applicable)</t>
  </si>
  <si>
    <t>HH income</t>
  </si>
  <si>
    <r>
      <t>Note:</t>
    </r>
    <r>
      <rPr>
        <sz val="12"/>
        <rFont val="Arial"/>
        <family val="2"/>
      </rPr>
      <t xml:space="preserve"> For market rate units, please hard code rents</t>
    </r>
  </si>
  <si>
    <t>Other (Specify:_________________)</t>
  </si>
  <si>
    <t>1 Bedroom</t>
  </si>
  <si>
    <t>2 Bedroom</t>
  </si>
  <si>
    <t>3 Bedroom</t>
  </si>
  <si>
    <t>Market Rate</t>
  </si>
  <si>
    <t>Instructions</t>
  </si>
  <si>
    <t xml:space="preserve">Applicants should provide separate pro formas for each component of a project that will be separately financed. </t>
  </si>
  <si>
    <t>Please complete this pro forma for the rental component of your project.  Fill in the cells shaded blue.  Keep cells linked and maintain calculations.  If you modify given assumptions, please clearly note the changes.</t>
  </si>
  <si>
    <t>2nd Loan Constant</t>
  </si>
  <si>
    <t>3rd Loan Constant</t>
  </si>
  <si>
    <t>4th Loan Constant</t>
  </si>
  <si>
    <t>Enter 1st Mortgage Amount from Cell H30 here</t>
  </si>
  <si>
    <t>of TDC less Dev Fee</t>
  </si>
  <si>
    <t>of LOC amt</t>
  </si>
  <si>
    <t xml:space="preserve">of LOC amt </t>
  </si>
  <si>
    <t>of HDC cons 1st</t>
  </si>
  <si>
    <t>Site:</t>
  </si>
  <si>
    <t>Combined DSCR</t>
  </si>
  <si>
    <t>1st Mort DSCR</t>
  </si>
  <si>
    <t>1st Loan Reduction</t>
  </si>
  <si>
    <t>utility allowance</t>
  </si>
  <si>
    <t>Number of TC Units</t>
  </si>
  <si>
    <t>Residential GSF</t>
  </si>
  <si>
    <t>Commercial GSF</t>
  </si>
  <si>
    <t>Community GSF</t>
  </si>
  <si>
    <t>Parking GSF</t>
  </si>
  <si>
    <t>Efficiency</t>
  </si>
  <si>
    <t>NSF</t>
  </si>
  <si>
    <t>Total Project NSF</t>
  </si>
  <si>
    <t>GSF</t>
  </si>
  <si>
    <t>Total Project GSF</t>
  </si>
  <si>
    <t>Pro Forma Assumptions</t>
  </si>
  <si>
    <t>Total Conventional Debt</t>
  </si>
  <si>
    <t>Total Volume Cap Bonds</t>
  </si>
  <si>
    <t>Total Recycled Bonds</t>
  </si>
  <si>
    <t>Total Taxable Bonds</t>
  </si>
  <si>
    <t>Total Residential Hard Costs PSF</t>
  </si>
  <si>
    <t>Total Commercial Hard Costs PSF</t>
  </si>
  <si>
    <t>Total Community Hard Costs PSF</t>
  </si>
  <si>
    <t>Total Parking Hard Costs PSF</t>
  </si>
  <si>
    <t>Total Other Hard Costs PSF</t>
  </si>
  <si>
    <t>Total Hard Costs w/Contingency PSF</t>
  </si>
  <si>
    <t>Source Additional Info</t>
  </si>
  <si>
    <t>% of Developer Fee Deferred during Construction</t>
  </si>
  <si>
    <t>Costs</t>
  </si>
  <si>
    <t>LOC Ongoing Fee % (if any)</t>
  </si>
  <si>
    <t>LOC Upfront Fee % (if any)</t>
  </si>
  <si>
    <t>Soft Costs as a % of TDC</t>
  </si>
  <si>
    <t>Developer Fee as a % of TDC</t>
  </si>
  <si>
    <t>Total Construction Period (months)</t>
  </si>
  <si>
    <t>Other Assumptions</t>
  </si>
  <si>
    <t>Total building stories</t>
  </si>
  <si>
    <t>Total Parking Spaces</t>
  </si>
  <si>
    <t>Cash Flow Income Inflator %</t>
  </si>
  <si>
    <t>Cash Flow Expense Inflator %</t>
  </si>
  <si>
    <t>Units &amp; Income</t>
  </si>
  <si>
    <t>% of Units with 2 or more bedrooms</t>
  </si>
  <si>
    <t>LIHTC Raise (e.g.- $0.00)</t>
  </si>
  <si>
    <t>Assumed LIHTC Rate</t>
  </si>
  <si>
    <t>Total Permanent Period (years)</t>
  </si>
  <si>
    <t>Senior Loan Construction Interest Rate %</t>
  </si>
  <si>
    <t>Senior Loan Permanent All-in Interest Rate %</t>
  </si>
  <si>
    <t>Assumed Permanent Enhancement Type (text)</t>
  </si>
  <si>
    <t>% of Units with rents set at or below 30% AMI</t>
  </si>
  <si>
    <t>% of Units with rents set at 31-40% AMI</t>
  </si>
  <si>
    <t>% of Units with rents set at 41-50% AMI</t>
  </si>
  <si>
    <t>% of Units with rents set at 51-60% AMI</t>
  </si>
  <si>
    <t>% of Units with rents set at 61-70% AMI</t>
  </si>
  <si>
    <t>% of Units with rents set at 71-80% AMI</t>
  </si>
  <si>
    <t>% of Units with rents set at 81-90% AMI</t>
  </si>
  <si>
    <t>% of Units with rents set at 91% of AMI or above</t>
  </si>
  <si>
    <t># of Super Units</t>
  </si>
  <si>
    <t>Total Rental Units (non inc. Super Units)</t>
  </si>
  <si>
    <t xml:space="preserve">% of Units with market rents </t>
  </si>
  <si>
    <t>% of affordable Units</t>
  </si>
  <si>
    <t>Non-Residential Income as % of Total</t>
  </si>
  <si>
    <t>Commercial Income PSF</t>
  </si>
  <si>
    <t>Parking Income Per Legal Space</t>
  </si>
  <si>
    <t>Community Income PSF</t>
  </si>
  <si>
    <t>Please feel free to list any other critical assumptions not included below:</t>
  </si>
  <si>
    <t xml:space="preserve">% of Units with homeless set-aside </t>
  </si>
  <si>
    <t>Parking Type (i.e.- surface, covered, garage)</t>
  </si>
  <si>
    <t xml:space="preserve">***Please do not alter worksheet placement/order of cells </t>
  </si>
  <si>
    <t>Operating Assumptions</t>
  </si>
  <si>
    <t>Total M&amp;O Per Unit</t>
  </si>
  <si>
    <t>Total Taxes Per Unit</t>
  </si>
  <si>
    <t xml:space="preserve">Tax Abatement Type </t>
  </si>
  <si>
    <t>NY State Bond Issuance Charge</t>
  </si>
  <si>
    <t>Assumed Construction Enhancement Type (text)</t>
  </si>
  <si>
    <t>Total HPD Subsidy Per Unit</t>
  </si>
  <si>
    <t>Total HDC Subsidy Per Unit</t>
  </si>
  <si>
    <t>Total Other Source Subsidy Per Unit</t>
  </si>
  <si>
    <t>Tax Exemption/Abatement Fees &amp; Consultant</t>
  </si>
  <si>
    <t>Eligible Basis per TC Unit</t>
  </si>
  <si>
    <t>Eligible Basis</t>
  </si>
  <si>
    <t>Gap/(Surplus)</t>
  </si>
  <si>
    <t>Parking (Monthly Parkers)</t>
  </si>
  <si>
    <t>Total Parking</t>
  </si>
  <si>
    <t>Transient Parkers</t>
  </si>
  <si>
    <t>Electricity (No Electric Stove) Allowance</t>
  </si>
  <si>
    <t>Affordability Summary</t>
  </si>
  <si>
    <t>Shelter Rent</t>
  </si>
  <si>
    <t>Our Space With Shelter Rents</t>
  </si>
  <si>
    <t>Select Utility Allowance</t>
  </si>
  <si>
    <t>Electricity (WITH Electric Stove) Allowance</t>
  </si>
  <si>
    <t>No Utilities</t>
  </si>
  <si>
    <t>Electricity &amp; Gas Allowance</t>
  </si>
  <si>
    <t>Tax Credit Monitoring</t>
  </si>
  <si>
    <t>per building</t>
  </si>
  <si>
    <t>Non-Union</t>
  </si>
  <si>
    <t>F/T Super</t>
  </si>
  <si>
    <t>*Required: 1 F/T staff per 65 units</t>
  </si>
  <si>
    <t>F/T Porter</t>
  </si>
  <si>
    <t>Our Space</t>
  </si>
  <si>
    <t>Management Fee</t>
  </si>
  <si>
    <t>Accessory Tenant Common Areas</t>
  </si>
  <si>
    <t xml:space="preserve">Project Name: </t>
  </si>
  <si>
    <t>Electric with Electric Stove</t>
  </si>
  <si>
    <t>Electricity Allowance</t>
  </si>
  <si>
    <t>Total (Electric plus Gas)</t>
  </si>
  <si>
    <t>for a family of four</t>
  </si>
  <si>
    <t>Rent Burden</t>
  </si>
  <si>
    <t>4 BR</t>
  </si>
  <si>
    <t>5 BR</t>
  </si>
  <si>
    <t>As of:</t>
  </si>
  <si>
    <t>per NYCHA (all Unit Types)</t>
  </si>
  <si>
    <t>PROJECT TYPE (select below)</t>
  </si>
  <si>
    <t>New Construction/Special Needs</t>
  </si>
  <si>
    <t>***0.6 HH Factor for New Construction/Special Needs only applies to projects that comply with HPD’s new Design Guidelines***</t>
  </si>
  <si>
    <t>of AMI</t>
  </si>
  <si>
    <t>Tenant Pays</t>
  </si>
  <si>
    <t>Electric (No Electric Stove)</t>
  </si>
  <si>
    <t>Gas Only</t>
  </si>
  <si>
    <t>Gas &amp; Electricity</t>
  </si>
  <si>
    <t>HH Size</t>
  </si>
  <si>
    <t>HH Factor</t>
  </si>
  <si>
    <t>Limit</t>
  </si>
  <si>
    <t>Hot Water</t>
  </si>
  <si>
    <t>Benchmarking Expense</t>
  </si>
  <si>
    <t>ADMINISTRATIVE</t>
  </si>
  <si>
    <t>UTILITIES</t>
  </si>
  <si>
    <t>Heating</t>
  </si>
  <si>
    <t>Electric (common areas)</t>
  </si>
  <si>
    <t>Water &amp; Sewer</t>
  </si>
  <si>
    <t>Broadband</t>
  </si>
  <si>
    <t>MAINTENANCE</t>
  </si>
  <si>
    <t>Super &amp; Maintenance Salaries</t>
  </si>
  <si>
    <t xml:space="preserve">Building Reserve </t>
  </si>
  <si>
    <t>OTHER</t>
  </si>
  <si>
    <t>Gas</t>
  </si>
  <si>
    <t>Electric Heat Pump</t>
  </si>
  <si>
    <t>See table at right</t>
  </si>
  <si>
    <t>Obtain quote</t>
  </si>
  <si>
    <t>Per Room</t>
  </si>
  <si>
    <t>Per Unit</t>
  </si>
  <si>
    <t>Prevailing Wage</t>
  </si>
  <si>
    <t>Super &amp; Maintenance (with multiplier)</t>
  </si>
  <si>
    <t>HDC Servicing Fee</t>
  </si>
  <si>
    <t>of perm loan</t>
  </si>
  <si>
    <r>
      <rPr>
        <b/>
        <sz val="10"/>
        <rFont val="Arial"/>
        <family val="2"/>
      </rPr>
      <t>HPD 9%</t>
    </r>
    <r>
      <rPr>
        <sz val="10"/>
        <rFont val="Arial"/>
        <family val="2"/>
      </rPr>
      <t>: $25 per Tax Credit Unit</t>
    </r>
  </si>
  <si>
    <t>6.5% (8% for SHLP)</t>
  </si>
  <si>
    <t>per unit/building</t>
  </si>
  <si>
    <t>Projects with Gas Hot Water</t>
  </si>
  <si>
    <t>Projects with Heat Pump Hot Water</t>
  </si>
  <si>
    <t>of senior perm loan</t>
  </si>
  <si>
    <t>Construction Interest (Paid)</t>
  </si>
  <si>
    <t>Construction Interest (Deferred)</t>
  </si>
  <si>
    <t>Deferred Rate</t>
  </si>
  <si>
    <t>Paid Interest</t>
  </si>
  <si>
    <t>Deferred Interest</t>
  </si>
  <si>
    <t>Paid</t>
  </si>
  <si>
    <t>Deferred</t>
  </si>
  <si>
    <t>AFR</t>
  </si>
  <si>
    <t>Servicing Fee</t>
  </si>
  <si>
    <t>Deferred Reserves</t>
  </si>
  <si>
    <t>Development Team:</t>
  </si>
  <si>
    <t>Applicants must provide these forms in Excel file format.</t>
  </si>
  <si>
    <t>General Requirements</t>
  </si>
  <si>
    <t>2a</t>
  </si>
  <si>
    <t>2b</t>
  </si>
  <si>
    <t>4a</t>
  </si>
  <si>
    <t>7a</t>
  </si>
  <si>
    <t>7b</t>
  </si>
  <si>
    <t>8a</t>
  </si>
  <si>
    <t>8b</t>
  </si>
  <si>
    <t>8c</t>
  </si>
  <si>
    <t>9a</t>
  </si>
  <si>
    <t>9b</t>
  </si>
  <si>
    <t>9c</t>
  </si>
  <si>
    <t>9d</t>
  </si>
  <si>
    <t>15a</t>
  </si>
  <si>
    <t>15b</t>
  </si>
  <si>
    <t>12a</t>
  </si>
  <si>
    <t>12b</t>
  </si>
  <si>
    <t>Appliances</t>
  </si>
  <si>
    <t xml:space="preserve">Financing Submission Template </t>
  </si>
  <si>
    <t>2025 Area Median Income</t>
  </si>
  <si>
    <t>4th Construction</t>
  </si>
  <si>
    <t>2025 HUD Income Limits</t>
  </si>
  <si>
    <t>2025 HDC Maintenance &amp; Operating Standards for New Construction</t>
  </si>
  <si>
    <r>
      <rPr>
        <b/>
        <sz val="10"/>
        <rFont val="Arial"/>
        <family val="2"/>
      </rPr>
      <t>4% with HDC</t>
    </r>
    <r>
      <rPr>
        <sz val="10"/>
        <rFont val="Arial"/>
        <family val="2"/>
      </rPr>
      <t>: Per Building: $100 + Unit Fee of 0.75% of Tax Credit Rents. Unit Fee portion capped at $12,500 if ≤150 units, or $17,500 if &gt;150 units</t>
    </r>
  </si>
  <si>
    <t>Also posted at: https://www.nyc.gov/site/hpd/services-and-information/underwriting-electric-high-performance-buildings.page</t>
  </si>
  <si>
    <t>Electric VRF or PTHP</t>
  </si>
  <si>
    <t>Passive House Electric VRF or PTHP</t>
  </si>
  <si>
    <r>
      <t xml:space="preserve">Thank you for your interest in New Construction Finance and Special Needs Housing programs at HPD! This form will provide our team with critical information used to review your proposed project.  Please fill out all items as applicable to your proposal </t>
    </r>
    <r>
      <rPr>
        <sz val="11"/>
        <color theme="1"/>
        <rFont val="Calibri"/>
        <family val="2"/>
      </rPr>
      <t xml:space="preserve">(fill in </t>
    </r>
    <r>
      <rPr>
        <b/>
        <u/>
        <sz val="11"/>
        <color theme="3" tint="0.39997558519241921"/>
        <rFont val="Calibri"/>
        <family val="2"/>
      </rPr>
      <t>blue</t>
    </r>
    <r>
      <rPr>
        <sz val="11"/>
        <color theme="1"/>
        <rFont val="Calibri"/>
        <family val="2"/>
      </rPr>
      <t xml:space="preserve"> cells, do not overwrite </t>
    </r>
    <r>
      <rPr>
        <b/>
        <u/>
        <sz val="11"/>
        <color theme="1" tint="0.249977111117893"/>
        <rFont val="Calibri"/>
        <family val="2"/>
      </rPr>
      <t>gray</t>
    </r>
    <r>
      <rPr>
        <sz val="11"/>
        <color theme="1"/>
        <rFont val="Calibri"/>
        <family val="2"/>
      </rPr>
      <t xml:space="preserve"> cells unless absolutely necessary)</t>
    </r>
  </si>
  <si>
    <t>Version: July 2025</t>
  </si>
  <si>
    <t>Project Name</t>
  </si>
  <si>
    <t>Date of Proposal Submission</t>
  </si>
  <si>
    <t>In addition to completing this form, please submit the materials below, if available.</t>
  </si>
  <si>
    <t>All listed materials will be required to complete proposal review.</t>
  </si>
  <si>
    <r>
      <rPr>
        <b/>
        <sz val="11"/>
        <color rgb="FF000000"/>
        <rFont val="Calibri"/>
        <family val="2"/>
      </rPr>
      <t xml:space="preserve">1. Budget: </t>
    </r>
    <r>
      <rPr>
        <sz val="11"/>
        <color rgb="FF000000"/>
        <rFont val="Calibri"/>
        <family val="2"/>
      </rPr>
      <t>this underwriting template, with all tabs completed</t>
    </r>
  </si>
  <si>
    <r>
      <rPr>
        <b/>
        <sz val="11"/>
        <color rgb="FF000000"/>
        <rFont val="Calibri"/>
        <family val="2"/>
      </rPr>
      <t>2. Appraisal</t>
    </r>
    <r>
      <rPr>
        <sz val="11"/>
        <color rgb="FF000000"/>
        <rFont val="Calibri"/>
        <family val="2"/>
      </rPr>
      <t xml:space="preserve"> demonstrating valuation of the site</t>
    </r>
  </si>
  <si>
    <r>
      <rPr>
        <b/>
        <sz val="11"/>
        <color rgb="FF000000"/>
        <rFont val="Calibri"/>
        <family val="2"/>
      </rPr>
      <t>5. Schematic Designs:</t>
    </r>
    <r>
      <rPr>
        <sz val="11"/>
        <color rgb="FF000000"/>
        <rFont val="Calibri"/>
        <family val="2"/>
      </rPr>
      <t xml:space="preserve"> site plan, elevations, floor plans (including cellar and roof)</t>
    </r>
  </si>
  <si>
    <r>
      <rPr>
        <b/>
        <sz val="11"/>
        <color rgb="FF000000"/>
        <rFont val="Calibri"/>
        <family val="2"/>
      </rPr>
      <t>8. If proposing supportive services (15/15, ESSHI, or another program), social service award or service plan:</t>
    </r>
    <r>
      <rPr>
        <sz val="11"/>
        <color rgb="FF000000"/>
        <rFont val="Calibri"/>
        <family val="2"/>
      </rPr>
      <t xml:space="preserve"> If no award, sponsor should submit narrative on proposed population and expected sources of funding.</t>
    </r>
  </si>
  <si>
    <r>
      <t xml:space="preserve">9. Community Support: </t>
    </r>
    <r>
      <rPr>
        <sz val="11"/>
        <color rgb="FF000000"/>
        <rFont val="Calibri"/>
        <family val="2"/>
      </rPr>
      <t xml:space="preserve">SHLP projects should present to the community board prior to completing the intake process. All other projects may provide </t>
    </r>
    <r>
      <rPr>
        <u/>
        <sz val="11"/>
        <color rgb="FF000000"/>
        <rFont val="Calibri"/>
        <family val="2"/>
      </rPr>
      <t>either</t>
    </r>
    <r>
      <rPr>
        <sz val="11"/>
        <color rgb="FF000000"/>
        <rFont val="Calibri"/>
        <family val="2"/>
      </rPr>
      <t xml:space="preserve"> evidence of community board engagement </t>
    </r>
    <r>
      <rPr>
        <u/>
        <sz val="11"/>
        <color rgb="FF000000"/>
        <rFont val="Calibri"/>
        <family val="2"/>
      </rPr>
      <t>or</t>
    </r>
    <r>
      <rPr>
        <sz val="11"/>
        <color rgb="FF000000"/>
        <rFont val="Calibri"/>
        <family val="2"/>
      </rPr>
      <t xml:space="preserve"> a plan and timeline for outreach to the community board prior to closing. CB </t>
    </r>
    <r>
      <rPr>
        <i/>
        <sz val="11"/>
        <color rgb="FF000000"/>
        <rFont val="Calibri"/>
        <family val="2"/>
      </rPr>
      <t>approval</t>
    </r>
    <r>
      <rPr>
        <sz val="11"/>
        <color rgb="FF000000"/>
        <rFont val="Calibri"/>
        <family val="2"/>
      </rPr>
      <t xml:space="preserve"> is not an intake-related requirement.</t>
    </r>
  </si>
  <si>
    <t xml:space="preserve">Project Description </t>
  </si>
  <si>
    <t>Development Team</t>
  </si>
  <si>
    <t>Developer(s) / Sponsor(s)</t>
  </si>
  <si>
    <t>Please describe developer’s experience developing and operating affordable housing, especially projects with NYC HPD. (Number of projects, units, programs, etc.) Provide attachment if available</t>
  </si>
  <si>
    <t>General Contractor</t>
  </si>
  <si>
    <t>Architect</t>
  </si>
  <si>
    <t>Property Manager</t>
  </si>
  <si>
    <t>Tenant Service Provider (if applicable)</t>
  </si>
  <si>
    <t>Project Summary &amp; Location</t>
  </si>
  <si>
    <t>Gray Cells: Use "Units &amp; Income" tabs to populate.</t>
  </si>
  <si>
    <t>Address</t>
  </si>
  <si>
    <t>Borough</t>
  </si>
  <si>
    <t>BBL(s)</t>
  </si>
  <si>
    <t>Neighborhood</t>
  </si>
  <si>
    <t>Community Board</t>
  </si>
  <si>
    <t>Councilmember</t>
  </si>
  <si>
    <t>Council District</t>
  </si>
  <si>
    <t>NYS Senator</t>
  </si>
  <si>
    <t>NYS Senate District</t>
  </si>
  <si>
    <t>NYS Assembly member</t>
  </si>
  <si>
    <t>NYS Assembly District</t>
  </si>
  <si>
    <t># of Buildings</t>
  </si>
  <si>
    <t># of Stories</t>
  </si>
  <si>
    <t># of Affordable Units</t>
  </si>
  <si>
    <t>Construction Type</t>
  </si>
  <si>
    <t># of Market Units</t>
  </si>
  <si>
    <t>New Const/Rehab</t>
  </si>
  <si>
    <t># of Units (total)</t>
  </si>
  <si>
    <t>SF Commercial/CF space</t>
  </si>
  <si>
    <t>Income Generating CF GSF</t>
  </si>
  <si>
    <t>Residential Amenity/ Community Space GSF</t>
  </si>
  <si>
    <t>Super's Unit Type (# bds)</t>
  </si>
  <si>
    <t># studios</t>
  </si>
  <si>
    <t># Super's Units</t>
  </si>
  <si>
    <t># 1BRs</t>
  </si>
  <si>
    <t>Describe Income Mix</t>
  </si>
  <si>
    <t># 2BRs</t>
  </si>
  <si>
    <t># 3BRs</t>
  </si>
  <si>
    <t>Have you discussed project with CB or electeds?  If so, please describe. What was date of last update?</t>
  </si>
  <si>
    <t>Acquisition Information</t>
  </si>
  <si>
    <t>Gray Cells: Use "Dev Budget" and "Units &amp; Income" tabs to populate.</t>
  </si>
  <si>
    <t>Current Owner (if pending acquisition) / Previous Owner (if already acquired)</t>
  </si>
  <si>
    <t>Current Land Use</t>
  </si>
  <si>
    <t>(Vacant, Improved, etc)</t>
  </si>
  <si>
    <t>Acqusition Date</t>
  </si>
  <si>
    <t>Fee Simple or Ground Lease Ownership Proposed?</t>
  </si>
  <si>
    <t>Acquisition Price (gross)</t>
  </si>
  <si>
    <t>Appraised Value ($)</t>
  </si>
  <si>
    <t>...(per GSF)</t>
  </si>
  <si>
    <t>Outstanding Mortgages (Borrower, Lender, year, amount)</t>
  </si>
  <si>
    <t>Landmarked (Y/N)?</t>
  </si>
  <si>
    <t>Acquisition Financing Proposed (lender)?</t>
  </si>
  <si>
    <t>NYCAF Proposed? (Y/N)</t>
  </si>
  <si>
    <t>Has the site ever been City-owned (Y/N)?</t>
  </si>
  <si>
    <t xml:space="preserve">Existing Regulatory/Deed Restrictions? (Including, but not limited to, NYC/NYS/HUD regulatory restrictions.) </t>
  </si>
  <si>
    <t>Any units SRO Restricted?</t>
  </si>
  <si>
    <t>Faith-Based Org Involvement (Y/N)? If yes, has AG approval been requested and/or received?</t>
  </si>
  <si>
    <t>Assemblage with City-owned site proposed? (Y/N)</t>
  </si>
  <si>
    <t>Explain any additional site history, site control status, existing conditions, or other applicable details.</t>
  </si>
  <si>
    <t>Financing Information</t>
  </si>
  <si>
    <t>Proposed HPD Financing Program</t>
  </si>
  <si>
    <t>Rental Assistance Program(s) Proposed?</t>
  </si>
  <si>
    <t>LIHTC? (4%/9%)</t>
  </si>
  <si>
    <t>QCT/DDA?</t>
  </si>
  <si>
    <t>Tax Exemption Proposed? If so, which?</t>
  </si>
  <si>
    <t>Other Tax Credit Programs? (SLIHC, Solar, NYS Brownfields, etc.)</t>
  </si>
  <si>
    <t>NYSERDA?</t>
  </si>
  <si>
    <t>Other Incentive Programs or Financing Sources?</t>
  </si>
  <si>
    <t>Which social service program is anticipated? Please note if you already have an award. (If proposing supportive services - eg: 15/15, ESSHI, or another program.)</t>
  </si>
  <si>
    <t>Zoning &amp; Design</t>
  </si>
  <si>
    <t>Gray Cells: Use "Units &amp; Income" tab to populate.</t>
  </si>
  <si>
    <t>Lot SF</t>
  </si>
  <si>
    <t>Zoning District(s)</t>
  </si>
  <si>
    <t>Total Building GSF</t>
  </si>
  <si>
    <t>Rezoning Contemplated? (If yes, what zoning is proposed)</t>
  </si>
  <si>
    <t>Maximum FAR</t>
  </si>
  <si>
    <t>Proposed FAR</t>
  </si>
  <si>
    <t>Inclusionary Housing? If yes, VIH or MIH?  If MIH, what option?</t>
  </si>
  <si>
    <t xml:space="preserve">Universal Affordability Preference (UAP) or Affordable Independent Residences for Seniors (AIRS)? </t>
  </si>
  <si>
    <t>Transit Zone (specify type)?</t>
  </si>
  <si>
    <t>Inside City Rezoning Area?</t>
  </si>
  <si>
    <t>Other Land Use Actions Required? Describe any required public approvals (rezoning, DCP Waterfront Cert, site conveyance, tax exemption, mayoral override, BSA) and timeline for approval.</t>
  </si>
  <si>
    <t>Parking Required/Proposed? (if yes, describe)</t>
  </si>
  <si>
    <t>Climate Resiliency</t>
  </si>
  <si>
    <t>Site located within the current PFIRM 1% annual chance floodplain?</t>
  </si>
  <si>
    <t>Site located within the Future 2080s 1% annual chance floodplain?</t>
  </si>
  <si>
    <t>Map Link</t>
  </si>
  <si>
    <t>Site adjacent to the Extreme Stormwater Flood (2080s Sea Level Rise) area?</t>
  </si>
  <si>
    <t>Site located within area with Heat Vulnerability Index area of 4 or 5?</t>
  </si>
  <si>
    <t>Environmental Information</t>
  </si>
  <si>
    <t>Phase 1 complete? (Y/N) If complete, are there any Recognized Environmental Conditions to disclose and are these reflected in the project budget?</t>
  </si>
  <si>
    <t>E-Designations? (list type(s))</t>
  </si>
  <si>
    <t>Demolition Required? Describe proposed site prep prior to closing (if any).</t>
  </si>
  <si>
    <t xml:space="preserve">Existing Buildings / Uses on Site? </t>
  </si>
  <si>
    <t>MTA Approval Required? (Y/N)</t>
  </si>
  <si>
    <t>Other Site Work Required? Describe the permits &amp; approvals for DOB, DEP, MTA, etc., and explain any overrides requested.</t>
  </si>
  <si>
    <t>Net Cash Flow after Sweep</t>
  </si>
  <si>
    <t>Operating Reserve Sweep</t>
  </si>
  <si>
    <t>Deferred Developer Fee</t>
  </si>
  <si>
    <t>Net Cash Flow after Deferred Fee</t>
  </si>
  <si>
    <t>15-Year Net Cash Flow</t>
  </si>
  <si>
    <t>Total Deferred Developer Fee</t>
  </si>
  <si>
    <t>I:E</t>
  </si>
  <si>
    <t>DSCR</t>
  </si>
  <si>
    <t>Investor Ownership Percentage</t>
  </si>
  <si>
    <r>
      <rPr>
        <b/>
        <sz val="11"/>
        <color rgb="FF000000"/>
        <rFont val="Calibri"/>
        <family val="2"/>
      </rPr>
      <t>4. Market Study.</t>
    </r>
    <r>
      <rPr>
        <sz val="11"/>
        <color rgb="FF000000"/>
        <rFont val="Calibri"/>
        <family val="2"/>
      </rPr>
      <t xml:space="preserve"> At HPD's discretion, rent comparables can be submitted in lieu of a formal market study. Provide market comps for residential rents and for any proposed non-residential uses (Commercial, Community Facility, Parking, etc)</t>
    </r>
  </si>
  <si>
    <r>
      <t xml:space="preserve">3. Purchase and Sale Agreement: </t>
    </r>
    <r>
      <rPr>
        <sz val="11"/>
        <color rgb="FF000000"/>
        <rFont val="Calibri"/>
        <family val="2"/>
      </rPr>
      <t>draft or executed PSA (or other evidence of site control)</t>
    </r>
  </si>
  <si>
    <r>
      <t>6. Zoning Analysis:</t>
    </r>
    <r>
      <rPr>
        <sz val="11"/>
        <color rgb="FF000000"/>
        <rFont val="Calibri"/>
        <family val="2"/>
      </rPr>
      <t xml:space="preserve"> Current and/or proposed zoning with calculations.</t>
    </r>
  </si>
  <si>
    <r>
      <t xml:space="preserve">7. Organizational Chart: </t>
    </r>
    <r>
      <rPr>
        <sz val="11"/>
        <color rgb="FF000000"/>
        <rFont val="Calibri"/>
        <family val="2"/>
      </rPr>
      <t>showing proposed transaction ownership structure, including all developer principals</t>
    </r>
  </si>
  <si>
    <r>
      <t>Other source (Specify:</t>
    </r>
    <r>
      <rPr>
        <sz val="12"/>
        <color rgb="FF000000"/>
        <rFont val="Arial"/>
        <family val="2"/>
      </rPr>
      <t xml:space="preserve">                                </t>
    </r>
    <r>
      <rPr>
        <sz val="12"/>
        <color indexed="8"/>
        <rFont val="Arial"/>
        <family val="2"/>
      </rPr>
      <t>)</t>
    </r>
  </si>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</sst>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_)"/>
    <numFmt numFmtId="165" formatCode="mm/dd/yy_)"/>
    <numFmt numFmtId="166" formatCode="dd\-mmm\-yy_)"/>
    <numFmt numFmtId="167" formatCode="0.000000%"/>
    <numFmt numFmtId="168" formatCode="0.0%"/>
    <numFmt numFmtId="169" formatCode="_(&quot;$&quot;* #,##0_);_(&quot;$&quot;* \(#,##0\);_(&quot;$&quot;* &quot;-&quot;??_);_(@_)"/>
    <numFmt numFmtId="170" formatCode="&quot;$&quot;#,##0"/>
    <numFmt numFmtId="171" formatCode="0.0"/>
    <numFmt numFmtId="172" formatCode="0.000%"/>
    <numFmt numFmtId="173" formatCode="_(* #,##0_);_(* \(#,##0\);_(* &quot;-&quot;??_);_(@_)"/>
    <numFmt numFmtId="174" formatCode="#,##0.000_);\(#,##0.000\)"/>
    <numFmt numFmtId="175" formatCode="&quot;$&quot;#,##0.00"/>
    <numFmt numFmtId="176" formatCode="&quot;Income Limits &amp; Rents at &quot;0%\ &quot;AMI&quot;"/>
    <numFmt numFmtId="177" formatCode="&quot;Income Limits &amp; Rents at &quot;0%\ &quot;of AMI&quot;"/>
    <numFmt numFmtId="178" formatCode="0%\ &quot;of AMI&quot;"/>
    <numFmt numFmtId="179" formatCode="&quot;Year&quot;\ #"/>
    <numFmt numFmtId="180" formatCode="##&quot; Years&quot;"/>
  </numFmts>
  <fonts count="74">
    <font>
      <sz val="12"/>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color indexed="8"/>
      <name val="Arial"/>
      <family val="2"/>
    </font>
    <font>
      <sz val="12"/>
      <color indexed="8"/>
      <name val="Arial"/>
      <family val="2"/>
    </font>
    <font>
      <b/>
      <sz val="18"/>
      <color indexed="8"/>
      <name val="Arial"/>
      <family val="2"/>
    </font>
    <font>
      <b/>
      <u/>
      <sz val="12"/>
      <color indexed="8"/>
      <name val="Arial"/>
      <family val="2"/>
    </font>
    <font>
      <b/>
      <u/>
      <sz val="18"/>
      <color indexed="8"/>
      <name val="Arial"/>
      <family val="2"/>
    </font>
    <font>
      <sz val="12"/>
      <color indexed="8"/>
      <name val="Arial"/>
      <family val="2"/>
    </font>
    <font>
      <sz val="10"/>
      <color indexed="8"/>
      <name val="Arial"/>
      <family val="2"/>
    </font>
    <font>
      <sz val="10"/>
      <color indexed="12"/>
      <name val="Arial"/>
      <family val="2"/>
    </font>
    <font>
      <b/>
      <sz val="12"/>
      <color indexed="8"/>
      <name val="SWISS"/>
      <family val="2"/>
    </font>
    <font>
      <sz val="12"/>
      <color indexed="8"/>
      <name val="SWISS"/>
      <family val="2"/>
    </font>
    <font>
      <sz val="10"/>
      <color indexed="8"/>
      <name val="SWISS"/>
      <family val="2"/>
    </font>
    <font>
      <b/>
      <sz val="12"/>
      <name val="Arial"/>
      <family val="2"/>
    </font>
    <font>
      <sz val="10"/>
      <name val="Arial MT"/>
    </font>
    <font>
      <sz val="12"/>
      <name val="Arial"/>
      <family val="2"/>
    </font>
    <font>
      <u/>
      <sz val="12"/>
      <color indexed="8"/>
      <name val="Arial"/>
      <family val="2"/>
    </font>
    <font>
      <sz val="9"/>
      <color indexed="8"/>
      <name val="Arial"/>
      <family val="2"/>
    </font>
    <font>
      <b/>
      <sz val="10"/>
      <color indexed="8"/>
      <name val="Arial"/>
      <family val="2"/>
    </font>
    <font>
      <sz val="12"/>
      <name val="Arial"/>
      <family val="2"/>
    </font>
    <font>
      <sz val="10"/>
      <name val="Arial"/>
      <family val="2"/>
    </font>
    <font>
      <b/>
      <sz val="12"/>
      <color indexed="10"/>
      <name val="Arial"/>
      <family val="2"/>
    </font>
    <font>
      <sz val="10"/>
      <color indexed="8"/>
      <name val="Arial"/>
      <family val="2"/>
    </font>
    <font>
      <u/>
      <sz val="12"/>
      <name val="Arial"/>
      <family val="2"/>
    </font>
    <font>
      <i/>
      <sz val="12"/>
      <color indexed="8"/>
      <name val="Arial"/>
      <family val="2"/>
    </font>
    <font>
      <u val="singleAccounting"/>
      <sz val="12"/>
      <color indexed="8"/>
      <name val="Arial"/>
      <family val="2"/>
    </font>
    <font>
      <sz val="8"/>
      <name val="Arial"/>
      <family val="2"/>
    </font>
    <font>
      <b/>
      <i/>
      <u/>
      <sz val="12"/>
      <color indexed="8"/>
      <name val="Arial"/>
      <family val="2"/>
    </font>
    <font>
      <b/>
      <i/>
      <sz val="12"/>
      <color indexed="8"/>
      <name val="Arial"/>
      <family val="2"/>
    </font>
    <font>
      <b/>
      <i/>
      <sz val="12"/>
      <name val="Arial"/>
      <family val="2"/>
    </font>
    <font>
      <sz val="8"/>
      <name val="Arial"/>
      <family val="2"/>
    </font>
    <font>
      <i/>
      <sz val="12"/>
      <name val="Arial"/>
      <family val="2"/>
    </font>
    <font>
      <b/>
      <sz val="11"/>
      <color indexed="9"/>
      <name val="Arial"/>
      <family val="2"/>
    </font>
    <font>
      <b/>
      <sz val="10"/>
      <name val="Arial"/>
      <family val="2"/>
    </font>
    <font>
      <b/>
      <u/>
      <sz val="10"/>
      <name val="Arial"/>
      <family val="2"/>
    </font>
    <font>
      <vertAlign val="superscript"/>
      <sz val="10"/>
      <name val="Arial"/>
      <family val="2"/>
    </font>
    <font>
      <b/>
      <sz val="11"/>
      <name val="Arial"/>
      <family val="2"/>
    </font>
    <font>
      <b/>
      <u/>
      <sz val="12"/>
      <name val="Arial"/>
      <family val="2"/>
    </font>
    <font>
      <sz val="12"/>
      <color indexed="10"/>
      <name val="Arial"/>
      <family val="2"/>
    </font>
    <font>
      <u/>
      <sz val="12"/>
      <name val="Arial"/>
      <family val="2"/>
    </font>
    <font>
      <sz val="8"/>
      <color indexed="81"/>
      <name val="Tahoma"/>
      <family val="2"/>
    </font>
    <font>
      <b/>
      <sz val="8"/>
      <color indexed="81"/>
      <name val="Tahoma"/>
      <family val="2"/>
    </font>
    <font>
      <sz val="10"/>
      <color indexed="18"/>
      <name val="Arial"/>
      <family val="2"/>
    </font>
    <font>
      <sz val="11"/>
      <name val="Arial"/>
      <family val="2"/>
    </font>
    <font>
      <b/>
      <sz val="11"/>
      <color indexed="81"/>
      <name val="Tahoma"/>
      <family val="2"/>
    </font>
    <font>
      <sz val="11"/>
      <color indexed="81"/>
      <name val="Tahoma"/>
      <family val="2"/>
    </font>
    <font>
      <sz val="12"/>
      <color theme="0"/>
      <name val="Arial"/>
      <family val="2"/>
    </font>
    <font>
      <sz val="12"/>
      <color theme="1"/>
      <name val="Arial"/>
      <family val="2"/>
    </font>
    <font>
      <b/>
      <sz val="12"/>
      <color theme="3"/>
      <name val="Arial"/>
      <family val="2"/>
    </font>
    <font>
      <b/>
      <sz val="12"/>
      <color theme="1"/>
      <name val="Arial"/>
      <family val="2"/>
    </font>
    <font>
      <i/>
      <u/>
      <sz val="12"/>
      <color indexed="8"/>
      <name val="Arial"/>
      <family val="2"/>
    </font>
    <font>
      <sz val="12"/>
      <name val="Calibri"/>
      <family val="2"/>
    </font>
    <font>
      <sz val="9"/>
      <color indexed="81"/>
      <name val="Tahoma"/>
      <family val="2"/>
    </font>
    <font>
      <b/>
      <sz val="9"/>
      <color indexed="81"/>
      <name val="Tahoma"/>
      <family val="2"/>
    </font>
    <font>
      <b/>
      <sz val="11"/>
      <color theme="1"/>
      <name val="Calibri"/>
      <family val="2"/>
    </font>
    <font>
      <sz val="11"/>
      <color theme="1"/>
      <name val="Calibri"/>
      <family val="2"/>
    </font>
    <font>
      <b/>
      <u/>
      <sz val="11"/>
      <color theme="3" tint="0.39997558519241921"/>
      <name val="Calibri"/>
      <family val="2"/>
    </font>
    <font>
      <b/>
      <u/>
      <sz val="11"/>
      <color theme="1" tint="0.249977111117893"/>
      <name val="Calibri"/>
      <family val="2"/>
    </font>
    <font>
      <i/>
      <sz val="8"/>
      <color theme="1"/>
      <name val="Calibri"/>
      <family val="2"/>
    </font>
    <font>
      <b/>
      <sz val="11"/>
      <color rgb="FF000000"/>
      <name val="Calibri"/>
      <family val="2"/>
    </font>
    <font>
      <sz val="11"/>
      <color rgb="FF000000"/>
      <name val="Calibri"/>
      <family val="2"/>
    </font>
    <font>
      <b/>
      <u/>
      <sz val="11"/>
      <name val="Calibri"/>
      <family val="2"/>
    </font>
    <font>
      <sz val="11"/>
      <name val="Calibri"/>
      <family val="2"/>
    </font>
    <font>
      <b/>
      <sz val="11"/>
      <name val="Calibri"/>
      <family val="2"/>
    </font>
    <font>
      <u/>
      <sz val="11"/>
      <color rgb="FF000000"/>
      <name val="Calibri"/>
      <family val="2"/>
    </font>
    <font>
      <i/>
      <sz val="11"/>
      <color rgb="FF000000"/>
      <name val="Calibri"/>
      <family val="2"/>
    </font>
    <font>
      <sz val="11"/>
      <color rgb="FFFF0000"/>
      <name val="Calibri"/>
      <family val="2"/>
    </font>
    <font>
      <u/>
      <sz val="11"/>
      <color theme="10"/>
      <name val="Calibri"/>
      <family val="2"/>
      <scheme val="minor"/>
    </font>
    <font>
      <i/>
      <sz val="11"/>
      <name val="Calibri"/>
      <family val="2"/>
    </font>
    <font>
      <sz val="12"/>
      <color rgb="FF000000"/>
      <name val="Arial"/>
      <family val="2"/>
    </font>
  </fonts>
  <fills count="1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CCFFFF"/>
        <bgColor indexed="64"/>
      </patternFill>
    </fill>
    <fill>
      <patternFill patternType="solid">
        <fgColor rgb="FFFFFF00"/>
        <bgColor indexed="64"/>
      </patternFill>
    </fill>
    <fill>
      <patternFill patternType="solid">
        <fgColor rgb="FFF2F2F2"/>
        <bgColor indexed="64"/>
      </patternFill>
    </fill>
    <fill>
      <patternFill patternType="solid">
        <fgColor theme="6" tint="0.79998168889431442"/>
        <bgColor indexed="64"/>
      </patternFill>
    </fill>
    <fill>
      <patternFill patternType="solid">
        <fgColor theme="0" tint="-4.9989318521683403E-2"/>
        <bgColor indexed="64"/>
      </patternFill>
    </fill>
  </fills>
  <borders count="96">
    <border>
      <left/>
      <right/>
      <top/>
      <bottom/>
      <diagonal/>
    </border>
    <border>
      <left/>
      <right style="thin">
        <color indexed="8"/>
      </right>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right/>
      <top/>
      <bottom style="thin">
        <color indexed="8"/>
      </bottom>
      <diagonal/>
    </border>
    <border>
      <left/>
      <right/>
      <top/>
      <bottom style="double">
        <color indexed="8"/>
      </bottom>
      <diagonal/>
    </border>
    <border>
      <left/>
      <right style="thin">
        <color indexed="8"/>
      </right>
      <top style="double">
        <color indexed="8"/>
      </top>
      <bottom/>
      <diagonal/>
    </border>
    <border>
      <left style="thin">
        <color indexed="8"/>
      </left>
      <right/>
      <top style="double">
        <color indexed="8"/>
      </top>
      <bottom/>
      <diagonal/>
    </border>
    <border>
      <left/>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style="thin">
        <color indexed="64"/>
      </right>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theme="1"/>
      </left>
      <right style="thin">
        <color indexed="8"/>
      </right>
      <top/>
      <bottom/>
      <diagonal/>
    </border>
    <border>
      <left style="thin">
        <color theme="1"/>
      </left>
      <right/>
      <top style="double">
        <color theme="1"/>
      </top>
      <bottom/>
      <diagonal/>
    </border>
    <border>
      <left/>
      <right/>
      <top style="double">
        <color theme="1"/>
      </top>
      <bottom/>
      <diagonal/>
    </border>
    <border>
      <left/>
      <right style="thin">
        <color theme="1"/>
      </right>
      <top style="double">
        <color theme="1"/>
      </top>
      <bottom/>
      <diagonal/>
    </border>
    <border>
      <left style="thin">
        <color theme="1"/>
      </left>
      <right/>
      <top/>
      <bottom/>
      <diagonal/>
    </border>
    <border>
      <left style="thin">
        <color theme="1"/>
      </left>
      <right/>
      <top/>
      <bottom style="thin">
        <color theme="1"/>
      </bottom>
      <diagonal/>
    </border>
    <border>
      <left style="thin">
        <color theme="1"/>
      </left>
      <right style="dashed">
        <color theme="0" tint="-0.499984740745262"/>
      </right>
      <top style="hair">
        <color theme="1"/>
      </top>
      <bottom style="dashed">
        <color theme="0" tint="-0.499984740745262"/>
      </bottom>
      <diagonal/>
    </border>
    <border>
      <left style="thin">
        <color theme="1"/>
      </left>
      <right style="dashed">
        <color theme="0" tint="-0.499984740745262"/>
      </right>
      <top style="dashed">
        <color theme="0" tint="-0.499984740745262"/>
      </top>
      <bottom style="dashed">
        <color theme="0" tint="-0.499984740745262"/>
      </bottom>
      <diagonal/>
    </border>
    <border>
      <left style="thin">
        <color theme="1"/>
      </left>
      <right style="dashed">
        <color theme="0" tint="-0.499984740745262"/>
      </right>
      <top style="dashed">
        <color theme="0" tint="-0.499984740745262"/>
      </top>
      <bottom style="hair">
        <color theme="1"/>
      </bottom>
      <diagonal/>
    </border>
    <border>
      <left style="dashed">
        <color theme="0" tint="-0.499984740745262"/>
      </left>
      <right style="dashed">
        <color theme="0" tint="-0.499984740745262"/>
      </right>
      <top style="hair">
        <color theme="1"/>
      </top>
      <bottom style="dashed">
        <color theme="0" tint="-0.499984740745262"/>
      </bottom>
      <diagonal/>
    </border>
    <border>
      <left style="dashed">
        <color theme="0" tint="-0.499984740745262"/>
      </left>
      <right style="thin">
        <color theme="1"/>
      </right>
      <top style="hair">
        <color theme="1"/>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style="thin">
        <color theme="1"/>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style="hair">
        <color theme="1"/>
      </bottom>
      <diagonal/>
    </border>
    <border>
      <left style="dashed">
        <color theme="0" tint="-0.499984740745262"/>
      </left>
      <right style="thin">
        <color theme="1"/>
      </right>
      <top style="dashed">
        <color theme="0" tint="-0.499984740745262"/>
      </top>
      <bottom style="hair">
        <color theme="1"/>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indexed="8"/>
      </left>
      <right style="thin">
        <color theme="1"/>
      </right>
      <top style="thin">
        <color indexed="8"/>
      </top>
      <bottom style="thin">
        <color indexed="8"/>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8"/>
      </right>
      <top style="thin">
        <color theme="1"/>
      </top>
      <bottom/>
      <diagonal/>
    </border>
    <border>
      <left/>
      <right/>
      <top style="thin">
        <color theme="1"/>
      </top>
      <bottom/>
      <diagonal/>
    </border>
    <border>
      <left/>
      <right style="thin">
        <color indexed="8"/>
      </right>
      <top style="thin">
        <color theme="1"/>
      </top>
      <bottom/>
      <diagonal/>
    </border>
    <border>
      <left style="thin">
        <color indexed="8"/>
      </left>
      <right style="thin">
        <color indexed="8"/>
      </right>
      <top style="thin">
        <color theme="1"/>
      </top>
      <bottom/>
      <diagonal/>
    </border>
    <border>
      <left style="thin">
        <color indexed="8"/>
      </left>
      <right/>
      <top style="thin">
        <color theme="1"/>
      </top>
      <bottom/>
      <diagonal/>
    </border>
    <border>
      <left/>
      <right style="thin">
        <color theme="1"/>
      </right>
      <top style="thin">
        <color theme="1"/>
      </top>
      <bottom/>
      <diagonal/>
    </border>
    <border>
      <left style="thin">
        <color theme="1"/>
      </left>
      <right style="thin">
        <color indexed="8"/>
      </right>
      <top/>
      <bottom style="thin">
        <color theme="1"/>
      </bottom>
      <diagonal/>
    </border>
    <border>
      <left style="thin">
        <color indexed="8"/>
      </left>
      <right/>
      <top/>
      <bottom style="thin">
        <color theme="1"/>
      </bottom>
      <diagonal/>
    </border>
    <border>
      <left/>
      <right style="thin">
        <color indexed="8"/>
      </right>
      <top/>
      <bottom style="thin">
        <color theme="1"/>
      </bottom>
      <diagonal/>
    </border>
    <border>
      <left style="thin">
        <color indexed="8"/>
      </left>
      <right style="thin">
        <color indexed="8"/>
      </right>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theme="1"/>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theme="1"/>
      </bottom>
      <diagonal/>
    </border>
    <border>
      <left style="thin">
        <color indexed="8"/>
      </left>
      <right/>
      <top/>
      <bottom/>
      <diagonal/>
    </border>
    <border>
      <left/>
      <right style="thin">
        <color indexed="8"/>
      </right>
      <top/>
      <bottom/>
      <diagonal/>
    </border>
    <border>
      <left style="thin">
        <color theme="1"/>
      </left>
      <right/>
      <top style="thin">
        <color theme="1"/>
      </top>
      <bottom/>
      <diagonal/>
    </border>
    <border>
      <left style="thin">
        <color theme="1"/>
      </left>
      <right style="thin">
        <color theme="1"/>
      </right>
      <top style="thin">
        <color theme="1"/>
      </top>
      <bottom style="thin">
        <color theme="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0">
    <xf numFmtId="0" fontId="0" fillId="0" borderId="0"/>
    <xf numFmtId="43" fontId="5" fillId="0" borderId="0" applyFont="0" applyFill="0" applyBorder="0" applyAlignment="0" applyProtection="0"/>
    <xf numFmtId="44" fontId="5" fillId="0" borderId="0" applyFont="0" applyFill="0" applyBorder="0" applyAlignment="0" applyProtection="0"/>
    <xf numFmtId="0" fontId="4" fillId="0" borderId="0"/>
    <xf numFmtId="37" fontId="18" fillId="0" borderId="0"/>
    <xf numFmtId="0" fontId="4" fillId="0" borderId="0"/>
    <xf numFmtId="0" fontId="4" fillId="0" borderId="0"/>
    <xf numFmtId="9" fontId="5" fillId="0" borderId="0" applyFont="0" applyFill="0" applyBorder="0" applyAlignment="0" applyProtection="0"/>
    <xf numFmtId="9" fontId="4" fillId="0" borderId="0" applyFont="0" applyFill="0" applyBorder="0" applyAlignment="0" applyProtection="0"/>
    <xf numFmtId="0" fontId="19" fillId="0" borderId="0"/>
    <xf numFmtId="0" fontId="3" fillId="0" borderId="0"/>
    <xf numFmtId="0" fontId="3" fillId="0" borderId="0"/>
    <xf numFmtId="0" fontId="2" fillId="0" borderId="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 fillId="0" borderId="0"/>
    <xf numFmtId="0" fontId="1" fillId="0" borderId="0"/>
    <xf numFmtId="0" fontId="71" fillId="0" borderId="0" applyNumberFormat="0" applyFill="0" applyBorder="0" applyAlignment="0" applyProtection="0"/>
    <xf numFmtId="43" fontId="4" fillId="0" borderId="0" applyFont="0" applyFill="0" applyBorder="0" applyAlignment="0" applyProtection="0"/>
  </cellStyleXfs>
  <cellXfs count="902">
    <xf numFmtId="0" fontId="0" fillId="0" borderId="0" xfId="0"/>
    <xf numFmtId="0" fontId="6" fillId="0" borderId="0" xfId="0" applyFont="1"/>
    <xf numFmtId="0" fontId="7" fillId="0" borderId="0" xfId="0" applyFont="1"/>
    <xf numFmtId="0" fontId="7" fillId="0" borderId="0" xfId="0" applyFont="1" applyAlignment="1">
      <alignment horizontal="right"/>
    </xf>
    <xf numFmtId="37" fontId="7" fillId="0" borderId="0" xfId="0" applyNumberFormat="1" applyFont="1"/>
    <xf numFmtId="5" fontId="7" fillId="0" borderId="0" xfId="0" applyNumberFormat="1" applyFont="1"/>
    <xf numFmtId="37" fontId="7" fillId="0" borderId="0" xfId="0" applyNumberFormat="1" applyFont="1" applyAlignment="1">
      <alignment horizontal="right"/>
    </xf>
    <xf numFmtId="5" fontId="6" fillId="0" borderId="0" xfId="0" applyNumberFormat="1" applyFont="1"/>
    <xf numFmtId="0" fontId="10" fillId="0" borderId="0" xfId="0" applyFont="1" applyAlignment="1">
      <alignment horizontal="centerContinuous"/>
    </xf>
    <xf numFmtId="10" fontId="7" fillId="0" borderId="0" xfId="0" applyNumberFormat="1" applyFont="1"/>
    <xf numFmtId="0" fontId="12" fillId="0" borderId="0" xfId="0" applyFont="1"/>
    <xf numFmtId="0" fontId="13" fillId="0" borderId="0" xfId="0" applyFont="1" applyProtection="1">
      <protection locked="0"/>
    </xf>
    <xf numFmtId="165" fontId="12" fillId="0" borderId="0" xfId="0" applyNumberFormat="1" applyFont="1"/>
    <xf numFmtId="5" fontId="11" fillId="0" borderId="1" xfId="0" applyNumberFormat="1" applyFont="1" applyBorder="1"/>
    <xf numFmtId="166" fontId="7" fillId="0" borderId="0" xfId="0" applyNumberFormat="1" applyFont="1"/>
    <xf numFmtId="37" fontId="6" fillId="0" borderId="0" xfId="0" applyNumberFormat="1" applyFont="1"/>
    <xf numFmtId="37" fontId="11" fillId="0" borderId="0" xfId="0" applyNumberFormat="1" applyFont="1"/>
    <xf numFmtId="0" fontId="11" fillId="0" borderId="0" xfId="0" applyFont="1"/>
    <xf numFmtId="164" fontId="11" fillId="0" borderId="0" xfId="0" applyNumberFormat="1" applyFont="1"/>
    <xf numFmtId="39" fontId="11" fillId="0" borderId="0" xfId="0" applyNumberFormat="1" applyFont="1"/>
    <xf numFmtId="5" fontId="11" fillId="0" borderId="0" xfId="0" applyNumberFormat="1" applyFont="1"/>
    <xf numFmtId="10" fontId="11" fillId="0" borderId="0" xfId="0" applyNumberFormat="1" applyFont="1"/>
    <xf numFmtId="0" fontId="16" fillId="0" borderId="0" xfId="0" applyFont="1"/>
    <xf numFmtId="0" fontId="10" fillId="0" borderId="0" xfId="0" applyFont="1"/>
    <xf numFmtId="0" fontId="6" fillId="0" borderId="0" xfId="0" applyFont="1" applyAlignment="1">
      <alignment horizontal="left"/>
    </xf>
    <xf numFmtId="168" fontId="12" fillId="0" borderId="3" xfId="0" applyNumberFormat="1" applyFont="1" applyBorder="1"/>
    <xf numFmtId="0" fontId="11" fillId="0" borderId="4" xfId="0" applyFont="1" applyBorder="1"/>
    <xf numFmtId="0" fontId="17" fillId="0" borderId="0" xfId="0" applyFont="1"/>
    <xf numFmtId="5" fontId="0" fillId="0" borderId="0" xfId="0" applyNumberFormat="1"/>
    <xf numFmtId="44" fontId="17" fillId="0" borderId="0" xfId="0" applyNumberFormat="1" applyFont="1"/>
    <xf numFmtId="7" fontId="0" fillId="0" borderId="0" xfId="0" applyNumberFormat="1"/>
    <xf numFmtId="0" fontId="11" fillId="0" borderId="3" xfId="0" applyFont="1" applyBorder="1"/>
    <xf numFmtId="0" fontId="11" fillId="0" borderId="1" xfId="0" applyFont="1" applyBorder="1"/>
    <xf numFmtId="0" fontId="12" fillId="0" borderId="3" xfId="0" applyFont="1" applyBorder="1"/>
    <xf numFmtId="0" fontId="12" fillId="0" borderId="1" xfId="0" applyFont="1" applyBorder="1"/>
    <xf numFmtId="10" fontId="12" fillId="0" borderId="1" xfId="0" applyNumberFormat="1" applyFont="1" applyBorder="1"/>
    <xf numFmtId="5" fontId="21" fillId="0" borderId="3" xfId="0" applyNumberFormat="1" applyFont="1" applyBorder="1"/>
    <xf numFmtId="5" fontId="12" fillId="0" borderId="3" xfId="0" applyNumberFormat="1" applyFont="1" applyBorder="1"/>
    <xf numFmtId="44" fontId="17" fillId="0" borderId="0" xfId="2" applyFont="1"/>
    <xf numFmtId="0" fontId="22" fillId="0" borderId="0" xfId="0" applyFont="1"/>
    <xf numFmtId="0" fontId="23" fillId="0" borderId="0" xfId="0" applyFont="1"/>
    <xf numFmtId="5" fontId="23" fillId="0" borderId="0" xfId="0" applyNumberFormat="1" applyFont="1"/>
    <xf numFmtId="0" fontId="24" fillId="0" borderId="0" xfId="0" applyFont="1"/>
    <xf numFmtId="0" fontId="25" fillId="0" borderId="0" xfId="0" applyFont="1" applyAlignment="1">
      <alignment horizontal="centerContinuous"/>
    </xf>
    <xf numFmtId="9" fontId="11" fillId="0" borderId="3" xfId="0" applyNumberFormat="1" applyFont="1" applyBorder="1"/>
    <xf numFmtId="170" fontId="25" fillId="0" borderId="0" xfId="0" applyNumberFormat="1" applyFont="1" applyAlignment="1">
      <alignment horizontal="centerContinuous"/>
    </xf>
    <xf numFmtId="170" fontId="11" fillId="0" borderId="0" xfId="0" applyNumberFormat="1" applyFont="1" applyAlignment="1">
      <alignment horizontal="centerContinuous"/>
    </xf>
    <xf numFmtId="0" fontId="11" fillId="0" borderId="0" xfId="0" applyFont="1" applyAlignment="1">
      <alignment horizontal="centerContinuous"/>
    </xf>
    <xf numFmtId="5" fontId="12" fillId="0" borderId="0" xfId="0" applyNumberFormat="1" applyFont="1"/>
    <xf numFmtId="10" fontId="12" fillId="0" borderId="0" xfId="0" applyNumberFormat="1" applyFont="1"/>
    <xf numFmtId="5" fontId="13" fillId="0" borderId="0" xfId="0" applyNumberFormat="1" applyFont="1" applyProtection="1">
      <protection locked="0"/>
    </xf>
    <xf numFmtId="10" fontId="13" fillId="0" borderId="0" xfId="0" applyNumberFormat="1" applyFont="1" applyProtection="1">
      <protection locked="0"/>
    </xf>
    <xf numFmtId="9" fontId="13" fillId="0" borderId="0" xfId="0" applyNumberFormat="1" applyFont="1" applyProtection="1">
      <protection locked="0"/>
    </xf>
    <xf numFmtId="7" fontId="13" fillId="0" borderId="0" xfId="0" applyNumberFormat="1" applyFont="1" applyProtection="1">
      <protection locked="0"/>
    </xf>
    <xf numFmtId="37" fontId="13" fillId="0" borderId="0" xfId="0" applyNumberFormat="1" applyFont="1" applyProtection="1">
      <protection locked="0"/>
    </xf>
    <xf numFmtId="10" fontId="12" fillId="0" borderId="0" xfId="0" applyNumberFormat="1" applyFont="1" applyAlignment="1">
      <alignment horizontal="centerContinuous"/>
    </xf>
    <xf numFmtId="10" fontId="24" fillId="0" borderId="0" xfId="0" applyNumberFormat="1" applyFont="1"/>
    <xf numFmtId="0" fontId="24" fillId="0" borderId="0" xfId="0" applyFont="1" applyProtection="1">
      <protection locked="0"/>
    </xf>
    <xf numFmtId="5" fontId="24" fillId="0" borderId="0" xfId="0" applyNumberFormat="1" applyFont="1" applyProtection="1">
      <protection locked="0"/>
    </xf>
    <xf numFmtId="0" fontId="24" fillId="0" borderId="0" xfId="0" applyFont="1" applyAlignment="1" applyProtection="1">
      <alignment horizontal="right"/>
      <protection locked="0"/>
    </xf>
    <xf numFmtId="0" fontId="11" fillId="0" borderId="5" xfId="0" applyFont="1" applyBorder="1"/>
    <xf numFmtId="0" fontId="11" fillId="0" borderId="0" xfId="0" applyFont="1" applyAlignment="1">
      <alignment horizontal="right"/>
    </xf>
    <xf numFmtId="7" fontId="11" fillId="0" borderId="0" xfId="0" applyNumberFormat="1" applyFont="1"/>
    <xf numFmtId="37" fontId="11" fillId="0" borderId="0" xfId="0" applyNumberFormat="1" applyFont="1" applyAlignment="1">
      <alignment horizontal="right"/>
    </xf>
    <xf numFmtId="9" fontId="11" fillId="0" borderId="0" xfId="0" applyNumberFormat="1" applyFont="1"/>
    <xf numFmtId="7" fontId="23" fillId="0" borderId="0" xfId="0" applyNumberFormat="1" applyFont="1"/>
    <xf numFmtId="0" fontId="20" fillId="0" borderId="0" xfId="0" applyFont="1"/>
    <xf numFmtId="0" fontId="23" fillId="0" borderId="7" xfId="0" applyFont="1" applyBorder="1"/>
    <xf numFmtId="9" fontId="23" fillId="0" borderId="0" xfId="0" applyNumberFormat="1" applyFont="1"/>
    <xf numFmtId="10" fontId="23" fillId="0" borderId="0" xfId="0" applyNumberFormat="1" applyFont="1"/>
    <xf numFmtId="37" fontId="23" fillId="0" borderId="0" xfId="0" applyNumberFormat="1" applyFont="1"/>
    <xf numFmtId="170" fontId="11" fillId="0" borderId="0" xfId="0" applyNumberFormat="1" applyFont="1" applyAlignment="1">
      <alignment horizontal="center"/>
    </xf>
    <xf numFmtId="0" fontId="20" fillId="0" borderId="3" xfId="0" applyFont="1" applyBorder="1"/>
    <xf numFmtId="0" fontId="20" fillId="0" borderId="1" xfId="0" applyFont="1" applyBorder="1"/>
    <xf numFmtId="5" fontId="11" fillId="0" borderId="3" xfId="0" applyNumberFormat="1" applyFont="1" applyBorder="1"/>
    <xf numFmtId="10" fontId="11" fillId="0" borderId="3" xfId="0" applyNumberFormat="1" applyFont="1" applyBorder="1"/>
    <xf numFmtId="10" fontId="11" fillId="0" borderId="1" xfId="0" applyNumberFormat="1" applyFont="1" applyBorder="1"/>
    <xf numFmtId="170" fontId="23" fillId="0" borderId="0" xfId="0" applyNumberFormat="1" applyFont="1"/>
    <xf numFmtId="168" fontId="11" fillId="0" borderId="0" xfId="0" applyNumberFormat="1" applyFont="1"/>
    <xf numFmtId="39" fontId="11" fillId="0" borderId="0" xfId="0" applyNumberFormat="1" applyFont="1" applyAlignment="1">
      <alignment horizontal="center"/>
    </xf>
    <xf numFmtId="10" fontId="11" fillId="0" borderId="3" xfId="7" applyNumberFormat="1" applyFont="1" applyBorder="1" applyProtection="1"/>
    <xf numFmtId="5" fontId="11" fillId="0" borderId="1" xfId="0" quotePrefix="1" applyNumberFormat="1" applyFont="1" applyBorder="1"/>
    <xf numFmtId="10" fontId="23" fillId="0" borderId="3" xfId="0" applyNumberFormat="1" applyFont="1" applyBorder="1"/>
    <xf numFmtId="10" fontId="11" fillId="0" borderId="0" xfId="7" applyNumberFormat="1" applyFont="1" applyProtection="1"/>
    <xf numFmtId="3" fontId="17" fillId="0" borderId="0" xfId="0" applyNumberFormat="1" applyFont="1"/>
    <xf numFmtId="0" fontId="23" fillId="0" borderId="0" xfId="0" applyFont="1" applyAlignment="1">
      <alignment horizontal="right"/>
    </xf>
    <xf numFmtId="9" fontId="23" fillId="0" borderId="0" xfId="7" applyFont="1" applyBorder="1"/>
    <xf numFmtId="10" fontId="23" fillId="0" borderId="0" xfId="7" applyNumberFormat="1" applyFont="1" applyBorder="1"/>
    <xf numFmtId="10" fontId="23" fillId="0" borderId="0" xfId="7" applyNumberFormat="1" applyFont="1" applyBorder="1" applyProtection="1"/>
    <xf numFmtId="44" fontId="23" fillId="0" borderId="0" xfId="2" applyFont="1" applyBorder="1"/>
    <xf numFmtId="168" fontId="23" fillId="0" borderId="0" xfId="7" applyNumberFormat="1" applyFont="1"/>
    <xf numFmtId="44" fontId="23" fillId="0" borderId="0" xfId="2" applyFont="1"/>
    <xf numFmtId="44" fontId="23" fillId="0" borderId="0" xfId="0" applyNumberFormat="1" applyFont="1"/>
    <xf numFmtId="5" fontId="23" fillId="0" borderId="7" xfId="0" applyNumberFormat="1" applyFont="1" applyBorder="1"/>
    <xf numFmtId="0" fontId="17" fillId="0" borderId="0" xfId="0" applyFont="1" applyAlignment="1">
      <alignment horizontal="right"/>
    </xf>
    <xf numFmtId="37" fontId="15" fillId="0" borderId="0" xfId="0" applyNumberFormat="1" applyFont="1"/>
    <xf numFmtId="10" fontId="23" fillId="2" borderId="8" xfId="0" applyNumberFormat="1" applyFont="1" applyFill="1" applyBorder="1"/>
    <xf numFmtId="0" fontId="23" fillId="2" borderId="8" xfId="0" applyFont="1" applyFill="1" applyBorder="1"/>
    <xf numFmtId="0" fontId="17" fillId="0" borderId="0" xfId="0" applyFont="1" applyAlignment="1">
      <alignment horizontal="left"/>
    </xf>
    <xf numFmtId="0" fontId="23" fillId="0" borderId="0" xfId="0" applyFont="1" applyAlignment="1">
      <alignment horizontal="center"/>
    </xf>
    <xf numFmtId="9" fontId="23" fillId="0" borderId="0" xfId="0" applyNumberFormat="1" applyFont="1" applyAlignment="1">
      <alignment horizontal="center"/>
    </xf>
    <xf numFmtId="7" fontId="17" fillId="0" borderId="0" xfId="0" applyNumberFormat="1" applyFont="1"/>
    <xf numFmtId="10" fontId="23" fillId="2" borderId="8" xfId="2" applyNumberFormat="1" applyFont="1" applyFill="1" applyBorder="1"/>
    <xf numFmtId="0" fontId="23" fillId="0" borderId="0" xfId="0" applyFont="1" applyAlignment="1">
      <alignment horizontal="right" wrapText="1"/>
    </xf>
    <xf numFmtId="39" fontId="11" fillId="0" borderId="0" xfId="0" applyNumberFormat="1" applyFont="1" applyAlignment="1">
      <alignment horizontal="left"/>
    </xf>
    <xf numFmtId="10" fontId="28" fillId="0" borderId="0" xfId="0" applyNumberFormat="1" applyFont="1"/>
    <xf numFmtId="39" fontId="28" fillId="0" borderId="0" xfId="0" applyNumberFormat="1" applyFont="1"/>
    <xf numFmtId="0" fontId="0" fillId="0" borderId="0" xfId="0" applyAlignment="1">
      <alignment horizontal="right"/>
    </xf>
    <xf numFmtId="7" fontId="7" fillId="0" borderId="0" xfId="0" applyNumberFormat="1" applyFont="1"/>
    <xf numFmtId="9" fontId="7" fillId="0" borderId="0" xfId="0" applyNumberFormat="1" applyFont="1"/>
    <xf numFmtId="2" fontId="0" fillId="0" borderId="0" xfId="0" applyNumberFormat="1"/>
    <xf numFmtId="0" fontId="19" fillId="0" borderId="0" xfId="0" applyFont="1"/>
    <xf numFmtId="37" fontId="24" fillId="0" borderId="0" xfId="4" applyFont="1"/>
    <xf numFmtId="3" fontId="0" fillId="0" borderId="0" xfId="0" applyNumberFormat="1"/>
    <xf numFmtId="3" fontId="23" fillId="0" borderId="0" xfId="0" applyNumberFormat="1" applyFont="1"/>
    <xf numFmtId="3" fontId="0" fillId="0" borderId="0" xfId="0" applyNumberFormat="1" applyAlignment="1">
      <alignment horizontal="right"/>
    </xf>
    <xf numFmtId="9" fontId="19" fillId="2" borderId="8" xfId="7" applyFont="1" applyFill="1" applyBorder="1"/>
    <xf numFmtId="10" fontId="6" fillId="0" borderId="3" xfId="0" applyNumberFormat="1" applyFont="1" applyBorder="1"/>
    <xf numFmtId="0" fontId="6" fillId="0" borderId="1" xfId="0" applyFont="1" applyBorder="1"/>
    <xf numFmtId="0" fontId="9" fillId="0" borderId="3" xfId="0" applyFont="1" applyBorder="1"/>
    <xf numFmtId="0" fontId="9" fillId="0" borderId="1" xfId="0" applyFont="1" applyBorder="1"/>
    <xf numFmtId="5" fontId="17" fillId="0" borderId="0" xfId="0" applyNumberFormat="1" applyFont="1" applyAlignment="1">
      <alignment horizontal="right"/>
    </xf>
    <xf numFmtId="2" fontId="11" fillId="0" borderId="3" xfId="0" applyNumberFormat="1" applyFont="1" applyBorder="1"/>
    <xf numFmtId="172" fontId="7" fillId="0" borderId="0" xfId="0" applyNumberFormat="1" applyFont="1"/>
    <xf numFmtId="0" fontId="17" fillId="0" borderId="0" xfId="0" applyFont="1" applyProtection="1">
      <protection hidden="1"/>
    </xf>
    <xf numFmtId="5" fontId="23" fillId="0" borderId="0" xfId="0" applyNumberFormat="1" applyFont="1" applyProtection="1">
      <protection hidden="1"/>
    </xf>
    <xf numFmtId="0" fontId="23" fillId="0" borderId="0" xfId="0" applyFont="1" applyProtection="1">
      <protection hidden="1"/>
    </xf>
    <xf numFmtId="0" fontId="23" fillId="0" borderId="0" xfId="0" applyFont="1" applyAlignment="1" applyProtection="1">
      <alignment horizontal="right"/>
      <protection hidden="1"/>
    </xf>
    <xf numFmtId="10" fontId="23" fillId="2" borderId="8" xfId="0" applyNumberFormat="1" applyFont="1" applyFill="1" applyBorder="1" applyProtection="1">
      <protection hidden="1"/>
    </xf>
    <xf numFmtId="49" fontId="23" fillId="0" borderId="0" xfId="0" quotePrefix="1" applyNumberFormat="1" applyFont="1" applyAlignment="1" applyProtection="1">
      <alignment horizontal="right"/>
      <protection hidden="1"/>
    </xf>
    <xf numFmtId="10" fontId="23" fillId="0" borderId="0" xfId="0" applyNumberFormat="1" applyFont="1" applyProtection="1">
      <protection hidden="1"/>
    </xf>
    <xf numFmtId="175" fontId="11" fillId="0" borderId="3" xfId="0" applyNumberFormat="1" applyFont="1" applyBorder="1"/>
    <xf numFmtId="37" fontId="23" fillId="0" borderId="0" xfId="0" applyNumberFormat="1" applyFont="1" applyAlignment="1">
      <alignment horizontal="right"/>
    </xf>
    <xf numFmtId="41" fontId="11" fillId="0" borderId="4" xfId="0" applyNumberFormat="1" applyFont="1" applyBorder="1"/>
    <xf numFmtId="41" fontId="11" fillId="0" borderId="0" xfId="0" applyNumberFormat="1" applyFont="1"/>
    <xf numFmtId="41" fontId="6" fillId="0" borderId="4" xfId="0" applyNumberFormat="1" applyFont="1" applyBorder="1"/>
    <xf numFmtId="41" fontId="23" fillId="0" borderId="4" xfId="0" applyNumberFormat="1" applyFont="1" applyBorder="1"/>
    <xf numFmtId="41" fontId="23" fillId="0" borderId="0" xfId="0" applyNumberFormat="1" applyFont="1"/>
    <xf numFmtId="41" fontId="12" fillId="0" borderId="0" xfId="0" applyNumberFormat="1" applyFont="1" applyAlignment="1">
      <alignment horizontal="center"/>
    </xf>
    <xf numFmtId="168" fontId="11" fillId="0" borderId="3" xfId="7" applyNumberFormat="1" applyFont="1" applyBorder="1" applyProtection="1"/>
    <xf numFmtId="41" fontId="11" fillId="0" borderId="3" xfId="0" applyNumberFormat="1" applyFont="1" applyBorder="1"/>
    <xf numFmtId="43" fontId="11" fillId="0" borderId="3" xfId="0" applyNumberFormat="1" applyFont="1" applyBorder="1"/>
    <xf numFmtId="173" fontId="11" fillId="0" borderId="3" xfId="0" applyNumberFormat="1" applyFont="1" applyBorder="1"/>
    <xf numFmtId="172" fontId="23" fillId="0" borderId="0" xfId="0" applyNumberFormat="1" applyFont="1"/>
    <xf numFmtId="41" fontId="20" fillId="0" borderId="0" xfId="0" applyNumberFormat="1" applyFont="1" applyAlignment="1">
      <alignment horizontal="right"/>
    </xf>
    <xf numFmtId="5" fontId="11" fillId="0" borderId="0" xfId="0" applyNumberFormat="1" applyFont="1" applyAlignment="1">
      <alignment horizontal="right"/>
    </xf>
    <xf numFmtId="0" fontId="20" fillId="0" borderId="0" xfId="0" applyFont="1" applyAlignment="1">
      <alignment horizontal="center"/>
    </xf>
    <xf numFmtId="0" fontId="11" fillId="0" borderId="0" xfId="0" applyFont="1" applyAlignment="1">
      <alignment horizontal="center"/>
    </xf>
    <xf numFmtId="164" fontId="6" fillId="0" borderId="0" xfId="0" applyNumberFormat="1" applyFont="1" applyAlignment="1">
      <alignment horizontal="center"/>
    </xf>
    <xf numFmtId="0" fontId="6" fillId="0" borderId="0" xfId="0" applyFont="1" applyAlignment="1">
      <alignment horizontal="center"/>
    </xf>
    <xf numFmtId="0" fontId="11" fillId="0" borderId="0" xfId="0" applyFont="1" applyAlignment="1">
      <alignment horizontal="right" wrapText="1"/>
    </xf>
    <xf numFmtId="169" fontId="11" fillId="0" borderId="0" xfId="2" applyNumberFormat="1" applyFont="1" applyFill="1" applyBorder="1" applyProtection="1"/>
    <xf numFmtId="0" fontId="6" fillId="0" borderId="0" xfId="0" applyFont="1" applyAlignment="1">
      <alignment horizontal="right"/>
    </xf>
    <xf numFmtId="173" fontId="23" fillId="0" borderId="0" xfId="1" applyNumberFormat="1" applyFont="1"/>
    <xf numFmtId="173" fontId="11" fillId="0" borderId="3" xfId="1" applyNumberFormat="1" applyFont="1" applyBorder="1" applyProtection="1"/>
    <xf numFmtId="3" fontId="11" fillId="0" borderId="1" xfId="0" applyNumberFormat="1" applyFont="1" applyBorder="1"/>
    <xf numFmtId="173" fontId="11" fillId="0" borderId="0" xfId="1" applyNumberFormat="1" applyFont="1" applyProtection="1"/>
    <xf numFmtId="173" fontId="9" fillId="0" borderId="0" xfId="1" applyNumberFormat="1" applyFont="1" applyProtection="1"/>
    <xf numFmtId="173" fontId="12" fillId="0" borderId="0" xfId="1" applyNumberFormat="1" applyFont="1" applyProtection="1"/>
    <xf numFmtId="8" fontId="0" fillId="0" borderId="0" xfId="0" applyNumberFormat="1"/>
    <xf numFmtId="173" fontId="0" fillId="0" borderId="0" xfId="1" applyNumberFormat="1" applyFont="1"/>
    <xf numFmtId="173" fontId="7" fillId="0" borderId="0" xfId="0" applyNumberFormat="1" applyFont="1"/>
    <xf numFmtId="0" fontId="11" fillId="0" borderId="0" xfId="0" applyFont="1" applyAlignment="1">
      <alignment horizontal="left"/>
    </xf>
    <xf numFmtId="173" fontId="17" fillId="0" borderId="0" xfId="1" applyNumberFormat="1" applyFont="1" applyFill="1" applyBorder="1"/>
    <xf numFmtId="0" fontId="11" fillId="0" borderId="0" xfId="0" applyFont="1" applyAlignment="1">
      <alignment wrapText="1"/>
    </xf>
    <xf numFmtId="0" fontId="23" fillId="0" borderId="0" xfId="0" applyFont="1" applyAlignment="1">
      <alignment wrapText="1"/>
    </xf>
    <xf numFmtId="10" fontId="12" fillId="0" borderId="0" xfId="0" applyNumberFormat="1" applyFont="1" applyAlignment="1">
      <alignment horizontal="left"/>
    </xf>
    <xf numFmtId="41" fontId="11" fillId="0" borderId="1" xfId="0" applyNumberFormat="1" applyFont="1" applyBorder="1"/>
    <xf numFmtId="41" fontId="20" fillId="0" borderId="1" xfId="0" applyNumberFormat="1" applyFont="1" applyBorder="1"/>
    <xf numFmtId="0" fontId="0" fillId="0" borderId="11" xfId="0" applyBorder="1"/>
    <xf numFmtId="0" fontId="6" fillId="0" borderId="12" xfId="0" applyFont="1" applyBorder="1"/>
    <xf numFmtId="0" fontId="11" fillId="0" borderId="12" xfId="0" applyFont="1" applyBorder="1"/>
    <xf numFmtId="0" fontId="24" fillId="0" borderId="12" xfId="0" applyFont="1" applyBorder="1" applyProtection="1">
      <protection locked="0"/>
    </xf>
    <xf numFmtId="10" fontId="12" fillId="0" borderId="12" xfId="0" applyNumberFormat="1" applyFont="1" applyBorder="1"/>
    <xf numFmtId="5" fontId="24" fillId="0" borderId="12" xfId="0" applyNumberFormat="1" applyFont="1" applyBorder="1" applyProtection="1">
      <protection locked="0"/>
    </xf>
    <xf numFmtId="10" fontId="12" fillId="0" borderId="12" xfId="0" applyNumberFormat="1" applyFont="1" applyBorder="1" applyAlignment="1">
      <alignment horizontal="center"/>
    </xf>
    <xf numFmtId="5" fontId="11" fillId="0" borderId="11" xfId="0" applyNumberFormat="1" applyFont="1" applyBorder="1"/>
    <xf numFmtId="5" fontId="24" fillId="0" borderId="11" xfId="0" applyNumberFormat="1" applyFont="1" applyBorder="1" applyProtection="1">
      <protection locked="0"/>
    </xf>
    <xf numFmtId="10" fontId="12" fillId="0" borderId="13" xfId="0" applyNumberFormat="1" applyFont="1" applyBorder="1"/>
    <xf numFmtId="10" fontId="12" fillId="0" borderId="6" xfId="0" applyNumberFormat="1" applyFont="1" applyBorder="1"/>
    <xf numFmtId="0" fontId="6" fillId="0" borderId="14" xfId="0" applyFont="1" applyBorder="1"/>
    <xf numFmtId="0" fontId="13" fillId="0" borderId="3" xfId="0" applyFont="1" applyBorder="1" applyProtection="1">
      <protection locked="0"/>
    </xf>
    <xf numFmtId="10" fontId="12" fillId="0" borderId="1" xfId="0" applyNumberFormat="1" applyFont="1" applyBorder="1" applyAlignment="1" applyProtection="1">
      <alignment horizontal="fill"/>
      <protection locked="0"/>
    </xf>
    <xf numFmtId="10" fontId="12" fillId="0" borderId="13" xfId="0" applyNumberFormat="1" applyFont="1" applyBorder="1" applyAlignment="1">
      <alignment horizontal="right"/>
    </xf>
    <xf numFmtId="0" fontId="11" fillId="0" borderId="15" xfId="0" applyFont="1" applyBorder="1"/>
    <xf numFmtId="170" fontId="12" fillId="0" borderId="0" xfId="0" applyNumberFormat="1" applyFont="1"/>
    <xf numFmtId="165" fontId="12" fillId="0" borderId="0" xfId="0" applyNumberFormat="1" applyFont="1" applyAlignment="1">
      <alignment horizontal="left"/>
    </xf>
    <xf numFmtId="173" fontId="17" fillId="0" borderId="0" xfId="1" applyNumberFormat="1" applyFont="1"/>
    <xf numFmtId="5" fontId="17" fillId="0" borderId="0" xfId="0" applyNumberFormat="1" applyFont="1"/>
    <xf numFmtId="37" fontId="17" fillId="0" borderId="0" xfId="0" applyNumberFormat="1" applyFont="1"/>
    <xf numFmtId="37" fontId="11" fillId="0" borderId="0" xfId="0" applyNumberFormat="1" applyFont="1" applyAlignment="1">
      <alignment wrapText="1"/>
    </xf>
    <xf numFmtId="169" fontId="23" fillId="0" borderId="0" xfId="2" applyNumberFormat="1" applyFont="1" applyFill="1" applyBorder="1"/>
    <xf numFmtId="0" fontId="23" fillId="0" borderId="12" xfId="0" applyFont="1" applyBorder="1"/>
    <xf numFmtId="0" fontId="6" fillId="0" borderId="12" xfId="0" applyFont="1" applyBorder="1" applyAlignment="1">
      <alignment horizontal="left"/>
    </xf>
    <xf numFmtId="0" fontId="11" fillId="0" borderId="12" xfId="0" applyFont="1" applyBorder="1" applyAlignment="1">
      <alignment horizontal="centerContinuous"/>
    </xf>
    <xf numFmtId="170" fontId="11" fillId="0" borderId="12" xfId="0" applyNumberFormat="1" applyFont="1" applyBorder="1" applyAlignment="1">
      <alignment horizontal="centerContinuous"/>
    </xf>
    <xf numFmtId="3" fontId="17" fillId="0" borderId="12" xfId="0" applyNumberFormat="1" applyFont="1" applyBorder="1"/>
    <xf numFmtId="173" fontId="17" fillId="0" borderId="12" xfId="1" applyNumberFormat="1" applyFont="1" applyFill="1" applyBorder="1"/>
    <xf numFmtId="0" fontId="23" fillId="0" borderId="1" xfId="0" applyFont="1" applyBorder="1"/>
    <xf numFmtId="0" fontId="23" fillId="0" borderId="6" xfId="0" applyFont="1" applyBorder="1"/>
    <xf numFmtId="0" fontId="11" fillId="0" borderId="3" xfId="0" applyFont="1" applyBorder="1" applyAlignment="1">
      <alignment horizontal="right"/>
    </xf>
    <xf numFmtId="0" fontId="6" fillId="0" borderId="3" xfId="0" applyFont="1" applyBorder="1" applyAlignment="1">
      <alignment horizontal="left"/>
    </xf>
    <xf numFmtId="0" fontId="23" fillId="0" borderId="13" xfId="0" applyFont="1" applyBorder="1"/>
    <xf numFmtId="0" fontId="23" fillId="0" borderId="11" xfId="0" applyFont="1" applyBorder="1"/>
    <xf numFmtId="0" fontId="6" fillId="0" borderId="14" xfId="0" applyFont="1" applyBorder="1" applyAlignment="1">
      <alignment horizontal="left"/>
    </xf>
    <xf numFmtId="0" fontId="8" fillId="0" borderId="3" xfId="0" applyFont="1" applyBorder="1" applyAlignment="1">
      <alignment horizontal="centerContinuous"/>
    </xf>
    <xf numFmtId="0" fontId="23" fillId="0" borderId="3" xfId="0" applyFont="1" applyBorder="1"/>
    <xf numFmtId="0" fontId="23" fillId="0" borderId="5" xfId="0" applyFont="1" applyBorder="1"/>
    <xf numFmtId="10" fontId="24" fillId="0" borderId="3" xfId="0" applyNumberFormat="1" applyFont="1" applyBorder="1"/>
    <xf numFmtId="170" fontId="11" fillId="0" borderId="3" xfId="0" applyNumberFormat="1" applyFont="1" applyBorder="1" applyAlignment="1">
      <alignment horizontal="centerContinuous"/>
    </xf>
    <xf numFmtId="0" fontId="6" fillId="0" borderId="5" xfId="0" applyFont="1" applyBorder="1" applyAlignment="1">
      <alignment horizontal="left"/>
    </xf>
    <xf numFmtId="0" fontId="11" fillId="0" borderId="11" xfId="0" applyFont="1" applyBorder="1" applyAlignment="1">
      <alignment horizontal="centerContinuous"/>
    </xf>
    <xf numFmtId="170" fontId="11" fillId="0" borderId="11" xfId="0" applyNumberFormat="1" applyFont="1" applyBorder="1" applyAlignment="1">
      <alignment horizontal="centerContinuous"/>
    </xf>
    <xf numFmtId="3" fontId="17" fillId="0" borderId="11" xfId="0" applyNumberFormat="1" applyFont="1" applyBorder="1"/>
    <xf numFmtId="0" fontId="11" fillId="0" borderId="3" xfId="0" applyFont="1" applyBorder="1" applyAlignment="1">
      <alignment wrapText="1"/>
    </xf>
    <xf numFmtId="0" fontId="11" fillId="0" borderId="3" xfId="0" applyFont="1" applyBorder="1" applyAlignment="1">
      <alignment horizontal="right" wrapText="1"/>
    </xf>
    <xf numFmtId="37" fontId="30" fillId="0" borderId="0" xfId="0" applyNumberFormat="1" applyFont="1"/>
    <xf numFmtId="173" fontId="30" fillId="0" borderId="0" xfId="1" applyNumberFormat="1" applyFont="1" applyFill="1" applyBorder="1"/>
    <xf numFmtId="39" fontId="11" fillId="0" borderId="1" xfId="0" applyNumberFormat="1" applyFont="1" applyBorder="1"/>
    <xf numFmtId="5" fontId="28" fillId="0" borderId="1" xfId="0" applyNumberFormat="1" applyFont="1" applyBorder="1"/>
    <xf numFmtId="5" fontId="6" fillId="0" borderId="1" xfId="0" applyNumberFormat="1" applyFont="1" applyBorder="1" applyAlignment="1">
      <alignment horizontal="right"/>
    </xf>
    <xf numFmtId="5" fontId="6" fillId="0" borderId="1" xfId="0" applyNumberFormat="1" applyFont="1" applyBorder="1"/>
    <xf numFmtId="0" fontId="0" fillId="0" borderId="1" xfId="0" applyBorder="1"/>
    <xf numFmtId="2" fontId="0" fillId="0" borderId="1" xfId="0" applyNumberFormat="1" applyBorder="1"/>
    <xf numFmtId="5" fontId="7" fillId="0" borderId="1" xfId="0" applyNumberFormat="1" applyFont="1" applyBorder="1"/>
    <xf numFmtId="37" fontId="11" fillId="0" borderId="11" xfId="0" applyNumberFormat="1" applyFont="1" applyBorder="1"/>
    <xf numFmtId="37" fontId="6" fillId="0" borderId="3" xfId="0" applyNumberFormat="1" applyFont="1" applyBorder="1"/>
    <xf numFmtId="37" fontId="11" fillId="0" borderId="3" xfId="0" applyNumberFormat="1" applyFont="1" applyBorder="1" applyAlignment="1">
      <alignment horizontal="left" indent="1"/>
    </xf>
    <xf numFmtId="37" fontId="11" fillId="0" borderId="3" xfId="0" applyNumberFormat="1" applyFont="1" applyBorder="1" applyAlignment="1">
      <alignment horizontal="left" indent="2"/>
    </xf>
    <xf numFmtId="0" fontId="28" fillId="0" borderId="3" xfId="0" applyFont="1" applyBorder="1" applyAlignment="1">
      <alignment horizontal="left" indent="1"/>
    </xf>
    <xf numFmtId="0" fontId="23" fillId="0" borderId="3" xfId="0" applyFont="1" applyBorder="1" applyAlignment="1">
      <alignment horizontal="left" indent="1"/>
    </xf>
    <xf numFmtId="37" fontId="28" fillId="0" borderId="3" xfId="0" applyNumberFormat="1" applyFont="1" applyBorder="1" applyAlignment="1">
      <alignment horizontal="left" indent="1"/>
    </xf>
    <xf numFmtId="37" fontId="6" fillId="0" borderId="3" xfId="0" applyNumberFormat="1" applyFont="1" applyBorder="1" applyAlignment="1">
      <alignment horizontal="left" indent="1"/>
    </xf>
    <xf numFmtId="37" fontId="11" fillId="0" borderId="3" xfId="0" applyNumberFormat="1" applyFont="1" applyBorder="1"/>
    <xf numFmtId="0" fontId="0" fillId="0" borderId="3" xfId="0" applyBorder="1"/>
    <xf numFmtId="0" fontId="0" fillId="0" borderId="3" xfId="0" applyBorder="1" applyAlignment="1">
      <alignment horizontal="right"/>
    </xf>
    <xf numFmtId="0" fontId="7" fillId="0" borderId="3" xfId="0" applyFont="1" applyBorder="1"/>
    <xf numFmtId="0" fontId="7" fillId="0" borderId="5" xfId="0" applyFont="1" applyBorder="1"/>
    <xf numFmtId="0" fontId="7" fillId="0" borderId="11" xfId="0" applyFont="1" applyBorder="1"/>
    <xf numFmtId="5" fontId="7" fillId="0" borderId="6" xfId="0" applyNumberFormat="1" applyFont="1" applyBorder="1"/>
    <xf numFmtId="37" fontId="6" fillId="0" borderId="12" xfId="0" applyNumberFormat="1" applyFont="1" applyBorder="1"/>
    <xf numFmtId="37" fontId="11" fillId="0" borderId="12" xfId="0" applyNumberFormat="1" applyFont="1" applyBorder="1"/>
    <xf numFmtId="37" fontId="7" fillId="0" borderId="12" xfId="0" applyNumberFormat="1" applyFont="1" applyBorder="1"/>
    <xf numFmtId="0" fontId="0" fillId="0" borderId="12" xfId="0" applyBorder="1"/>
    <xf numFmtId="0" fontId="0" fillId="0" borderId="13" xfId="0" applyBorder="1"/>
    <xf numFmtId="0" fontId="0" fillId="0" borderId="1" xfId="0" applyBorder="1" applyAlignment="1">
      <alignment horizontal="right"/>
    </xf>
    <xf numFmtId="10" fontId="7" fillId="0" borderId="1" xfId="0" applyNumberFormat="1" applyFont="1" applyBorder="1"/>
    <xf numFmtId="0" fontId="7" fillId="0" borderId="1" xfId="0" applyFont="1" applyBorder="1"/>
    <xf numFmtId="37" fontId="11" fillId="0" borderId="4" xfId="0" applyNumberFormat="1" applyFont="1" applyBorder="1"/>
    <xf numFmtId="0" fontId="0" fillId="0" borderId="4" xfId="0" applyBorder="1"/>
    <xf numFmtId="37" fontId="7" fillId="0" borderId="5" xfId="0" applyNumberFormat="1" applyFont="1" applyBorder="1"/>
    <xf numFmtId="0" fontId="7" fillId="0" borderId="11" xfId="0" applyFont="1" applyBorder="1" applyAlignment="1">
      <alignment horizontal="right"/>
    </xf>
    <xf numFmtId="2" fontId="0" fillId="0" borderId="11" xfId="0" applyNumberFormat="1" applyBorder="1"/>
    <xf numFmtId="0" fontId="7" fillId="0" borderId="6" xfId="0" applyFont="1" applyBorder="1"/>
    <xf numFmtId="167" fontId="7" fillId="0" borderId="12" xfId="0" applyNumberFormat="1" applyFont="1" applyBorder="1"/>
    <xf numFmtId="0" fontId="7" fillId="0" borderId="12" xfId="0" applyFont="1" applyBorder="1"/>
    <xf numFmtId="0" fontId="7" fillId="0" borderId="15" xfId="0" applyFont="1" applyBorder="1"/>
    <xf numFmtId="169" fontId="7" fillId="2" borderId="16" xfId="2" applyNumberFormat="1" applyFont="1" applyFill="1" applyBorder="1" applyProtection="1"/>
    <xf numFmtId="9" fontId="11" fillId="2" borderId="16" xfId="7" applyFont="1" applyFill="1" applyBorder="1" applyProtection="1"/>
    <xf numFmtId="9" fontId="11" fillId="2" borderId="17" xfId="0" applyNumberFormat="1" applyFont="1" applyFill="1" applyBorder="1"/>
    <xf numFmtId="2" fontId="0" fillId="2" borderId="17" xfId="0" applyNumberFormat="1" applyFill="1" applyBorder="1"/>
    <xf numFmtId="2" fontId="0" fillId="2" borderId="18" xfId="0" applyNumberFormat="1" applyFill="1" applyBorder="1"/>
    <xf numFmtId="0" fontId="7" fillId="0" borderId="0" xfId="0" applyFont="1" applyAlignment="1">
      <alignment horizontal="center"/>
    </xf>
    <xf numFmtId="0" fontId="7" fillId="0" borderId="0" xfId="0" applyFont="1" applyAlignment="1">
      <alignment horizontal="centerContinuous"/>
    </xf>
    <xf numFmtId="173" fontId="0" fillId="0" borderId="0" xfId="1" applyNumberFormat="1" applyFont="1" applyBorder="1"/>
    <xf numFmtId="37" fontId="11" fillId="0" borderId="4" xfId="0" applyNumberFormat="1" applyFont="1" applyBorder="1" applyAlignment="1">
      <alignment horizontal="left" indent="2"/>
    </xf>
    <xf numFmtId="0" fontId="0" fillId="0" borderId="6" xfId="0" applyBorder="1"/>
    <xf numFmtId="0" fontId="0" fillId="0" borderId="5" xfId="0" applyBorder="1"/>
    <xf numFmtId="37" fontId="7" fillId="0" borderId="3" xfId="0" applyNumberFormat="1" applyFont="1" applyBorder="1"/>
    <xf numFmtId="169" fontId="7" fillId="0" borderId="0" xfId="2" applyNumberFormat="1" applyFont="1" applyAlignment="1" applyProtection="1">
      <alignment horizontal="right"/>
    </xf>
    <xf numFmtId="169" fontId="19" fillId="0" borderId="0" xfId="2" applyNumberFormat="1" applyFont="1" applyAlignment="1" applyProtection="1">
      <alignment horizontal="right"/>
    </xf>
    <xf numFmtId="169" fontId="0" fillId="0" borderId="0" xfId="2" applyNumberFormat="1" applyFont="1" applyAlignment="1">
      <alignment horizontal="right"/>
    </xf>
    <xf numFmtId="169" fontId="19" fillId="0" borderId="0" xfId="2" applyNumberFormat="1" applyFont="1" applyAlignment="1">
      <alignment horizontal="right"/>
    </xf>
    <xf numFmtId="0" fontId="7" fillId="0" borderId="1" xfId="0" applyFont="1" applyBorder="1" applyAlignment="1">
      <alignment horizontal="right"/>
    </xf>
    <xf numFmtId="164" fontId="7" fillId="2" borderId="17" xfId="0" applyNumberFormat="1" applyFont="1" applyFill="1" applyBorder="1"/>
    <xf numFmtId="37" fontId="7" fillId="2" borderId="17" xfId="0" applyNumberFormat="1" applyFont="1" applyFill="1" applyBorder="1" applyAlignment="1">
      <alignment horizontal="right"/>
    </xf>
    <xf numFmtId="168" fontId="7" fillId="2" borderId="17" xfId="0" applyNumberFormat="1" applyFont="1" applyFill="1" applyBorder="1"/>
    <xf numFmtId="0" fontId="23" fillId="0" borderId="9" xfId="0" applyFont="1" applyBorder="1"/>
    <xf numFmtId="0" fontId="11" fillId="0" borderId="19" xfId="0" applyFont="1" applyBorder="1"/>
    <xf numFmtId="0" fontId="23" fillId="0" borderId="19" xfId="0" applyFont="1" applyBorder="1"/>
    <xf numFmtId="1" fontId="23" fillId="0" borderId="0" xfId="0" applyNumberFormat="1" applyFont="1"/>
    <xf numFmtId="9" fontId="17" fillId="0" borderId="0" xfId="7" applyFont="1" applyFill="1" applyBorder="1"/>
    <xf numFmtId="173" fontId="17" fillId="0" borderId="11" xfId="1" applyNumberFormat="1" applyFont="1" applyFill="1" applyBorder="1"/>
    <xf numFmtId="0" fontId="11" fillId="0" borderId="11" xfId="0" applyFont="1" applyBorder="1"/>
    <xf numFmtId="0" fontId="23" fillId="0" borderId="1" xfId="0" applyFont="1" applyBorder="1" applyAlignment="1">
      <alignment wrapText="1"/>
    </xf>
    <xf numFmtId="0" fontId="6" fillId="0" borderId="0" xfId="0" applyFont="1" applyAlignment="1">
      <alignment wrapText="1"/>
    </xf>
    <xf numFmtId="9" fontId="11" fillId="0" borderId="0" xfId="0" applyNumberFormat="1" applyFont="1" applyAlignment="1">
      <alignment wrapText="1"/>
    </xf>
    <xf numFmtId="0" fontId="7" fillId="0" borderId="19" xfId="0" applyFont="1" applyBorder="1"/>
    <xf numFmtId="0" fontId="7" fillId="0" borderId="19" xfId="0" applyFont="1" applyBorder="1" applyAlignment="1">
      <alignment horizontal="center"/>
    </xf>
    <xf numFmtId="10" fontId="0" fillId="0" borderId="11" xfId="0" applyNumberFormat="1" applyBorder="1"/>
    <xf numFmtId="0" fontId="0" fillId="0" borderId="0" xfId="0" applyAlignment="1">
      <alignment horizontal="center"/>
    </xf>
    <xf numFmtId="0" fontId="17" fillId="0" borderId="0" xfId="0" applyFont="1" applyAlignment="1">
      <alignment horizontal="center"/>
    </xf>
    <xf numFmtId="9" fontId="0" fillId="0" borderId="0" xfId="0" applyNumberFormat="1" applyAlignment="1">
      <alignment horizontal="center"/>
    </xf>
    <xf numFmtId="0" fontId="0" fillId="2" borderId="8" xfId="0" applyFill="1" applyBorder="1"/>
    <xf numFmtId="0" fontId="0" fillId="0" borderId="22" xfId="0" applyBorder="1"/>
    <xf numFmtId="0" fontId="17" fillId="0" borderId="23" xfId="0" applyFont="1" applyBorder="1" applyAlignment="1">
      <alignment horizontal="center"/>
    </xf>
    <xf numFmtId="173" fontId="17" fillId="0" borderId="23" xfId="1" applyNumberFormat="1" applyFont="1" applyBorder="1"/>
    <xf numFmtId="0" fontId="17" fillId="0" borderId="24" xfId="0" applyFont="1" applyBorder="1"/>
    <xf numFmtId="0" fontId="33" fillId="0" borderId="21" xfId="0" applyFont="1" applyBorder="1"/>
    <xf numFmtId="0" fontId="0" fillId="0" borderId="20" xfId="0" applyBorder="1"/>
    <xf numFmtId="0" fontId="0" fillId="0" borderId="21" xfId="0" applyBorder="1"/>
    <xf numFmtId="173" fontId="0" fillId="0" borderId="20" xfId="1" applyNumberFormat="1" applyFont="1" applyBorder="1"/>
    <xf numFmtId="173" fontId="33" fillId="0" borderId="0" xfId="1" applyNumberFormat="1" applyFont="1" applyBorder="1"/>
    <xf numFmtId="173" fontId="33" fillId="0" borderId="20" xfId="1" applyNumberFormat="1" applyFont="1" applyBorder="1"/>
    <xf numFmtId="0" fontId="17" fillId="0" borderId="21" xfId="0" applyFont="1" applyBorder="1"/>
    <xf numFmtId="0" fontId="33" fillId="0" borderId="21" xfId="0" applyFont="1" applyBorder="1" applyAlignment="1">
      <alignment horizontal="right"/>
    </xf>
    <xf numFmtId="0" fontId="35" fillId="0" borderId="0" xfId="0" applyFont="1" applyAlignment="1">
      <alignment horizontal="center"/>
    </xf>
    <xf numFmtId="0" fontId="17" fillId="0" borderId="25" xfId="0" applyFont="1" applyBorder="1"/>
    <xf numFmtId="0" fontId="0" fillId="0" borderId="7" xfId="0" applyBorder="1" applyAlignment="1">
      <alignment horizontal="center"/>
    </xf>
    <xf numFmtId="173" fontId="0" fillId="0" borderId="26" xfId="1" applyNumberFormat="1" applyFont="1" applyBorder="1"/>
    <xf numFmtId="9" fontId="0" fillId="0" borderId="20" xfId="7" applyFont="1" applyBorder="1"/>
    <xf numFmtId="9" fontId="0" fillId="0" borderId="20" xfId="0" applyNumberFormat="1" applyBorder="1"/>
    <xf numFmtId="0" fontId="0" fillId="0" borderId="25" xfId="0" applyBorder="1"/>
    <xf numFmtId="0" fontId="0" fillId="0" borderId="7" xfId="0" applyBorder="1"/>
    <xf numFmtId="9" fontId="0" fillId="0" borderId="26" xfId="7" applyFont="1" applyBorder="1"/>
    <xf numFmtId="173" fontId="0" fillId="0" borderId="20" xfId="0" applyNumberFormat="1" applyBorder="1"/>
    <xf numFmtId="173" fontId="17" fillId="0" borderId="7" xfId="1" applyNumberFormat="1" applyFont="1" applyBorder="1"/>
    <xf numFmtId="173" fontId="17" fillId="0" borderId="26" xfId="1" applyNumberFormat="1" applyFont="1" applyBorder="1"/>
    <xf numFmtId="0" fontId="7" fillId="0" borderId="17" xfId="0" applyFont="1" applyBorder="1" applyAlignment="1">
      <alignment horizontal="left"/>
    </xf>
    <xf numFmtId="3" fontId="6" fillId="0" borderId="0" xfId="0" applyNumberFormat="1" applyFont="1" applyAlignment="1">
      <alignment horizontal="centerContinuous"/>
    </xf>
    <xf numFmtId="173" fontId="17" fillId="0" borderId="0" xfId="1" applyNumberFormat="1" applyFont="1" applyAlignment="1">
      <alignment horizontal="left"/>
    </xf>
    <xf numFmtId="173" fontId="17" fillId="0" borderId="0" xfId="1" applyNumberFormat="1" applyFont="1" applyAlignment="1"/>
    <xf numFmtId="0" fontId="35" fillId="0" borderId="0" xfId="0" applyFont="1"/>
    <xf numFmtId="37" fontId="11" fillId="0" borderId="0" xfId="0" applyNumberFormat="1" applyFont="1" applyAlignment="1">
      <alignment horizontal="fill"/>
    </xf>
    <xf numFmtId="169" fontId="11" fillId="0" borderId="11" xfId="2" applyNumberFormat="1" applyFont="1" applyBorder="1" applyAlignment="1" applyProtection="1">
      <alignment horizontal="right"/>
    </xf>
    <xf numFmtId="3" fontId="23" fillId="2" borderId="17" xfId="0" applyNumberFormat="1" applyFont="1" applyFill="1" applyBorder="1" applyAlignment="1">
      <alignment horizontal="center"/>
    </xf>
    <xf numFmtId="169" fontId="23" fillId="2" borderId="17" xfId="2" applyNumberFormat="1" applyFont="1" applyFill="1" applyBorder="1" applyAlignment="1">
      <alignment horizontal="center"/>
    </xf>
    <xf numFmtId="170" fontId="17" fillId="0" borderId="0" xfId="0" applyNumberFormat="1" applyFont="1"/>
    <xf numFmtId="10" fontId="7" fillId="2" borderId="0" xfId="0" applyNumberFormat="1" applyFont="1" applyFill="1"/>
    <xf numFmtId="173" fontId="33" fillId="0" borderId="20" xfId="0" applyNumberFormat="1" applyFont="1" applyBorder="1"/>
    <xf numFmtId="0" fontId="11" fillId="0" borderId="3" xfId="0" applyFont="1" applyBorder="1" applyAlignment="1">
      <alignment horizontal="right" indent="1"/>
    </xf>
    <xf numFmtId="170" fontId="4" fillId="0" borderId="0" xfId="6" applyNumberFormat="1"/>
    <xf numFmtId="0" fontId="4" fillId="0" borderId="0" xfId="6"/>
    <xf numFmtId="0" fontId="37" fillId="0" borderId="0" xfId="6" applyFont="1" applyAlignment="1">
      <alignment horizontal="left"/>
    </xf>
    <xf numFmtId="0" fontId="37" fillId="0" borderId="0" xfId="6" applyFont="1"/>
    <xf numFmtId="0" fontId="37" fillId="0" borderId="0" xfId="6" applyFont="1" applyAlignment="1">
      <alignment horizontal="center"/>
    </xf>
    <xf numFmtId="0" fontId="4" fillId="0" borderId="0" xfId="6" applyAlignment="1">
      <alignment horizontal="left"/>
    </xf>
    <xf numFmtId="170" fontId="4" fillId="0" borderId="7" xfId="6" applyNumberFormat="1" applyBorder="1" applyAlignment="1">
      <alignment horizontal="center"/>
    </xf>
    <xf numFmtId="0" fontId="24" fillId="0" borderId="0" xfId="6" applyFont="1" applyAlignment="1">
      <alignment horizontal="left"/>
    </xf>
    <xf numFmtId="0" fontId="4" fillId="0" borderId="0" xfId="6" applyAlignment="1">
      <alignment horizontal="center"/>
    </xf>
    <xf numFmtId="0" fontId="24" fillId="0" borderId="0" xfId="6" applyFont="1"/>
    <xf numFmtId="3" fontId="4" fillId="0" borderId="7" xfId="6" applyNumberFormat="1" applyBorder="1" applyAlignment="1">
      <alignment horizontal="center"/>
    </xf>
    <xf numFmtId="3" fontId="37" fillId="0" borderId="7" xfId="6" applyNumberFormat="1" applyFont="1" applyBorder="1" applyAlignment="1">
      <alignment horizontal="center"/>
    </xf>
    <xf numFmtId="0" fontId="37" fillId="0" borderId="0" xfId="6" applyFont="1" applyAlignment="1">
      <alignment horizontal="left" wrapText="1"/>
    </xf>
    <xf numFmtId="0" fontId="4" fillId="0" borderId="0" xfId="6" applyAlignment="1">
      <alignment wrapText="1"/>
    </xf>
    <xf numFmtId="0" fontId="38" fillId="0" borderId="0" xfId="6" applyFont="1" applyAlignment="1">
      <alignment horizontal="center" wrapText="1"/>
    </xf>
    <xf numFmtId="0" fontId="38" fillId="0" borderId="0" xfId="6" applyFont="1" applyAlignment="1">
      <alignment wrapText="1"/>
    </xf>
    <xf numFmtId="0" fontId="37" fillId="0" borderId="0" xfId="6" applyFont="1" applyAlignment="1">
      <alignment horizontal="center" wrapText="1"/>
    </xf>
    <xf numFmtId="0" fontId="38" fillId="0" borderId="0" xfId="6" applyFont="1" applyAlignment="1">
      <alignment horizontal="left"/>
    </xf>
    <xf numFmtId="0" fontId="38" fillId="0" borderId="0" xfId="6" applyFont="1"/>
    <xf numFmtId="0" fontId="4" fillId="0" borderId="7" xfId="6" applyBorder="1" applyAlignment="1" applyProtection="1">
      <alignment horizontal="center"/>
      <protection locked="0"/>
    </xf>
    <xf numFmtId="170" fontId="37" fillId="0" borderId="7" xfId="6" applyNumberFormat="1" applyFont="1" applyBorder="1" applyAlignment="1">
      <alignment horizontal="center"/>
    </xf>
    <xf numFmtId="170" fontId="4" fillId="0" borderId="27" xfId="6" applyNumberFormat="1" applyBorder="1" applyProtection="1">
      <protection locked="0"/>
    </xf>
    <xf numFmtId="170" fontId="37" fillId="0" borderId="7" xfId="6" applyNumberFormat="1" applyFont="1" applyBorder="1"/>
    <xf numFmtId="170" fontId="37" fillId="0" borderId="27" xfId="6" applyNumberFormat="1" applyFont="1" applyBorder="1"/>
    <xf numFmtId="170" fontId="37" fillId="0" borderId="0" xfId="6" applyNumberFormat="1" applyFont="1"/>
    <xf numFmtId="170" fontId="4" fillId="0" borderId="0" xfId="6" applyNumberFormat="1" applyProtection="1">
      <protection locked="0"/>
    </xf>
    <xf numFmtId="0" fontId="24" fillId="0" borderId="0" xfId="6" applyFont="1" applyAlignment="1">
      <alignment wrapText="1"/>
    </xf>
    <xf numFmtId="0" fontId="24" fillId="0" borderId="21" xfId="6" applyFont="1" applyBorder="1" applyAlignment="1">
      <alignment wrapText="1"/>
    </xf>
    <xf numFmtId="170" fontId="4" fillId="0" borderId="7" xfId="6" applyNumberFormat="1" applyBorder="1" applyProtection="1">
      <protection locked="0"/>
    </xf>
    <xf numFmtId="170" fontId="37" fillId="0" borderId="7" xfId="6" applyNumberFormat="1" applyFont="1" applyBorder="1" applyProtection="1">
      <protection locked="0"/>
    </xf>
    <xf numFmtId="3" fontId="4" fillId="0" borderId="0" xfId="6" applyNumberFormat="1"/>
    <xf numFmtId="0" fontId="37" fillId="0" borderId="0" xfId="6" applyFont="1" applyAlignment="1">
      <alignment wrapText="1"/>
    </xf>
    <xf numFmtId="0" fontId="4" fillId="0" borderId="7" xfId="6" applyBorder="1" applyProtection="1">
      <protection locked="0"/>
    </xf>
    <xf numFmtId="0" fontId="37" fillId="0" borderId="7" xfId="6" applyFont="1" applyBorder="1" applyProtection="1">
      <protection locked="0"/>
    </xf>
    <xf numFmtId="41" fontId="23" fillId="2" borderId="0" xfId="0" applyNumberFormat="1" applyFont="1" applyFill="1"/>
    <xf numFmtId="44" fontId="23" fillId="2" borderId="17" xfId="2" applyFont="1" applyFill="1" applyBorder="1" applyAlignment="1">
      <alignment horizontal="center"/>
    </xf>
    <xf numFmtId="0" fontId="23" fillId="0" borderId="7" xfId="0" applyFont="1" applyBorder="1" applyAlignment="1">
      <alignment horizontal="center"/>
    </xf>
    <xf numFmtId="3" fontId="23" fillId="0" borderId="17" xfId="0" applyNumberFormat="1" applyFont="1" applyBorder="1" applyAlignment="1">
      <alignment horizontal="center"/>
    </xf>
    <xf numFmtId="41" fontId="23" fillId="2" borderId="1" xfId="0" applyNumberFormat="1" applyFont="1" applyFill="1" applyBorder="1"/>
    <xf numFmtId="41" fontId="11" fillId="2" borderId="0" xfId="0" applyNumberFormat="1" applyFont="1" applyFill="1"/>
    <xf numFmtId="41" fontId="29" fillId="2" borderId="0" xfId="0" applyNumberFormat="1" applyFont="1" applyFill="1"/>
    <xf numFmtId="41" fontId="23" fillId="2" borderId="4" xfId="0" applyNumberFormat="1" applyFont="1" applyFill="1" applyBorder="1"/>
    <xf numFmtId="41" fontId="6" fillId="2" borderId="4" xfId="0" applyNumberFormat="1" applyFont="1" applyFill="1" applyBorder="1"/>
    <xf numFmtId="0" fontId="36" fillId="0" borderId="0" xfId="6" applyFont="1"/>
    <xf numFmtId="0" fontId="37" fillId="0" borderId="0" xfId="6" applyFont="1" applyAlignment="1">
      <alignment horizontal="right"/>
    </xf>
    <xf numFmtId="0" fontId="37" fillId="3" borderId="0" xfId="6" applyFont="1" applyFill="1"/>
    <xf numFmtId="0" fontId="17" fillId="0" borderId="0" xfId="6" applyFont="1"/>
    <xf numFmtId="0" fontId="17" fillId="3" borderId="0" xfId="6" applyFont="1" applyFill="1"/>
    <xf numFmtId="0" fontId="23" fillId="0" borderId="0" xfId="5" applyFont="1" applyAlignment="1">
      <alignment horizontal="center" wrapText="1"/>
    </xf>
    <xf numFmtId="0" fontId="23" fillId="0" borderId="0" xfId="5" applyFont="1" applyAlignment="1">
      <alignment horizontal="center"/>
    </xf>
    <xf numFmtId="173" fontId="23" fillId="0" borderId="0" xfId="1" applyNumberFormat="1" applyFont="1" applyFill="1" applyBorder="1"/>
    <xf numFmtId="0" fontId="17" fillId="4" borderId="27" xfId="5" applyFont="1" applyFill="1" applyBorder="1" applyAlignment="1">
      <alignment horizontal="center"/>
    </xf>
    <xf numFmtId="3" fontId="23" fillId="4" borderId="28" xfId="0" applyNumberFormat="1" applyFont="1" applyFill="1" applyBorder="1" applyAlignment="1">
      <alignment horizontal="center"/>
    </xf>
    <xf numFmtId="9" fontId="23" fillId="0" borderId="0" xfId="5" applyNumberFormat="1" applyFont="1" applyAlignment="1">
      <alignment horizontal="center"/>
    </xf>
    <xf numFmtId="43" fontId="23" fillId="0" borderId="0" xfId="5" applyNumberFormat="1" applyFont="1" applyAlignment="1">
      <alignment horizontal="center"/>
    </xf>
    <xf numFmtId="0" fontId="23" fillId="0" borderId="1" xfId="5" applyFont="1" applyBorder="1" applyAlignment="1">
      <alignment horizontal="center" wrapText="1"/>
    </xf>
    <xf numFmtId="0" fontId="6" fillId="0" borderId="11" xfId="0" applyFont="1" applyBorder="1" applyAlignment="1">
      <alignment horizontal="right"/>
    </xf>
    <xf numFmtId="173" fontId="23" fillId="0" borderId="1" xfId="1" applyNumberFormat="1" applyFont="1" applyFill="1" applyBorder="1"/>
    <xf numFmtId="0" fontId="23" fillId="0" borderId="29" xfId="0" applyFont="1" applyBorder="1" applyAlignment="1">
      <alignment horizontal="center"/>
    </xf>
    <xf numFmtId="0" fontId="23" fillId="0" borderId="1" xfId="0" applyFont="1" applyBorder="1" applyAlignment="1">
      <alignment horizontal="center"/>
    </xf>
    <xf numFmtId="0" fontId="23" fillId="0" borderId="10" xfId="0" applyFont="1" applyBorder="1"/>
    <xf numFmtId="0" fontId="23" fillId="0" borderId="3" xfId="5" applyFont="1" applyBorder="1" applyAlignment="1">
      <alignment horizontal="right"/>
    </xf>
    <xf numFmtId="0" fontId="23" fillId="0" borderId="5" xfId="5" applyFont="1" applyBorder="1" applyAlignment="1">
      <alignment horizontal="right"/>
    </xf>
    <xf numFmtId="0" fontId="23" fillId="0" borderId="11" xfId="5" applyFont="1" applyBorder="1" applyAlignment="1">
      <alignment horizontal="center"/>
    </xf>
    <xf numFmtId="0" fontId="23" fillId="0" borderId="2" xfId="0" applyFont="1" applyBorder="1" applyAlignment="1">
      <alignment horizontal="left"/>
    </xf>
    <xf numFmtId="9" fontId="23" fillId="0" borderId="5" xfId="7" applyFont="1" applyFill="1" applyBorder="1" applyAlignment="1">
      <alignment horizontal="left"/>
    </xf>
    <xf numFmtId="0" fontId="23" fillId="0" borderId="6" xfId="0" applyFont="1" applyBorder="1" applyAlignment="1">
      <alignment horizontal="left"/>
    </xf>
    <xf numFmtId="0" fontId="23" fillId="2" borderId="17" xfId="0" applyFont="1" applyFill="1" applyBorder="1"/>
    <xf numFmtId="170" fontId="6" fillId="0" borderId="4" xfId="0" applyNumberFormat="1" applyFont="1" applyBorder="1"/>
    <xf numFmtId="10" fontId="11" fillId="2" borderId="3" xfId="0" applyNumberFormat="1" applyFont="1" applyFill="1" applyBorder="1"/>
    <xf numFmtId="10" fontId="0" fillId="2" borderId="8" xfId="0" applyNumberFormat="1" applyFill="1" applyBorder="1"/>
    <xf numFmtId="5" fontId="23" fillId="0" borderId="0" xfId="0" quotePrefix="1" applyNumberFormat="1" applyFont="1"/>
    <xf numFmtId="5" fontId="23" fillId="0" borderId="1" xfId="0" applyNumberFormat="1" applyFont="1" applyBorder="1"/>
    <xf numFmtId="2" fontId="23" fillId="0" borderId="0" xfId="0" applyNumberFormat="1" applyFont="1"/>
    <xf numFmtId="0" fontId="6" fillId="0" borderId="3" xfId="0" applyFont="1" applyBorder="1" applyAlignment="1">
      <alignment horizontal="right"/>
    </xf>
    <xf numFmtId="164" fontId="6" fillId="0" borderId="0" xfId="0" applyNumberFormat="1" applyFont="1" applyAlignment="1">
      <alignment horizontal="left"/>
    </xf>
    <xf numFmtId="0" fontId="11" fillId="0" borderId="0" xfId="0" applyFont="1" applyAlignment="1">
      <alignment horizontal="left" wrapText="1"/>
    </xf>
    <xf numFmtId="37" fontId="11" fillId="0" borderId="0" xfId="0" applyNumberFormat="1" applyFont="1" applyAlignment="1">
      <alignment horizontal="center" wrapText="1"/>
    </xf>
    <xf numFmtId="7" fontId="11" fillId="0" borderId="0" xfId="0" applyNumberFormat="1" applyFont="1" applyAlignment="1">
      <alignment horizontal="center" wrapText="1"/>
    </xf>
    <xf numFmtId="0" fontId="23" fillId="2" borderId="4" xfId="0" applyFont="1" applyFill="1" applyBorder="1"/>
    <xf numFmtId="173" fontId="6" fillId="0" borderId="1" xfId="0" applyNumberFormat="1" applyFont="1" applyBorder="1"/>
    <xf numFmtId="173" fontId="6" fillId="0" borderId="6" xfId="0" applyNumberFormat="1" applyFont="1" applyBorder="1"/>
    <xf numFmtId="0" fontId="23" fillId="4" borderId="0" xfId="5" applyFont="1" applyFill="1" applyAlignment="1">
      <alignment horizontal="center"/>
    </xf>
    <xf numFmtId="43" fontId="23" fillId="4" borderId="0" xfId="5" applyNumberFormat="1" applyFont="1" applyFill="1" applyAlignment="1">
      <alignment horizontal="center"/>
    </xf>
    <xf numFmtId="173" fontId="23" fillId="4" borderId="0" xfId="1" applyNumberFormat="1" applyFont="1" applyFill="1" applyBorder="1"/>
    <xf numFmtId="0" fontId="0" fillId="4" borderId="0" xfId="0" applyFill="1"/>
    <xf numFmtId="0" fontId="0" fillId="0" borderId="0" xfId="0" applyAlignment="1">
      <alignment horizontal="left" wrapText="1" indent="2"/>
    </xf>
    <xf numFmtId="0" fontId="0" fillId="0" borderId="0" xfId="0" applyAlignment="1">
      <alignment horizontal="left" indent="1"/>
    </xf>
    <xf numFmtId="0" fontId="41" fillId="0" borderId="0" xfId="0" applyFont="1"/>
    <xf numFmtId="0" fontId="23" fillId="0" borderId="0" xfId="0" applyFont="1" applyAlignment="1">
      <alignment horizontal="left" wrapText="1" indent="2"/>
    </xf>
    <xf numFmtId="169" fontId="0" fillId="0" borderId="0" xfId="0" applyNumberFormat="1"/>
    <xf numFmtId="0" fontId="17" fillId="4" borderId="0" xfId="0" applyFont="1" applyFill="1"/>
    <xf numFmtId="171" fontId="23" fillId="0" borderId="0" xfId="0" applyNumberFormat="1" applyFont="1" applyAlignment="1">
      <alignment horizontal="center"/>
    </xf>
    <xf numFmtId="174" fontId="7" fillId="0" borderId="11" xfId="0" applyNumberFormat="1" applyFont="1" applyBorder="1"/>
    <xf numFmtId="5" fontId="0" fillId="0" borderId="21" xfId="0" applyNumberFormat="1" applyBorder="1"/>
    <xf numFmtId="43" fontId="0" fillId="0" borderId="21" xfId="1" applyFont="1" applyBorder="1"/>
    <xf numFmtId="173" fontId="7" fillId="0" borderId="0" xfId="1" applyNumberFormat="1" applyFont="1" applyProtection="1"/>
    <xf numFmtId="173" fontId="0" fillId="0" borderId="0" xfId="0" applyNumberFormat="1"/>
    <xf numFmtId="173" fontId="42" fillId="0" borderId="0" xfId="1" applyNumberFormat="1" applyFont="1"/>
    <xf numFmtId="173" fontId="42" fillId="0" borderId="0" xfId="1" applyNumberFormat="1" applyFont="1" applyProtection="1"/>
    <xf numFmtId="0" fontId="23" fillId="0" borderId="0" xfId="5" applyFont="1" applyAlignment="1">
      <alignment horizontal="right"/>
    </xf>
    <xf numFmtId="0" fontId="17" fillId="0" borderId="0" xfId="0" applyFont="1" applyAlignment="1">
      <alignment horizontal="left" indent="2"/>
    </xf>
    <xf numFmtId="173" fontId="23" fillId="0" borderId="0" xfId="1" applyNumberFormat="1" applyFont="1" applyFill="1"/>
    <xf numFmtId="0" fontId="43" fillId="0" borderId="3" xfId="0" applyFont="1" applyBorder="1"/>
    <xf numFmtId="0" fontId="27" fillId="0" borderId="3" xfId="0" applyFont="1" applyBorder="1"/>
    <xf numFmtId="168" fontId="7" fillId="2" borderId="18" xfId="0" applyNumberFormat="1" applyFont="1" applyFill="1" applyBorder="1"/>
    <xf numFmtId="0" fontId="42" fillId="0" borderId="23" xfId="0" applyFont="1" applyBorder="1"/>
    <xf numFmtId="173" fontId="0" fillId="2" borderId="8" xfId="1" applyNumberFormat="1" applyFont="1" applyFill="1" applyBorder="1"/>
    <xf numFmtId="173" fontId="0" fillId="4" borderId="20" xfId="1" applyNumberFormat="1" applyFont="1" applyFill="1" applyBorder="1"/>
    <xf numFmtId="0" fontId="0" fillId="4" borderId="20" xfId="0" applyFill="1" applyBorder="1"/>
    <xf numFmtId="169" fontId="7" fillId="0" borderId="0" xfId="0" applyNumberFormat="1" applyFont="1"/>
    <xf numFmtId="170" fontId="0" fillId="0" borderId="0" xfId="0" applyNumberFormat="1"/>
    <xf numFmtId="170" fontId="0" fillId="0" borderId="11" xfId="0" applyNumberFormat="1" applyBorder="1"/>
    <xf numFmtId="0" fontId="47" fillId="0" borderId="0" xfId="0" applyFont="1" applyAlignment="1">
      <alignment horizontal="center" wrapText="1"/>
    </xf>
    <xf numFmtId="0" fontId="47" fillId="0" borderId="0" xfId="0" applyFont="1"/>
    <xf numFmtId="37" fontId="40" fillId="0" borderId="0" xfId="0" applyNumberFormat="1" applyFont="1"/>
    <xf numFmtId="3" fontId="40" fillId="0" borderId="0" xfId="0" applyNumberFormat="1" applyFont="1"/>
    <xf numFmtId="0" fontId="40" fillId="0" borderId="0" xfId="0" applyFont="1"/>
    <xf numFmtId="0" fontId="37" fillId="0" borderId="0" xfId="6" applyFont="1" applyAlignment="1">
      <alignment horizontal="left" indent="1"/>
    </xf>
    <xf numFmtId="0" fontId="5" fillId="0" borderId="0" xfId="0" applyFont="1"/>
    <xf numFmtId="0" fontId="37" fillId="0" borderId="0" xfId="0" applyFont="1"/>
    <xf numFmtId="0" fontId="5" fillId="0" borderId="0" xfId="6" applyFont="1"/>
    <xf numFmtId="0" fontId="4" fillId="0" borderId="7" xfId="6" applyBorder="1"/>
    <xf numFmtId="0" fontId="4" fillId="0" borderId="27" xfId="6" applyBorder="1"/>
    <xf numFmtId="173" fontId="17" fillId="5" borderId="9" xfId="1" applyNumberFormat="1" applyFont="1" applyFill="1" applyBorder="1"/>
    <xf numFmtId="0" fontId="23" fillId="5" borderId="8" xfId="0" applyFont="1" applyFill="1" applyBorder="1" applyAlignment="1">
      <alignment horizontal="center"/>
    </xf>
    <xf numFmtId="3" fontId="23" fillId="5" borderId="8" xfId="0" applyNumberFormat="1" applyFont="1" applyFill="1" applyBorder="1" applyAlignment="1">
      <alignment horizontal="center"/>
    </xf>
    <xf numFmtId="0" fontId="23" fillId="5" borderId="7" xfId="0" applyFont="1" applyFill="1" applyBorder="1" applyAlignment="1">
      <alignment horizontal="center"/>
    </xf>
    <xf numFmtId="0" fontId="23" fillId="5" borderId="0" xfId="5" applyFont="1" applyFill="1" applyAlignment="1">
      <alignment horizontal="center" wrapText="1"/>
    </xf>
    <xf numFmtId="0" fontId="23" fillId="5" borderId="8" xfId="5" applyFont="1" applyFill="1" applyBorder="1" applyAlignment="1">
      <alignment horizontal="center" wrapText="1"/>
    </xf>
    <xf numFmtId="0" fontId="0" fillId="0" borderId="20" xfId="7" applyNumberFormat="1" applyFont="1" applyBorder="1"/>
    <xf numFmtId="0" fontId="0" fillId="0" borderId="23" xfId="0" applyBorder="1"/>
    <xf numFmtId="173" fontId="0" fillId="0" borderId="24" xfId="0" applyNumberFormat="1" applyBorder="1"/>
    <xf numFmtId="9" fontId="0" fillId="2" borderId="8" xfId="0" applyNumberFormat="1" applyFill="1" applyBorder="1"/>
    <xf numFmtId="10" fontId="42" fillId="2" borderId="24" xfId="0" applyNumberFormat="1" applyFont="1" applyFill="1" applyBorder="1"/>
    <xf numFmtId="169" fontId="7" fillId="0" borderId="0" xfId="2" applyNumberFormat="1" applyFont="1" applyFill="1" applyAlignment="1" applyProtection="1">
      <alignment horizontal="right"/>
    </xf>
    <xf numFmtId="0" fontId="7" fillId="0" borderId="3" xfId="0" applyFont="1" applyBorder="1" applyAlignment="1">
      <alignment horizontal="right"/>
    </xf>
    <xf numFmtId="173" fontId="11" fillId="0" borderId="0" xfId="1" applyNumberFormat="1" applyFont="1" applyBorder="1" applyProtection="1"/>
    <xf numFmtId="41" fontId="23" fillId="2" borderId="33" xfId="0" applyNumberFormat="1" applyFont="1" applyFill="1" applyBorder="1"/>
    <xf numFmtId="41" fontId="11" fillId="2" borderId="33" xfId="0" applyNumberFormat="1" applyFont="1" applyFill="1" applyBorder="1"/>
    <xf numFmtId="41" fontId="23" fillId="2" borderId="33" xfId="0" applyNumberFormat="1" applyFont="1" applyFill="1" applyBorder="1" applyAlignment="1">
      <alignment horizontal="right"/>
    </xf>
    <xf numFmtId="41" fontId="11" fillId="2" borderId="3" xfId="0" applyNumberFormat="1" applyFont="1" applyFill="1" applyBorder="1"/>
    <xf numFmtId="0" fontId="19" fillId="4" borderId="9" xfId="5" applyFont="1" applyFill="1" applyBorder="1" applyAlignment="1">
      <alignment horizontal="center" wrapText="1"/>
    </xf>
    <xf numFmtId="3" fontId="23" fillId="0" borderId="0" xfId="0" applyNumberFormat="1" applyFont="1" applyAlignment="1">
      <alignment horizontal="center"/>
    </xf>
    <xf numFmtId="0" fontId="46" fillId="0" borderId="0" xfId="0" applyFont="1"/>
    <xf numFmtId="9" fontId="23" fillId="0" borderId="0" xfId="0" applyNumberFormat="1" applyFont="1" applyAlignment="1">
      <alignment horizontal="center" vertical="center"/>
    </xf>
    <xf numFmtId="0" fontId="19" fillId="0" borderId="0" xfId="0" applyFont="1" applyAlignment="1">
      <alignment horizontal="center" vertical="center" wrapText="1"/>
    </xf>
    <xf numFmtId="0" fontId="6" fillId="0" borderId="34" xfId="0" applyFont="1" applyBorder="1"/>
    <xf numFmtId="0" fontId="23" fillId="0" borderId="35" xfId="0" applyFont="1" applyBorder="1"/>
    <xf numFmtId="0" fontId="6" fillId="0" borderId="35" xfId="0" applyFont="1" applyBorder="1" applyAlignment="1">
      <alignment horizontal="right"/>
    </xf>
    <xf numFmtId="0" fontId="6" fillId="0" borderId="35" xfId="0" applyFont="1" applyBorder="1"/>
    <xf numFmtId="169" fontId="6" fillId="0" borderId="35" xfId="0" applyNumberFormat="1" applyFont="1" applyBorder="1"/>
    <xf numFmtId="0" fontId="23" fillId="0" borderId="36" xfId="0" applyFont="1" applyBorder="1"/>
    <xf numFmtId="0" fontId="0" fillId="0" borderId="37" xfId="0" applyBorder="1"/>
    <xf numFmtId="0" fontId="0" fillId="0" borderId="38" xfId="0" applyBorder="1"/>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23" fillId="0" borderId="42" xfId="0" applyFont="1" applyBorder="1" applyAlignment="1">
      <alignment horizontal="center"/>
    </xf>
    <xf numFmtId="9" fontId="23" fillId="0" borderId="43" xfId="0" applyNumberFormat="1" applyFont="1" applyBorder="1" applyAlignment="1">
      <alignment horizontal="center"/>
    </xf>
    <xf numFmtId="0" fontId="23" fillId="0" borderId="44" xfId="0" applyFont="1" applyBorder="1" applyAlignment="1">
      <alignment horizontal="center"/>
    </xf>
    <xf numFmtId="9" fontId="23" fillId="0" borderId="45" xfId="0" applyNumberFormat="1" applyFont="1" applyBorder="1" applyAlignment="1">
      <alignment horizontal="center"/>
    </xf>
    <xf numFmtId="3" fontId="23" fillId="0" borderId="44" xfId="0" applyNumberFormat="1" applyFont="1" applyBorder="1" applyAlignment="1">
      <alignment horizontal="center"/>
    </xf>
    <xf numFmtId="0" fontId="23" fillId="0" borderId="46" xfId="0" applyFont="1" applyBorder="1" applyAlignment="1">
      <alignment horizontal="center"/>
    </xf>
    <xf numFmtId="9" fontId="23" fillId="0" borderId="47" xfId="0" applyNumberFormat="1" applyFont="1" applyBorder="1" applyAlignment="1">
      <alignment horizontal="center"/>
    </xf>
    <xf numFmtId="0" fontId="23" fillId="0" borderId="48" xfId="0" applyFont="1" applyBorder="1" applyAlignment="1">
      <alignment horizontal="center"/>
    </xf>
    <xf numFmtId="9" fontId="19" fillId="0" borderId="49" xfId="0" applyNumberFormat="1" applyFont="1" applyBorder="1" applyAlignment="1">
      <alignment horizontal="center"/>
    </xf>
    <xf numFmtId="0" fontId="23" fillId="0" borderId="49" xfId="0" applyFont="1" applyBorder="1" applyAlignment="1">
      <alignment horizontal="center"/>
    </xf>
    <xf numFmtId="0" fontId="23" fillId="0" borderId="50" xfId="0" applyFont="1" applyBorder="1" applyAlignment="1">
      <alignment horizontal="center"/>
    </xf>
    <xf numFmtId="0" fontId="23" fillId="2" borderId="17" xfId="0" applyFont="1" applyFill="1" applyBorder="1" applyAlignment="1">
      <alignment horizontal="center"/>
    </xf>
    <xf numFmtId="1" fontId="23" fillId="0" borderId="0" xfId="0" applyNumberFormat="1" applyFont="1" applyAlignment="1">
      <alignment horizontal="center"/>
    </xf>
    <xf numFmtId="1" fontId="6" fillId="0" borderId="0" xfId="0" applyNumberFormat="1" applyFont="1" applyAlignment="1">
      <alignment horizontal="center"/>
    </xf>
    <xf numFmtId="1" fontId="23" fillId="2" borderId="17" xfId="0" applyNumberFormat="1" applyFont="1" applyFill="1" applyBorder="1" applyAlignment="1">
      <alignment horizontal="center"/>
    </xf>
    <xf numFmtId="3" fontId="11" fillId="0" borderId="0" xfId="0" applyNumberFormat="1" applyFont="1" applyAlignment="1">
      <alignment horizontal="center"/>
    </xf>
    <xf numFmtId="3" fontId="6" fillId="0" borderId="0" xfId="0" applyNumberFormat="1" applyFont="1" applyAlignment="1">
      <alignment horizontal="center"/>
    </xf>
    <xf numFmtId="3" fontId="47" fillId="0" borderId="28" xfId="0" applyNumberFormat="1" applyFont="1" applyBorder="1" applyAlignment="1">
      <alignment horizontal="center"/>
    </xf>
    <xf numFmtId="9" fontId="23" fillId="0" borderId="51" xfId="0" applyNumberFormat="1" applyFont="1" applyBorder="1" applyAlignment="1">
      <alignment horizontal="center"/>
    </xf>
    <xf numFmtId="9" fontId="23" fillId="2" borderId="51" xfId="0" applyNumberFormat="1" applyFont="1" applyFill="1" applyBorder="1" applyAlignment="1">
      <alignment horizontal="center"/>
    </xf>
    <xf numFmtId="1" fontId="7" fillId="0" borderId="17" xfId="0" applyNumberFormat="1" applyFont="1" applyBorder="1" applyAlignment="1">
      <alignment horizontal="center"/>
    </xf>
    <xf numFmtId="1" fontId="19" fillId="5" borderId="10" xfId="7" applyNumberFormat="1" applyFont="1" applyFill="1" applyBorder="1" applyAlignment="1">
      <alignment horizontal="right"/>
    </xf>
    <xf numFmtId="0" fontId="50" fillId="0" borderId="0" xfId="0" applyFont="1"/>
    <xf numFmtId="0" fontId="7" fillId="0" borderId="11" xfId="0" applyFont="1" applyBorder="1" applyAlignment="1">
      <alignment vertical="center"/>
    </xf>
    <xf numFmtId="0" fontId="6" fillId="0" borderId="11" xfId="0" applyFont="1" applyBorder="1" applyAlignment="1">
      <alignment horizontal="right" vertical="center"/>
    </xf>
    <xf numFmtId="0" fontId="7" fillId="0" borderId="6"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7" fillId="0" borderId="3" xfId="0" applyFont="1" applyBorder="1" applyAlignment="1">
      <alignment vertical="center"/>
    </xf>
    <xf numFmtId="0" fontId="7" fillId="0" borderId="1" xfId="0" applyFont="1" applyBorder="1" applyAlignment="1">
      <alignment vertical="center"/>
    </xf>
    <xf numFmtId="5" fontId="7" fillId="0" borderId="0" xfId="0" applyNumberFormat="1" applyFont="1" applyAlignment="1">
      <alignment vertical="center"/>
    </xf>
    <xf numFmtId="0" fontId="15" fillId="0" borderId="0" xfId="0" applyFont="1" applyAlignment="1">
      <alignment vertical="center"/>
    </xf>
    <xf numFmtId="5" fontId="0" fillId="0" borderId="0" xfId="2" applyNumberFormat="1" applyFont="1" applyBorder="1" applyAlignment="1">
      <alignment vertical="center"/>
    </xf>
    <xf numFmtId="0" fontId="7" fillId="0" borderId="3" xfId="0" applyFont="1" applyBorder="1" applyAlignment="1">
      <alignment horizontal="right" vertical="center"/>
    </xf>
    <xf numFmtId="0" fontId="7" fillId="2" borderId="17" xfId="0" applyFont="1" applyFill="1" applyBorder="1" applyAlignment="1">
      <alignment horizontal="center" vertical="center"/>
    </xf>
    <xf numFmtId="4" fontId="0" fillId="0" borderId="3" xfId="0" applyNumberFormat="1" applyBorder="1" applyAlignment="1">
      <alignment vertical="center"/>
    </xf>
    <xf numFmtId="0" fontId="7" fillId="0" borderId="37" xfId="0" applyFont="1" applyBorder="1" applyAlignment="1">
      <alignment horizontal="right" vertical="center"/>
    </xf>
    <xf numFmtId="6" fontId="0" fillId="0" borderId="0" xfId="0" applyNumberFormat="1" applyAlignment="1">
      <alignment horizontal="center" vertical="center"/>
    </xf>
    <xf numFmtId="0" fontId="7" fillId="0" borderId="0" xfId="0" applyFont="1" applyAlignment="1">
      <alignment horizontal="center" vertical="center"/>
    </xf>
    <xf numFmtId="169" fontId="19" fillId="0" borderId="0" xfId="2" applyNumberFormat="1" applyFont="1" applyFill="1" applyBorder="1" applyAlignment="1">
      <alignment vertical="center"/>
    </xf>
    <xf numFmtId="9" fontId="7" fillId="0" borderId="0" xfId="0" applyNumberFormat="1" applyFont="1" applyAlignment="1">
      <alignment vertical="center"/>
    </xf>
    <xf numFmtId="0" fontId="6" fillId="0" borderId="3" xfId="0" applyFont="1" applyBorder="1" applyAlignment="1">
      <alignment vertical="center"/>
    </xf>
    <xf numFmtId="169" fontId="6" fillId="0" borderId="0" xfId="0" applyNumberFormat="1" applyFont="1" applyAlignment="1">
      <alignment vertical="center"/>
    </xf>
    <xf numFmtId="0" fontId="6" fillId="0" borderId="1" xfId="0" applyFont="1" applyBorder="1" applyAlignment="1">
      <alignment vertical="center"/>
    </xf>
    <xf numFmtId="0" fontId="0" fillId="0" borderId="3" xfId="0" applyBorder="1" applyAlignment="1">
      <alignment vertical="center"/>
    </xf>
    <xf numFmtId="5" fontId="6" fillId="0" borderId="0" xfId="0" applyNumberFormat="1" applyFont="1" applyAlignment="1">
      <alignment vertical="center"/>
    </xf>
    <xf numFmtId="7" fontId="7" fillId="0" borderId="0" xfId="0" applyNumberFormat="1" applyFont="1" applyAlignment="1">
      <alignment vertical="center"/>
    </xf>
    <xf numFmtId="5" fontId="7" fillId="0" borderId="3" xfId="0" applyNumberFormat="1" applyFont="1" applyBorder="1" applyAlignment="1">
      <alignment vertical="center"/>
    </xf>
    <xf numFmtId="0" fontId="26" fillId="0" borderId="1" xfId="0" applyFont="1" applyBorder="1" applyAlignment="1">
      <alignment vertical="center"/>
    </xf>
    <xf numFmtId="5" fontId="7" fillId="2" borderId="17" xfId="0" applyNumberFormat="1" applyFont="1" applyFill="1" applyBorder="1" applyAlignment="1">
      <alignment vertical="center"/>
    </xf>
    <xf numFmtId="7" fontId="7" fillId="0" borderId="3" xfId="0" applyNumberFormat="1" applyFont="1" applyBorder="1" applyAlignment="1">
      <alignment vertical="center"/>
    </xf>
    <xf numFmtId="0" fontId="7" fillId="0" borderId="5" xfId="0" applyFont="1" applyBorder="1" applyAlignment="1">
      <alignment vertical="center"/>
    </xf>
    <xf numFmtId="5" fontId="6" fillId="0" borderId="11" xfId="0" applyNumberFormat="1" applyFont="1" applyBorder="1" applyAlignment="1">
      <alignment vertical="center"/>
    </xf>
    <xf numFmtId="0" fontId="6" fillId="0" borderId="6" xfId="0" applyFont="1" applyBorder="1" applyAlignment="1">
      <alignment vertical="center"/>
    </xf>
    <xf numFmtId="0" fontId="7" fillId="0" borderId="0" xfId="0" applyFont="1" applyAlignment="1">
      <alignment horizontal="left"/>
    </xf>
    <xf numFmtId="0" fontId="19" fillId="0" borderId="22" xfId="0" applyFont="1" applyBorder="1"/>
    <xf numFmtId="0" fontId="31" fillId="0" borderId="55" xfId="0" applyFont="1" applyBorder="1"/>
    <xf numFmtId="0" fontId="9" fillId="0" borderId="56" xfId="0" applyFont="1" applyBorder="1"/>
    <xf numFmtId="0" fontId="9" fillId="0" borderId="57" xfId="0" applyFont="1" applyBorder="1"/>
    <xf numFmtId="41" fontId="6" fillId="2" borderId="58" xfId="0" applyNumberFormat="1" applyFont="1" applyFill="1" applyBorder="1"/>
    <xf numFmtId="43" fontId="12" fillId="0" borderId="59" xfId="0" applyNumberFormat="1" applyFont="1" applyBorder="1"/>
    <xf numFmtId="0" fontId="12" fillId="0" borderId="60" xfId="0" applyFont="1" applyBorder="1"/>
    <xf numFmtId="0" fontId="9" fillId="0" borderId="33" xfId="0" applyFont="1" applyBorder="1"/>
    <xf numFmtId="0" fontId="11" fillId="0" borderId="48" xfId="0" applyFont="1" applyBorder="1"/>
    <xf numFmtId="0" fontId="31" fillId="0" borderId="33" xfId="0" applyFont="1" applyBorder="1"/>
    <xf numFmtId="0" fontId="11" fillId="0" borderId="33" xfId="0" applyFont="1" applyBorder="1"/>
    <xf numFmtId="0" fontId="11" fillId="0" borderId="33" xfId="0" applyFont="1" applyBorder="1" applyAlignment="1">
      <alignment horizontal="left" indent="1"/>
    </xf>
    <xf numFmtId="0" fontId="11" fillId="0" borderId="37" xfId="0" applyFont="1" applyBorder="1" applyAlignment="1">
      <alignment horizontal="left" indent="1"/>
    </xf>
    <xf numFmtId="0" fontId="23" fillId="0" borderId="33" xfId="0" applyFont="1" applyBorder="1" applyAlignment="1">
      <alignment horizontal="left" indent="1"/>
    </xf>
    <xf numFmtId="0" fontId="11" fillId="0" borderId="37" xfId="0" applyFont="1" applyBorder="1"/>
    <xf numFmtId="0" fontId="32" fillId="0" borderId="33" xfId="0" applyFont="1" applyBorder="1" applyAlignment="1">
      <alignment horizontal="right"/>
    </xf>
    <xf numFmtId="5" fontId="11" fillId="0" borderId="48" xfId="0" applyNumberFormat="1" applyFont="1" applyBorder="1"/>
    <xf numFmtId="0" fontId="28" fillId="0" borderId="33" xfId="0" applyFont="1" applyBorder="1"/>
    <xf numFmtId="0" fontId="32" fillId="0" borderId="33" xfId="0" applyFont="1" applyBorder="1"/>
    <xf numFmtId="0" fontId="12" fillId="0" borderId="48" xfId="0" applyFont="1" applyBorder="1"/>
    <xf numFmtId="10" fontId="12" fillId="0" borderId="48" xfId="0" applyNumberFormat="1" applyFont="1" applyBorder="1"/>
    <xf numFmtId="0" fontId="7" fillId="0" borderId="33" xfId="0" applyFont="1" applyBorder="1"/>
    <xf numFmtId="0" fontId="23" fillId="0" borderId="33" xfId="0" applyFont="1" applyBorder="1"/>
    <xf numFmtId="10" fontId="11" fillId="0" borderId="48" xfId="0" applyNumberFormat="1" applyFont="1" applyBorder="1"/>
    <xf numFmtId="5" fontId="17" fillId="0" borderId="48" xfId="0" applyNumberFormat="1" applyFont="1" applyBorder="1" applyAlignment="1">
      <alignment horizontal="right"/>
    </xf>
    <xf numFmtId="0" fontId="6" fillId="0" borderId="33" xfId="0" applyFont="1" applyBorder="1" applyAlignment="1">
      <alignment horizontal="right"/>
    </xf>
    <xf numFmtId="168" fontId="12" fillId="0" borderId="48" xfId="0" applyNumberFormat="1" applyFont="1" applyBorder="1"/>
    <xf numFmtId="7" fontId="12" fillId="0" borderId="48" xfId="0" applyNumberFormat="1" applyFont="1" applyBorder="1"/>
    <xf numFmtId="0" fontId="32" fillId="0" borderId="61" xfId="0" applyFont="1" applyBorder="1"/>
    <xf numFmtId="0" fontId="11" fillId="0" borderId="62" xfId="0" applyFont="1" applyBorder="1"/>
    <xf numFmtId="0" fontId="11" fillId="0" borderId="63" xfId="0" applyFont="1" applyBorder="1"/>
    <xf numFmtId="41" fontId="6" fillId="0" borderId="64" xfId="0" applyNumberFormat="1" applyFont="1" applyBorder="1"/>
    <xf numFmtId="5" fontId="11" fillId="0" borderId="62" xfId="0" applyNumberFormat="1" applyFont="1" applyBorder="1"/>
    <xf numFmtId="5" fontId="11" fillId="0" borderId="50" xfId="0" applyNumberFormat="1" applyFont="1" applyBorder="1"/>
    <xf numFmtId="9" fontId="23" fillId="2" borderId="0" xfId="7" applyFont="1" applyFill="1" applyBorder="1"/>
    <xf numFmtId="173" fontId="11" fillId="0" borderId="0" xfId="0" applyNumberFormat="1" applyFont="1"/>
    <xf numFmtId="41" fontId="29" fillId="2" borderId="16" xfId="0" applyNumberFormat="1" applyFont="1" applyFill="1" applyBorder="1"/>
    <xf numFmtId="41" fontId="29" fillId="2" borderId="65" xfId="0" applyNumberFormat="1" applyFont="1" applyFill="1" applyBorder="1"/>
    <xf numFmtId="41" fontId="29" fillId="2" borderId="64" xfId="0" applyNumberFormat="1" applyFont="1" applyFill="1" applyBorder="1"/>
    <xf numFmtId="41" fontId="29" fillId="0" borderId="4" xfId="0" applyNumberFormat="1" applyFont="1" applyBorder="1"/>
    <xf numFmtId="41" fontId="23" fillId="2" borderId="66" xfId="0" applyNumberFormat="1" applyFont="1" applyFill="1" applyBorder="1"/>
    <xf numFmtId="5" fontId="17" fillId="0" borderId="4" xfId="0" applyNumberFormat="1" applyFont="1" applyBorder="1" applyAlignment="1">
      <alignment horizontal="center"/>
    </xf>
    <xf numFmtId="0" fontId="23" fillId="0" borderId="0" xfId="0" applyFont="1" applyAlignment="1">
      <alignment horizontal="center" wrapText="1"/>
    </xf>
    <xf numFmtId="3" fontId="23" fillId="5" borderId="0" xfId="0" applyNumberFormat="1" applyFont="1" applyFill="1" applyAlignment="1">
      <alignment horizontal="center"/>
    </xf>
    <xf numFmtId="0" fontId="23" fillId="5" borderId="0" xfId="0" applyFont="1" applyFill="1" applyAlignment="1">
      <alignment horizontal="center"/>
    </xf>
    <xf numFmtId="0" fontId="19" fillId="0" borderId="0" xfId="0" applyFont="1" applyAlignment="1">
      <alignment horizontal="center"/>
    </xf>
    <xf numFmtId="3" fontId="23" fillId="4" borderId="0" xfId="0" applyNumberFormat="1" applyFont="1" applyFill="1" applyAlignment="1">
      <alignment horizontal="center"/>
    </xf>
    <xf numFmtId="0" fontId="17" fillId="0" borderId="3" xfId="5" applyFont="1" applyBorder="1" applyAlignment="1">
      <alignment horizontal="left"/>
    </xf>
    <xf numFmtId="9" fontId="17" fillId="2" borderId="67" xfId="7" applyFont="1" applyFill="1" applyBorder="1" applyAlignment="1">
      <alignment horizontal="right"/>
    </xf>
    <xf numFmtId="0" fontId="23" fillId="0" borderId="3" xfId="0" applyFont="1" applyBorder="1" applyAlignment="1">
      <alignment horizontal="center"/>
    </xf>
    <xf numFmtId="0" fontId="23" fillId="0" borderId="3" xfId="5" applyFont="1" applyBorder="1" applyAlignment="1">
      <alignment horizontal="center"/>
    </xf>
    <xf numFmtId="0" fontId="40" fillId="4" borderId="68" xfId="5" applyFont="1" applyFill="1" applyBorder="1" applyAlignment="1">
      <alignment horizontal="center"/>
    </xf>
    <xf numFmtId="0" fontId="7" fillId="0" borderId="9" xfId="0" applyFont="1" applyBorder="1"/>
    <xf numFmtId="0" fontId="6" fillId="0" borderId="31" xfId="0" applyFont="1" applyBorder="1" applyAlignment="1">
      <alignment horizontal="right" vertical="center"/>
    </xf>
    <xf numFmtId="5" fontId="19" fillId="2" borderId="0" xfId="0" applyNumberFormat="1" applyFont="1" applyFill="1" applyAlignment="1">
      <alignment vertical="center"/>
    </xf>
    <xf numFmtId="5" fontId="7" fillId="2" borderId="0" xfId="0" applyNumberFormat="1" applyFont="1" applyFill="1" applyAlignment="1">
      <alignment vertical="center"/>
    </xf>
    <xf numFmtId="0" fontId="7" fillId="0" borderId="9" xfId="0" applyFont="1" applyBorder="1" applyAlignment="1">
      <alignment horizontal="center"/>
    </xf>
    <xf numFmtId="0" fontId="7" fillId="0" borderId="31" xfId="0" applyFont="1" applyBorder="1" applyAlignment="1">
      <alignment horizontal="center"/>
    </xf>
    <xf numFmtId="37" fontId="6" fillId="0" borderId="19" xfId="0" applyNumberFormat="1" applyFont="1" applyBorder="1"/>
    <xf numFmtId="10" fontId="23" fillId="0" borderId="1" xfId="0" applyNumberFormat="1" applyFont="1" applyBorder="1"/>
    <xf numFmtId="10" fontId="23" fillId="2" borderId="1" xfId="0" applyNumberFormat="1" applyFont="1" applyFill="1" applyBorder="1"/>
    <xf numFmtId="10" fontId="7" fillId="0" borderId="1" xfId="7" applyNumberFormat="1" applyFont="1" applyFill="1" applyBorder="1" applyProtection="1"/>
    <xf numFmtId="169" fontId="7" fillId="2" borderId="69" xfId="2" applyNumberFormat="1" applyFont="1" applyFill="1" applyBorder="1" applyProtection="1"/>
    <xf numFmtId="6" fontId="19" fillId="0" borderId="0" xfId="0" applyNumberFormat="1" applyFont="1" applyAlignment="1">
      <alignment vertical="center"/>
    </xf>
    <xf numFmtId="0" fontId="19" fillId="0" borderId="1" xfId="0" applyFont="1" applyBorder="1" applyAlignment="1">
      <alignment vertical="center"/>
    </xf>
    <xf numFmtId="6" fontId="19" fillId="0" borderId="9" xfId="0" applyNumberFormat="1" applyFont="1" applyBorder="1" applyAlignment="1">
      <alignment vertical="center"/>
    </xf>
    <xf numFmtId="9" fontId="41" fillId="0" borderId="0" xfId="8" applyFont="1" applyFill="1" applyBorder="1" applyAlignment="1">
      <alignment horizontal="left"/>
    </xf>
    <xf numFmtId="0" fontId="19" fillId="0" borderId="0" xfId="9"/>
    <xf numFmtId="0" fontId="19" fillId="0" borderId="0" xfId="5" applyFont="1" applyAlignment="1">
      <alignment horizontal="center"/>
    </xf>
    <xf numFmtId="0" fontId="19" fillId="0" borderId="76" xfId="5" applyFont="1" applyBorder="1" applyAlignment="1">
      <alignment horizontal="center"/>
    </xf>
    <xf numFmtId="2" fontId="19" fillId="0" borderId="77" xfId="5" applyNumberFormat="1" applyFont="1" applyBorder="1" applyAlignment="1">
      <alignment horizontal="center"/>
    </xf>
    <xf numFmtId="0" fontId="19" fillId="8" borderId="71" xfId="5" applyFont="1" applyFill="1" applyBorder="1" applyAlignment="1">
      <alignment horizontal="center"/>
    </xf>
    <xf numFmtId="9" fontId="19" fillId="8" borderId="71" xfId="5" applyNumberFormat="1" applyFont="1" applyFill="1" applyBorder="1" applyAlignment="1">
      <alignment horizontal="center"/>
    </xf>
    <xf numFmtId="0" fontId="19" fillId="0" borderId="0" xfId="5" applyFont="1" applyAlignment="1">
      <alignment horizontal="center" wrapText="1"/>
    </xf>
    <xf numFmtId="0" fontId="19" fillId="0" borderId="77" xfId="5" applyFont="1" applyBorder="1" applyAlignment="1">
      <alignment horizontal="center"/>
    </xf>
    <xf numFmtId="39" fontId="19" fillId="0" borderId="77" xfId="5" applyNumberFormat="1" applyFont="1" applyBorder="1" applyAlignment="1">
      <alignment horizontal="center"/>
    </xf>
    <xf numFmtId="6" fontId="19" fillId="0" borderId="48" xfId="0" applyNumberFormat="1" applyFont="1" applyBorder="1" applyAlignment="1">
      <alignment horizontal="center" vertical="center"/>
    </xf>
    <xf numFmtId="6" fontId="19" fillId="0" borderId="50" xfId="0" applyNumberFormat="1" applyFont="1" applyBorder="1" applyAlignment="1">
      <alignment horizontal="center" vertical="center"/>
    </xf>
    <xf numFmtId="0" fontId="0" fillId="0" borderId="37" xfId="0" applyBorder="1" applyAlignment="1">
      <alignment vertical="center"/>
    </xf>
    <xf numFmtId="0" fontId="19" fillId="0" borderId="38" xfId="0" applyFont="1" applyBorder="1" applyAlignment="1">
      <alignment horizontal="right" vertical="center"/>
    </xf>
    <xf numFmtId="0" fontId="23" fillId="5" borderId="78" xfId="0" applyFont="1" applyFill="1" applyBorder="1" applyAlignment="1">
      <alignment horizontal="center"/>
    </xf>
    <xf numFmtId="6" fontId="19" fillId="0" borderId="0" xfId="0" applyNumberFormat="1" applyFont="1" applyAlignment="1">
      <alignment horizontal="right" vertical="center"/>
    </xf>
    <xf numFmtId="4" fontId="19" fillId="0" borderId="0" xfId="0" applyNumberFormat="1" applyFont="1" applyAlignment="1">
      <alignment horizontal="center" vertical="center"/>
    </xf>
    <xf numFmtId="4" fontId="19" fillId="0" borderId="1" xfId="0" applyNumberFormat="1" applyFont="1" applyBorder="1" applyAlignment="1">
      <alignment horizontal="center" vertical="center"/>
    </xf>
    <xf numFmtId="0" fontId="17" fillId="0" borderId="52" xfId="0" applyFont="1" applyBorder="1" applyAlignment="1">
      <alignment horizontal="center" vertical="center"/>
    </xf>
    <xf numFmtId="0" fontId="17" fillId="0" borderId="54" xfId="0" applyFont="1" applyBorder="1" applyAlignment="1">
      <alignment horizontal="center" vertical="center"/>
    </xf>
    <xf numFmtId="0" fontId="17" fillId="0" borderId="53" xfId="0" applyFont="1" applyBorder="1" applyAlignment="1">
      <alignment horizontal="center" vertical="center"/>
    </xf>
    <xf numFmtId="0" fontId="6" fillId="0" borderId="0" xfId="0" applyFont="1" applyAlignment="1">
      <alignment horizontal="righ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7" fillId="0" borderId="79" xfId="0" applyFont="1" applyBorder="1" applyAlignment="1">
      <alignment vertical="center"/>
    </xf>
    <xf numFmtId="0" fontId="54" fillId="0" borderId="79" xfId="0" applyFont="1" applyBorder="1" applyAlignment="1">
      <alignment vertical="center"/>
    </xf>
    <xf numFmtId="0" fontId="6" fillId="0" borderId="5" xfId="0" applyFont="1" applyBorder="1" applyAlignment="1">
      <alignment vertical="center"/>
    </xf>
    <xf numFmtId="169" fontId="19" fillId="0" borderId="0" xfId="2" applyNumberFormat="1" applyFont="1" applyBorder="1" applyAlignment="1">
      <alignment vertical="center"/>
    </xf>
    <xf numFmtId="0" fontId="19" fillId="0" borderId="0" xfId="0" applyFont="1" applyAlignment="1">
      <alignment vertical="center"/>
    </xf>
    <xf numFmtId="5" fontId="19" fillId="0" borderId="0" xfId="0" applyNumberFormat="1" applyFont="1" applyAlignment="1">
      <alignment vertical="center"/>
    </xf>
    <xf numFmtId="10" fontId="7" fillId="0" borderId="0" xfId="0" applyNumberFormat="1" applyFont="1" applyAlignment="1">
      <alignment vertical="center"/>
    </xf>
    <xf numFmtId="0" fontId="19" fillId="2" borderId="0" xfId="0" applyFont="1" applyFill="1" applyAlignment="1">
      <alignment vertical="center"/>
    </xf>
    <xf numFmtId="0" fontId="6" fillId="0" borderId="9" xfId="0" applyFont="1" applyBorder="1" applyAlignment="1">
      <alignment horizontal="right" vertical="center"/>
    </xf>
    <xf numFmtId="4" fontId="7" fillId="0" borderId="79" xfId="0" applyNumberFormat="1" applyFont="1" applyBorder="1" applyAlignment="1">
      <alignment vertical="center"/>
    </xf>
    <xf numFmtId="0" fontId="7" fillId="0" borderId="80" xfId="0" applyFont="1" applyBorder="1" applyAlignment="1">
      <alignment vertical="center"/>
    </xf>
    <xf numFmtId="4" fontId="19" fillId="0" borderId="80" xfId="0" applyNumberFormat="1" applyFont="1" applyBorder="1" applyAlignment="1">
      <alignment horizontal="center" vertical="center"/>
    </xf>
    <xf numFmtId="0" fontId="19" fillId="0" borderId="11" xfId="0" applyFont="1" applyBorder="1" applyAlignment="1">
      <alignment vertical="center"/>
    </xf>
    <xf numFmtId="0" fontId="20" fillId="0" borderId="3" xfId="0" applyFont="1" applyBorder="1" applyAlignment="1">
      <alignment horizontal="right" vertical="center" indent="1"/>
    </xf>
    <xf numFmtId="0" fontId="0" fillId="0" borderId="48" xfId="0" applyBorder="1" applyAlignment="1">
      <alignment vertical="center"/>
    </xf>
    <xf numFmtId="0" fontId="15" fillId="0" borderId="79" xfId="0" applyFont="1" applyBorder="1" applyAlignment="1">
      <alignment vertical="center"/>
    </xf>
    <xf numFmtId="0" fontId="19" fillId="0" borderId="80" xfId="0" applyFont="1" applyBorder="1" applyAlignment="1">
      <alignment vertical="center"/>
    </xf>
    <xf numFmtId="0" fontId="7" fillId="0" borderId="0" xfId="8" applyNumberFormat="1" applyFont="1" applyBorder="1" applyAlignment="1" applyProtection="1">
      <alignment vertical="center"/>
    </xf>
    <xf numFmtId="0" fontId="54" fillId="0" borderId="3" xfId="0" applyFont="1" applyBorder="1" applyAlignment="1">
      <alignment vertical="center"/>
    </xf>
    <xf numFmtId="0" fontId="19" fillId="0" borderId="37" xfId="0" applyFont="1" applyBorder="1" applyAlignment="1">
      <alignment horizontal="right" vertical="center"/>
    </xf>
    <xf numFmtId="6" fontId="19" fillId="0" borderId="37" xfId="0" applyNumberFormat="1" applyFont="1" applyBorder="1" applyAlignment="1">
      <alignment horizontal="center" vertical="center"/>
    </xf>
    <xf numFmtId="4" fontId="28" fillId="0" borderId="79" xfId="0" applyNumberFormat="1" applyFont="1" applyBorder="1" applyAlignment="1">
      <alignment vertical="center"/>
    </xf>
    <xf numFmtId="0" fontId="19" fillId="0" borderId="6" xfId="0" applyFont="1" applyBorder="1" applyAlignment="1">
      <alignment vertical="center"/>
    </xf>
    <xf numFmtId="168" fontId="19" fillId="0" borderId="0" xfId="0" applyNumberFormat="1" applyFont="1" applyAlignment="1">
      <alignment horizontal="right" vertical="center"/>
    </xf>
    <xf numFmtId="0" fontId="55" fillId="0" borderId="0" xfId="0" applyFont="1" applyAlignment="1">
      <alignment vertical="center"/>
    </xf>
    <xf numFmtId="0" fontId="7" fillId="0" borderId="56" xfId="0" applyFont="1" applyBorder="1" applyAlignment="1">
      <alignment horizontal="right" vertical="center"/>
    </xf>
    <xf numFmtId="6" fontId="0" fillId="0" borderId="56" xfId="0" applyNumberFormat="1" applyBorder="1" applyAlignment="1">
      <alignment horizontal="center" vertical="center"/>
    </xf>
    <xf numFmtId="0" fontId="7" fillId="0" borderId="37" xfId="0" applyFont="1" applyBorder="1" applyAlignment="1">
      <alignment vertical="center"/>
    </xf>
    <xf numFmtId="0" fontId="15" fillId="0" borderId="5" xfId="0" applyFont="1" applyBorder="1" applyAlignment="1">
      <alignment vertical="center"/>
    </xf>
    <xf numFmtId="10" fontId="19" fillId="0" borderId="11" xfId="0" applyNumberFormat="1" applyFont="1" applyBorder="1" applyAlignment="1">
      <alignment vertical="center"/>
    </xf>
    <xf numFmtId="0" fontId="15" fillId="0" borderId="9" xfId="0" applyFont="1" applyBorder="1" applyAlignment="1">
      <alignment vertical="center"/>
    </xf>
    <xf numFmtId="0" fontId="19" fillId="0" borderId="9" xfId="0" applyFont="1" applyBorder="1" applyAlignment="1">
      <alignment vertical="center"/>
    </xf>
    <xf numFmtId="6" fontId="4" fillId="0" borderId="0" xfId="0" applyNumberFormat="1" applyFont="1" applyAlignment="1">
      <alignment vertical="center"/>
    </xf>
    <xf numFmtId="4" fontId="7" fillId="0" borderId="79" xfId="0" applyNumberFormat="1" applyFont="1" applyBorder="1" applyAlignment="1">
      <alignment horizontal="left" vertical="center"/>
    </xf>
    <xf numFmtId="4" fontId="35" fillId="0" borderId="0" xfId="0" applyNumberFormat="1" applyFont="1" applyAlignment="1">
      <alignment vertical="center"/>
    </xf>
    <xf numFmtId="4" fontId="35" fillId="0" borderId="80" xfId="0" applyNumberFormat="1" applyFont="1" applyBorder="1" applyAlignment="1">
      <alignment vertical="center"/>
    </xf>
    <xf numFmtId="0" fontId="7" fillId="0" borderId="0" xfId="0" applyFont="1" applyAlignment="1">
      <alignment horizontal="right" vertical="center" wrapText="1"/>
    </xf>
    <xf numFmtId="6" fontId="4" fillId="0" borderId="0" xfId="0" applyNumberFormat="1" applyFont="1" applyAlignment="1">
      <alignment horizontal="center" vertical="center" wrapText="1"/>
    </xf>
    <xf numFmtId="6" fontId="4" fillId="0" borderId="80" xfId="0" applyNumberFormat="1" applyFont="1" applyBorder="1" applyAlignment="1">
      <alignment horizontal="center" vertical="center" wrapText="1"/>
    </xf>
    <xf numFmtId="0" fontId="17" fillId="0" borderId="81" xfId="0" applyFont="1" applyBorder="1" applyAlignment="1">
      <alignment vertical="center"/>
    </xf>
    <xf numFmtId="0" fontId="17" fillId="0" borderId="60" xfId="0" applyFont="1" applyBorder="1" applyAlignment="1">
      <alignment vertical="center"/>
    </xf>
    <xf numFmtId="173" fontId="17" fillId="5" borderId="11" xfId="1" applyNumberFormat="1" applyFont="1" applyFill="1" applyBorder="1"/>
    <xf numFmtId="0" fontId="6" fillId="0" borderId="0" xfId="0" applyFont="1" applyAlignment="1">
      <alignment vertical="center"/>
    </xf>
    <xf numFmtId="37" fontId="7" fillId="0" borderId="3" xfId="0" applyNumberFormat="1" applyFont="1" applyBorder="1" applyAlignment="1">
      <alignment horizontal="left" indent="1"/>
    </xf>
    <xf numFmtId="0" fontId="11" fillId="0" borderId="79" xfId="0" applyFont="1" applyBorder="1"/>
    <xf numFmtId="10" fontId="11" fillId="0" borderId="80" xfId="0" applyNumberFormat="1" applyFont="1" applyBorder="1"/>
    <xf numFmtId="0" fontId="12" fillId="0" borderId="79" xfId="0" applyFont="1" applyBorder="1"/>
    <xf numFmtId="0" fontId="19" fillId="0" borderId="0" xfId="0" applyFont="1" applyAlignment="1">
      <alignment horizontal="right"/>
    </xf>
    <xf numFmtId="10" fontId="23" fillId="0" borderId="8" xfId="0" applyNumberFormat="1" applyFont="1" applyBorder="1"/>
    <xf numFmtId="10" fontId="23" fillId="11" borderId="8" xfId="0" applyNumberFormat="1" applyFont="1" applyFill="1" applyBorder="1"/>
    <xf numFmtId="5" fontId="19" fillId="0" borderId="0" xfId="0" applyNumberFormat="1" applyFont="1"/>
    <xf numFmtId="0" fontId="19" fillId="0" borderId="72" xfId="15" applyBorder="1"/>
    <xf numFmtId="10" fontId="19" fillId="11" borderId="72" xfId="15" applyNumberFormat="1" applyFill="1" applyBorder="1"/>
    <xf numFmtId="9" fontId="19" fillId="11" borderId="72" xfId="15" applyNumberFormat="1" applyFill="1" applyBorder="1"/>
    <xf numFmtId="175" fontId="23" fillId="0" borderId="0" xfId="2" applyNumberFormat="1" applyFont="1"/>
    <xf numFmtId="175" fontId="23" fillId="0" borderId="0" xfId="0" applyNumberFormat="1" applyFont="1"/>
    <xf numFmtId="175" fontId="17" fillId="0" borderId="0" xfId="2" applyNumberFormat="1" applyFont="1" applyAlignment="1">
      <alignment horizontal="center"/>
    </xf>
    <xf numFmtId="0" fontId="4" fillId="0" borderId="0" xfId="6"/>
    <xf numFmtId="175" fontId="17" fillId="0" borderId="0" xfId="0" applyNumberFormat="1" applyFont="1"/>
    <xf numFmtId="10" fontId="12" fillId="0" borderId="80" xfId="0" applyNumberFormat="1" applyFont="1" applyBorder="1"/>
    <xf numFmtId="0" fontId="6" fillId="0" borderId="0" xfId="0" applyFont="1" applyBorder="1"/>
    <xf numFmtId="0" fontId="17" fillId="11" borderId="82" xfId="0" applyFont="1" applyFill="1" applyBorder="1"/>
    <xf numFmtId="0" fontId="6" fillId="2" borderId="82" xfId="0" applyFont="1" applyFill="1" applyBorder="1"/>
    <xf numFmtId="0" fontId="4" fillId="0" borderId="0" xfId="6" applyFill="1" applyAlignment="1">
      <alignment horizontal="left"/>
    </xf>
    <xf numFmtId="0" fontId="4" fillId="0" borderId="0" xfId="6" applyFill="1"/>
    <xf numFmtId="0" fontId="19" fillId="0" borderId="0" xfId="15"/>
    <xf numFmtId="0" fontId="19" fillId="0" borderId="0" xfId="15" applyAlignment="1">
      <alignment horizontal="center"/>
    </xf>
    <xf numFmtId="0" fontId="19" fillId="0" borderId="0" xfId="15" applyAlignment="1">
      <alignment horizontal="left"/>
    </xf>
    <xf numFmtId="0" fontId="19" fillId="0" borderId="70" xfId="15" applyBorder="1"/>
    <xf numFmtId="3" fontId="52" fillId="6" borderId="72" xfId="15" applyNumberFormat="1" applyFont="1" applyFill="1" applyBorder="1" applyAlignment="1">
      <alignment horizontal="center"/>
    </xf>
    <xf numFmtId="0" fontId="52" fillId="6" borderId="72" xfId="15" applyFont="1" applyFill="1" applyBorder="1" applyAlignment="1">
      <alignment horizontal="center"/>
    </xf>
    <xf numFmtId="3" fontId="17" fillId="7" borderId="72" xfId="15" applyNumberFormat="1" applyFont="1" applyFill="1" applyBorder="1" applyAlignment="1">
      <alignment horizontal="center"/>
    </xf>
    <xf numFmtId="170" fontId="1" fillId="0" borderId="0" xfId="16" applyNumberFormat="1" applyAlignment="1">
      <alignment horizontal="center"/>
    </xf>
    <xf numFmtId="170" fontId="19" fillId="0" borderId="0" xfId="15" applyNumberFormat="1"/>
    <xf numFmtId="0" fontId="19" fillId="0" borderId="83" xfId="15" applyBorder="1" applyAlignment="1">
      <alignment horizontal="left"/>
    </xf>
    <xf numFmtId="9" fontId="52" fillId="6" borderId="72" xfId="15" applyNumberFormat="1" applyFont="1" applyFill="1" applyBorder="1" applyAlignment="1">
      <alignment horizontal="center"/>
    </xf>
    <xf numFmtId="14" fontId="52" fillId="6" borderId="72" xfId="15" applyNumberFormat="1" applyFont="1" applyFill="1" applyBorder="1" applyAlignment="1">
      <alignment horizontal="center"/>
    </xf>
    <xf numFmtId="0" fontId="17" fillId="0" borderId="0" xfId="15" applyFont="1"/>
    <xf numFmtId="0" fontId="19" fillId="0" borderId="71" xfId="15" applyBorder="1" applyAlignment="1">
      <alignment horizontal="center" wrapText="1"/>
    </xf>
    <xf numFmtId="9" fontId="53" fillId="0" borderId="73" xfId="15" applyNumberFormat="1" applyFont="1" applyBorder="1" applyAlignment="1">
      <alignment horizontal="left"/>
    </xf>
    <xf numFmtId="0" fontId="19" fillId="0" borderId="70" xfId="15" applyBorder="1" applyAlignment="1">
      <alignment horizontal="left"/>
    </xf>
    <xf numFmtId="0" fontId="19" fillId="8" borderId="72" xfId="15" applyFill="1" applyBorder="1"/>
    <xf numFmtId="0" fontId="19" fillId="8" borderId="74" xfId="15" applyFill="1" applyBorder="1"/>
    <xf numFmtId="0" fontId="19" fillId="8" borderId="70" xfId="15" applyFill="1" applyBorder="1"/>
    <xf numFmtId="0" fontId="19" fillId="8" borderId="75" xfId="15" applyFill="1" applyBorder="1" applyAlignment="1">
      <alignment horizontal="center"/>
    </xf>
    <xf numFmtId="176" fontId="41" fillId="8" borderId="74" xfId="15" applyNumberFormat="1" applyFont="1" applyFill="1" applyBorder="1"/>
    <xf numFmtId="176" fontId="41" fillId="8" borderId="70" xfId="15" applyNumberFormat="1" applyFont="1" applyFill="1" applyBorder="1"/>
    <xf numFmtId="0" fontId="19" fillId="8" borderId="83" xfId="15" applyFill="1" applyBorder="1" applyAlignment="1">
      <alignment horizontal="center"/>
    </xf>
    <xf numFmtId="0" fontId="19" fillId="8" borderId="0" xfId="15" applyFill="1" applyAlignment="1">
      <alignment horizontal="center"/>
    </xf>
    <xf numFmtId="0" fontId="19" fillId="8" borderId="84" xfId="15" applyFill="1" applyBorder="1" applyAlignment="1">
      <alignment horizontal="center"/>
    </xf>
    <xf numFmtId="0" fontId="19" fillId="8" borderId="83" xfId="15" applyFill="1" applyBorder="1"/>
    <xf numFmtId="0" fontId="19" fillId="8" borderId="0" xfId="15" applyFill="1"/>
    <xf numFmtId="177" fontId="19" fillId="8" borderId="0" xfId="15" applyNumberFormat="1" applyFill="1" applyAlignment="1">
      <alignment horizontal="center"/>
    </xf>
    <xf numFmtId="177" fontId="19" fillId="0" borderId="0" xfId="15" applyNumberFormat="1" applyAlignment="1">
      <alignment horizontal="center"/>
    </xf>
    <xf numFmtId="170" fontId="1" fillId="0" borderId="0" xfId="17" applyNumberFormat="1" applyAlignment="1">
      <alignment horizontal="center"/>
    </xf>
    <xf numFmtId="0" fontId="19" fillId="8" borderId="86" xfId="15" applyFill="1" applyBorder="1" applyAlignment="1">
      <alignment horizontal="center"/>
    </xf>
    <xf numFmtId="178" fontId="19" fillId="8" borderId="71" xfId="15" applyNumberFormat="1" applyFill="1" applyBorder="1" applyAlignment="1">
      <alignment horizontal="center" wrapText="1"/>
    </xf>
    <xf numFmtId="3" fontId="17" fillId="7" borderId="76" xfId="15" applyNumberFormat="1" applyFont="1" applyFill="1" applyBorder="1" applyAlignment="1">
      <alignment horizontal="center"/>
    </xf>
    <xf numFmtId="3" fontId="17" fillId="9" borderId="72" xfId="15" applyNumberFormat="1" applyFont="1" applyFill="1" applyBorder="1" applyAlignment="1">
      <alignment horizontal="center"/>
    </xf>
    <xf numFmtId="3" fontId="17" fillId="10" borderId="72" xfId="15" applyNumberFormat="1" applyFont="1" applyFill="1" applyBorder="1" applyAlignment="1">
      <alignment horizontal="center"/>
    </xf>
    <xf numFmtId="3" fontId="19" fillId="0" borderId="0" xfId="15" applyNumberFormat="1" applyAlignment="1">
      <alignment horizontal="center"/>
    </xf>
    <xf numFmtId="6" fontId="19" fillId="0" borderId="0" xfId="15" applyNumberFormat="1"/>
    <xf numFmtId="3" fontId="19" fillId="0" borderId="0" xfId="15" applyNumberFormat="1"/>
    <xf numFmtId="14" fontId="19" fillId="0" borderId="0" xfId="15" applyNumberFormat="1"/>
    <xf numFmtId="0" fontId="51" fillId="0" borderId="0" xfId="15" applyFont="1"/>
    <xf numFmtId="0" fontId="19" fillId="4" borderId="88" xfId="5" applyFont="1" applyFill="1" applyBorder="1" applyAlignment="1">
      <alignment horizontal="center" wrapText="1"/>
    </xf>
    <xf numFmtId="0" fontId="23" fillId="5" borderId="89" xfId="0" applyFont="1" applyFill="1" applyBorder="1" applyAlignment="1">
      <alignment horizontal="center"/>
    </xf>
    <xf numFmtId="6" fontId="19" fillId="0" borderId="50" xfId="0" applyNumberFormat="1" applyFont="1" applyFill="1" applyBorder="1" applyAlignment="1">
      <alignment horizontal="center" vertical="center"/>
    </xf>
    <xf numFmtId="6" fontId="19" fillId="0" borderId="0" xfId="0" applyNumberFormat="1" applyFont="1" applyBorder="1" applyAlignment="1">
      <alignment horizontal="center" vertical="center"/>
    </xf>
    <xf numFmtId="0" fontId="19" fillId="0" borderId="56" xfId="0" applyFont="1" applyBorder="1" applyAlignment="1">
      <alignment horizontal="right" vertical="center"/>
    </xf>
    <xf numFmtId="6" fontId="19" fillId="0" borderId="56" xfId="0" applyNumberFormat="1" applyFont="1" applyFill="1" applyBorder="1" applyAlignment="1">
      <alignment horizontal="center" vertical="center"/>
    </xf>
    <xf numFmtId="179" fontId="0" fillId="0" borderId="8" xfId="0" applyNumberFormat="1" applyBorder="1" applyAlignment="1">
      <alignment horizontal="right"/>
    </xf>
    <xf numFmtId="0" fontId="59" fillId="0" borderId="0" xfId="15" applyFont="1"/>
    <xf numFmtId="0" fontId="62" fillId="0" borderId="0" xfId="15" applyFont="1" applyAlignment="1">
      <alignment horizontal="right" vertical="top"/>
    </xf>
    <xf numFmtId="0" fontId="65" fillId="0" borderId="0" xfId="15" applyFont="1" applyAlignment="1">
      <alignment vertical="center"/>
    </xf>
    <xf numFmtId="0" fontId="66" fillId="0" borderId="0" xfId="15" applyFont="1"/>
    <xf numFmtId="0" fontId="63" fillId="0" borderId="0" xfId="15" applyFont="1" applyAlignment="1">
      <alignment horizontal="left" vertical="center" indent="1"/>
    </xf>
    <xf numFmtId="0" fontId="66" fillId="0" borderId="0" xfId="15" applyFont="1" applyAlignment="1">
      <alignment horizontal="left" indent="1"/>
    </xf>
    <xf numFmtId="0" fontId="63" fillId="0" borderId="0" xfId="15" applyFont="1" applyAlignment="1">
      <alignment horizontal="left" indent="1"/>
    </xf>
    <xf numFmtId="0" fontId="67" fillId="0" borderId="0" xfId="15" applyFont="1" applyAlignment="1">
      <alignment horizontal="left" indent="1"/>
    </xf>
    <xf numFmtId="0" fontId="66" fillId="0" borderId="0" xfId="15" applyFont="1" applyAlignment="1">
      <alignment horizontal="left" vertical="center" wrapText="1" indent="1"/>
    </xf>
    <xf numFmtId="0" fontId="70" fillId="0" borderId="0" xfId="15" applyFont="1" applyAlignment="1">
      <alignment wrapText="1"/>
    </xf>
    <xf numFmtId="0" fontId="67" fillId="0" borderId="0" xfId="15" applyFont="1"/>
    <xf numFmtId="0" fontId="67" fillId="14" borderId="0" xfId="15" applyFont="1" applyFill="1"/>
    <xf numFmtId="0" fontId="66" fillId="14" borderId="0" xfId="15" applyFont="1" applyFill="1"/>
    <xf numFmtId="0" fontId="58" fillId="14" borderId="0" xfId="15" applyFont="1" applyFill="1"/>
    <xf numFmtId="179" fontId="0" fillId="0" borderId="90" xfId="0" applyNumberFormat="1" applyBorder="1" applyAlignment="1">
      <alignment horizontal="right"/>
    </xf>
    <xf numFmtId="179" fontId="0" fillId="0" borderId="89" xfId="0" applyNumberFormat="1" applyBorder="1" applyAlignment="1">
      <alignment horizontal="right"/>
    </xf>
    <xf numFmtId="3" fontId="0" fillId="0" borderId="84" xfId="0" applyNumberFormat="1" applyBorder="1" applyAlignment="1">
      <alignment horizontal="right"/>
    </xf>
    <xf numFmtId="3" fontId="0" fillId="0" borderId="84" xfId="0" applyNumberFormat="1" applyBorder="1"/>
    <xf numFmtId="3" fontId="17" fillId="0" borderId="84" xfId="0" applyNumberFormat="1" applyFont="1" applyBorder="1"/>
    <xf numFmtId="3" fontId="23" fillId="0" borderId="84" xfId="0" applyNumberFormat="1" applyFont="1" applyBorder="1"/>
    <xf numFmtId="0" fontId="72" fillId="14" borderId="0" xfId="15" applyFont="1" applyFill="1"/>
    <xf numFmtId="0" fontId="17" fillId="0" borderId="0" xfId="0" applyFont="1" applyFill="1" applyAlignment="1">
      <alignment horizontal="right"/>
    </xf>
    <xf numFmtId="180" fontId="19" fillId="2" borderId="8" xfId="7" applyNumberFormat="1" applyFont="1" applyFill="1" applyBorder="1"/>
    <xf numFmtId="0" fontId="19" fillId="0" borderId="0" xfId="0" applyFont="1" applyFill="1" applyAlignment="1">
      <alignment horizontal="right"/>
    </xf>
    <xf numFmtId="3" fontId="19" fillId="0" borderId="0" xfId="0" applyNumberFormat="1" applyFont="1" applyAlignment="1">
      <alignment horizontal="right"/>
    </xf>
    <xf numFmtId="3" fontId="19" fillId="0" borderId="0" xfId="0" applyNumberFormat="1" applyFont="1" applyBorder="1" applyAlignment="1">
      <alignment horizontal="right"/>
    </xf>
    <xf numFmtId="3" fontId="19" fillId="0" borderId="83" xfId="0" applyNumberFormat="1" applyFont="1" applyBorder="1" applyAlignment="1">
      <alignment horizontal="right"/>
    </xf>
    <xf numFmtId="3" fontId="17" fillId="0" borderId="89" xfId="0" applyNumberFormat="1" applyFont="1" applyBorder="1"/>
    <xf numFmtId="0" fontId="0" fillId="0" borderId="83" xfId="0" applyBorder="1"/>
    <xf numFmtId="173" fontId="0" fillId="0" borderId="84" xfId="1" applyNumberFormat="1" applyFont="1" applyBorder="1"/>
    <xf numFmtId="0" fontId="19" fillId="0" borderId="83" xfId="0" applyFont="1" applyBorder="1"/>
    <xf numFmtId="0" fontId="72" fillId="0" borderId="0" xfId="15" applyFont="1" applyAlignment="1">
      <alignment vertical="center"/>
    </xf>
    <xf numFmtId="0" fontId="66" fillId="13" borderId="89" xfId="15" applyFont="1" applyFill="1" applyBorder="1" applyAlignment="1">
      <alignment vertical="center" wrapText="1"/>
    </xf>
    <xf numFmtId="0" fontId="67" fillId="11" borderId="89" xfId="15" applyFont="1" applyFill="1" applyBorder="1" applyAlignment="1">
      <alignment horizontal="center" vertical="center" wrapText="1"/>
    </xf>
    <xf numFmtId="0" fontId="66" fillId="11" borderId="89" xfId="15" applyFont="1" applyFill="1" applyBorder="1" applyAlignment="1">
      <alignment horizontal="center" vertical="center" wrapText="1"/>
    </xf>
    <xf numFmtId="0" fontId="66" fillId="15" borderId="89" xfId="15" applyFont="1" applyFill="1" applyBorder="1" applyAlignment="1">
      <alignment horizontal="center" vertical="center" wrapText="1"/>
    </xf>
    <xf numFmtId="3" fontId="66" fillId="15" borderId="89" xfId="15" applyNumberFormat="1" applyFont="1" applyFill="1" applyBorder="1" applyAlignment="1">
      <alignment horizontal="center" vertical="center" wrapText="1"/>
    </xf>
    <xf numFmtId="1" fontId="66" fillId="15" borderId="89" xfId="15" applyNumberFormat="1" applyFont="1" applyFill="1" applyBorder="1" applyAlignment="1">
      <alignment horizontal="center" vertical="center" wrapText="1"/>
    </xf>
    <xf numFmtId="14" fontId="66" fillId="11" borderId="89" xfId="15" applyNumberFormat="1" applyFont="1" applyFill="1" applyBorder="1" applyAlignment="1">
      <alignment horizontal="left" vertical="center" wrapText="1"/>
    </xf>
    <xf numFmtId="0" fontId="66" fillId="11" borderId="89" xfId="15" applyFont="1" applyFill="1" applyBorder="1" applyAlignment="1">
      <alignment horizontal="left" vertical="center" wrapText="1"/>
    </xf>
    <xf numFmtId="170" fontId="66" fillId="15" borderId="89" xfId="15" applyNumberFormat="1" applyFont="1" applyFill="1" applyBorder="1" applyAlignment="1">
      <alignment horizontal="right" vertical="center" wrapText="1"/>
    </xf>
    <xf numFmtId="0" fontId="66" fillId="13" borderId="89" xfId="15" applyFont="1" applyFill="1" applyBorder="1" applyAlignment="1">
      <alignment horizontal="left" vertical="center" wrapText="1" indent="1"/>
    </xf>
    <xf numFmtId="0" fontId="71" fillId="13" borderId="89" xfId="18" applyFont="1" applyFill="1" applyBorder="1" applyAlignment="1">
      <alignment vertical="center" wrapText="1"/>
    </xf>
    <xf numFmtId="173" fontId="66" fillId="11" borderId="89" xfId="19" applyNumberFormat="1" applyFont="1" applyFill="1" applyBorder="1" applyAlignment="1">
      <alignment horizontal="left" vertical="center" wrapText="1"/>
    </xf>
    <xf numFmtId="173" fontId="66" fillId="15" borderId="89" xfId="19" applyNumberFormat="1" applyFont="1" applyFill="1" applyBorder="1" applyAlignment="1">
      <alignment horizontal="right" vertical="center" wrapText="1"/>
    </xf>
    <xf numFmtId="43" fontId="66" fillId="11" borderId="89" xfId="19" applyFont="1" applyFill="1" applyBorder="1" applyAlignment="1">
      <alignment horizontal="center" vertical="center" wrapText="1"/>
    </xf>
    <xf numFmtId="0" fontId="64" fillId="13" borderId="89" xfId="15" applyFont="1" applyFill="1" applyBorder="1" applyAlignment="1">
      <alignment vertical="center" wrapText="1"/>
    </xf>
    <xf numFmtId="0" fontId="59" fillId="11" borderId="89" xfId="15" applyFont="1" applyFill="1" applyBorder="1" applyAlignment="1">
      <alignment horizontal="left" vertical="center" wrapText="1"/>
    </xf>
    <xf numFmtId="0" fontId="70" fillId="11" borderId="89" xfId="15" applyFont="1" applyFill="1" applyBorder="1" applyAlignment="1">
      <alignment horizontal="left" vertical="center" wrapText="1"/>
    </xf>
    <xf numFmtId="0" fontId="23" fillId="0" borderId="80" xfId="5" applyFont="1" applyFill="1" applyBorder="1" applyAlignment="1">
      <alignment horizontal="center" wrapText="1"/>
    </xf>
    <xf numFmtId="0" fontId="23" fillId="0" borderId="80" xfId="0" applyFont="1" applyFill="1" applyBorder="1" applyAlignment="1">
      <alignment horizontal="center"/>
    </xf>
    <xf numFmtId="0" fontId="23" fillId="0" borderId="80" xfId="0" applyFont="1" applyBorder="1" applyAlignment="1">
      <alignment horizontal="center"/>
    </xf>
    <xf numFmtId="0" fontId="63" fillId="13" borderId="89" xfId="15" applyFont="1" applyFill="1" applyBorder="1" applyAlignment="1">
      <alignment horizontal="right" vertical="center" wrapText="1"/>
    </xf>
    <xf numFmtId="0" fontId="27" fillId="0" borderId="0" xfId="0" applyFont="1" applyAlignment="1">
      <alignment horizontal="center"/>
    </xf>
    <xf numFmtId="3" fontId="17" fillId="0" borderId="0" xfId="0" applyNumberFormat="1" applyFont="1" applyBorder="1"/>
    <xf numFmtId="3" fontId="17" fillId="0" borderId="20" xfId="0" applyNumberFormat="1" applyFont="1" applyBorder="1"/>
    <xf numFmtId="0" fontId="17" fillId="0" borderId="20" xfId="0" applyFont="1" applyBorder="1"/>
    <xf numFmtId="0" fontId="19" fillId="0" borderId="20" xfId="0" applyFont="1" applyBorder="1"/>
    <xf numFmtId="0" fontId="11" fillId="0" borderId="92" xfId="0" applyFont="1" applyBorder="1" applyAlignment="1">
      <alignment horizontal="right"/>
    </xf>
    <xf numFmtId="0" fontId="11" fillId="0" borderId="93" xfId="0" applyFont="1" applyBorder="1"/>
    <xf numFmtId="173" fontId="11" fillId="0" borderId="93" xfId="1" applyNumberFormat="1" applyFont="1" applyBorder="1" applyProtection="1"/>
    <xf numFmtId="0" fontId="23" fillId="2" borderId="93" xfId="0" applyFont="1" applyFill="1" applyBorder="1"/>
    <xf numFmtId="10" fontId="11" fillId="0" borderId="94" xfId="0" applyNumberFormat="1" applyFont="1" applyBorder="1"/>
    <xf numFmtId="0" fontId="11" fillId="0" borderId="83" xfId="0" applyFont="1" applyBorder="1" applyAlignment="1">
      <alignment horizontal="right"/>
    </xf>
    <xf numFmtId="0" fontId="11" fillId="0" borderId="0" xfId="0" applyFont="1" applyBorder="1"/>
    <xf numFmtId="41" fontId="11" fillId="0" borderId="0" xfId="0" applyNumberFormat="1" applyFont="1" applyFill="1" applyBorder="1"/>
    <xf numFmtId="10" fontId="11" fillId="0" borderId="84" xfId="0" applyNumberFormat="1" applyFont="1" applyBorder="1"/>
    <xf numFmtId="0" fontId="23" fillId="0" borderId="0" xfId="0" applyFont="1" applyBorder="1"/>
    <xf numFmtId="173" fontId="23" fillId="0" borderId="0" xfId="1" applyNumberFormat="1" applyFont="1" applyBorder="1"/>
    <xf numFmtId="170" fontId="23" fillId="2" borderId="0" xfId="0" applyNumberFormat="1" applyFont="1" applyFill="1" applyBorder="1"/>
    <xf numFmtId="0" fontId="7" fillId="0" borderId="83" xfId="0" applyFont="1" applyBorder="1" applyAlignment="1">
      <alignment horizontal="right"/>
    </xf>
    <xf numFmtId="41" fontId="23" fillId="2" borderId="0" xfId="0" applyNumberFormat="1" applyFont="1" applyFill="1" applyBorder="1"/>
    <xf numFmtId="0" fontId="6" fillId="0" borderId="95" xfId="0" applyFont="1" applyBorder="1" applyAlignment="1">
      <alignment horizontal="right"/>
    </xf>
    <xf numFmtId="0" fontId="23" fillId="0" borderId="91" xfId="0" applyFont="1" applyBorder="1"/>
    <xf numFmtId="173" fontId="23" fillId="0" borderId="91" xfId="1" applyNumberFormat="1" applyFont="1" applyBorder="1"/>
    <xf numFmtId="170" fontId="6" fillId="0" borderId="91" xfId="0" applyNumberFormat="1" applyFont="1" applyBorder="1"/>
    <xf numFmtId="10" fontId="6" fillId="0" borderId="90" xfId="0" applyNumberFormat="1" applyFont="1" applyBorder="1"/>
    <xf numFmtId="0" fontId="11" fillId="0" borderId="70" xfId="0" applyFont="1" applyBorder="1"/>
    <xf numFmtId="173" fontId="11" fillId="0" borderId="70" xfId="1" applyNumberFormat="1" applyFont="1" applyBorder="1" applyProtection="1"/>
    <xf numFmtId="41" fontId="11" fillId="0" borderId="0" xfId="0" applyNumberFormat="1" applyFont="1" applyBorder="1" applyAlignment="1">
      <alignment horizontal="right"/>
    </xf>
    <xf numFmtId="0" fontId="20" fillId="0" borderId="91" xfId="0" applyFont="1" applyBorder="1"/>
    <xf numFmtId="173" fontId="11" fillId="0" borderId="91" xfId="1" applyNumberFormat="1" applyFont="1" applyBorder="1" applyProtection="1"/>
    <xf numFmtId="41" fontId="6" fillId="0" borderId="91" xfId="0" applyNumberFormat="1" applyFont="1" applyBorder="1" applyAlignment="1"/>
    <xf numFmtId="0" fontId="7" fillId="0" borderId="95" xfId="0" applyFont="1" applyBorder="1" applyAlignment="1">
      <alignment horizontal="right"/>
    </xf>
    <xf numFmtId="0" fontId="11" fillId="0" borderId="91" xfId="0" applyFont="1" applyBorder="1"/>
    <xf numFmtId="10" fontId="11" fillId="0" borderId="90" xfId="0" applyNumberFormat="1" applyFont="1" applyBorder="1"/>
    <xf numFmtId="170" fontId="23" fillId="0" borderId="91" xfId="0" applyNumberFormat="1" applyFont="1" applyFill="1" applyBorder="1"/>
    <xf numFmtId="41" fontId="11" fillId="0" borderId="70" xfId="0" applyNumberFormat="1" applyFont="1" applyBorder="1" applyAlignment="1"/>
    <xf numFmtId="170" fontId="23" fillId="0" borderId="0" xfId="0" applyNumberFormat="1" applyFont="1" applyFill="1" applyBorder="1"/>
    <xf numFmtId="5" fontId="6" fillId="0" borderId="91" xfId="0" applyNumberFormat="1" applyFont="1" applyBorder="1"/>
    <xf numFmtId="0" fontId="37" fillId="0" borderId="91" xfId="0" applyFont="1" applyBorder="1" applyProtection="1">
      <protection locked="0"/>
    </xf>
    <xf numFmtId="10" fontId="22" fillId="0" borderId="90" xfId="0" applyNumberFormat="1" applyFont="1" applyBorder="1"/>
    <xf numFmtId="0" fontId="11" fillId="0" borderId="95" xfId="0" applyFont="1" applyBorder="1" applyAlignment="1">
      <alignment horizontal="right" indent="1"/>
    </xf>
    <xf numFmtId="5" fontId="11" fillId="0" borderId="91" xfId="0" applyNumberFormat="1" applyFont="1" applyBorder="1"/>
    <xf numFmtId="5" fontId="24" fillId="0" borderId="91" xfId="0" applyNumberFormat="1" applyFont="1" applyBorder="1" applyProtection="1">
      <protection locked="0"/>
    </xf>
    <xf numFmtId="10" fontId="12" fillId="0" borderId="90" xfId="0" applyNumberFormat="1" applyFont="1" applyBorder="1"/>
    <xf numFmtId="41" fontId="6" fillId="0" borderId="91" xfId="0" applyNumberFormat="1" applyFont="1" applyBorder="1"/>
    <xf numFmtId="173" fontId="11" fillId="0" borderId="82" xfId="1" applyNumberFormat="1" applyFont="1" applyFill="1" applyBorder="1" applyAlignment="1" applyProtection="1">
      <alignment horizontal="right"/>
    </xf>
    <xf numFmtId="0" fontId="63" fillId="0" borderId="0" xfId="15" applyFont="1" applyAlignment="1">
      <alignment horizontal="left" vertical="center" wrapText="1" indent="1"/>
    </xf>
    <xf numFmtId="0" fontId="67" fillId="0" borderId="0" xfId="15" applyFont="1" applyAlignment="1">
      <alignment horizontal="left" vertical="center" wrapText="1" indent="1"/>
    </xf>
    <xf numFmtId="0" fontId="58" fillId="0" borderId="0" xfId="15" applyFont="1" applyAlignment="1">
      <alignment horizontal="left" vertical="center" wrapText="1"/>
    </xf>
    <xf numFmtId="0" fontId="64" fillId="11" borderId="89" xfId="15" applyFont="1" applyFill="1" applyBorder="1" applyAlignment="1">
      <alignment horizontal="left" vertical="center" wrapText="1"/>
    </xf>
    <xf numFmtId="14" fontId="64" fillId="11" borderId="89" xfId="15" applyNumberFormat="1" applyFont="1" applyFill="1" applyBorder="1" applyAlignment="1">
      <alignment horizontal="left" vertical="center" wrapText="1"/>
    </xf>
    <xf numFmtId="0" fontId="64" fillId="0" borderId="0" xfId="15" applyFont="1" applyAlignment="1">
      <alignment horizontal="left" vertical="center" wrapText="1" indent="1"/>
    </xf>
    <xf numFmtId="0" fontId="66" fillId="0" borderId="0" xfId="15" applyFont="1" applyAlignment="1">
      <alignment horizontal="left" vertical="center" wrapText="1" indent="1"/>
    </xf>
    <xf numFmtId="0" fontId="66" fillId="13" borderId="89" xfId="15" applyFont="1" applyFill="1" applyBorder="1" applyAlignment="1">
      <alignment horizontal="left" vertical="center" wrapText="1"/>
    </xf>
    <xf numFmtId="0" fontId="66" fillId="11" borderId="89" xfId="15" applyFont="1" applyFill="1" applyBorder="1" applyAlignment="1">
      <alignment horizontal="center" vertical="center" wrapText="1"/>
    </xf>
    <xf numFmtId="0" fontId="67" fillId="14" borderId="0" xfId="15" applyFont="1" applyFill="1" applyBorder="1" applyAlignment="1">
      <alignment horizontal="left" wrapText="1"/>
    </xf>
    <xf numFmtId="0" fontId="66" fillId="11" borderId="76" xfId="15" applyFont="1" applyFill="1" applyBorder="1" applyAlignment="1">
      <alignment horizontal="left" vertical="top" wrapText="1"/>
    </xf>
    <xf numFmtId="0" fontId="66" fillId="11" borderId="91" xfId="15" applyFont="1" applyFill="1" applyBorder="1" applyAlignment="1">
      <alignment horizontal="left" vertical="top" wrapText="1"/>
    </xf>
    <xf numFmtId="0" fontId="66" fillId="11" borderId="90" xfId="15" applyFont="1" applyFill="1" applyBorder="1" applyAlignment="1">
      <alignment horizontal="left" vertical="top" wrapText="1"/>
    </xf>
    <xf numFmtId="0" fontId="66" fillId="11" borderId="89" xfId="15" applyFont="1" applyFill="1" applyBorder="1" applyAlignment="1">
      <alignment horizontal="left" vertical="center" wrapText="1"/>
    </xf>
    <xf numFmtId="0" fontId="67" fillId="11" borderId="89" xfId="15" applyFont="1" applyFill="1" applyBorder="1" applyAlignment="1">
      <alignment vertical="center" wrapText="1"/>
    </xf>
    <xf numFmtId="0" fontId="58" fillId="0" borderId="0" xfId="15" applyFont="1" applyBorder="1" applyAlignment="1">
      <alignment vertical="center" wrapText="1"/>
    </xf>
    <xf numFmtId="0" fontId="67" fillId="0" borderId="0" xfId="15" applyFont="1" applyBorder="1" applyAlignment="1">
      <alignment vertical="center" wrapText="1"/>
    </xf>
    <xf numFmtId="0" fontId="66" fillId="13" borderId="89" xfId="15" applyFont="1" applyFill="1" applyBorder="1" applyAlignment="1">
      <alignment vertical="center" wrapText="1"/>
    </xf>
    <xf numFmtId="0" fontId="59" fillId="11" borderId="89" xfId="15" applyFont="1" applyFill="1" applyBorder="1" applyAlignment="1">
      <alignment horizontal="left" vertical="center" wrapText="1"/>
    </xf>
    <xf numFmtId="0" fontId="23" fillId="0" borderId="0" xfId="0" applyFont="1" applyAlignment="1">
      <alignment horizontal="left" wrapText="1" indent="2"/>
    </xf>
    <xf numFmtId="0" fontId="19" fillId="0" borderId="0" xfId="0" applyFont="1" applyAlignment="1">
      <alignment horizontal="left" wrapText="1" indent="2"/>
    </xf>
    <xf numFmtId="0" fontId="0" fillId="0" borderId="0" xfId="0" applyAlignment="1">
      <alignment horizontal="left" wrapText="1" indent="2"/>
    </xf>
    <xf numFmtId="0" fontId="19" fillId="0" borderId="0" xfId="0" applyFont="1" applyAlignment="1">
      <alignment horizontal="center" vertical="center"/>
    </xf>
    <xf numFmtId="0" fontId="19" fillId="0" borderId="48" xfId="0" applyFont="1" applyBorder="1" applyAlignment="1">
      <alignment horizontal="center" vertical="center"/>
    </xf>
    <xf numFmtId="0" fontId="19" fillId="0" borderId="3" xfId="0" applyFont="1" applyBorder="1" applyAlignment="1">
      <alignment horizontal="left" vertical="center"/>
    </xf>
    <xf numFmtId="0" fontId="23" fillId="2" borderId="0" xfId="2" applyNumberFormat="1" applyFont="1" applyFill="1" applyBorder="1" applyAlignment="1">
      <alignment horizontal="center" vertical="center" wrapText="1"/>
    </xf>
    <xf numFmtId="4" fontId="35" fillId="0" borderId="0" xfId="0" applyNumberFormat="1" applyFont="1" applyAlignment="1">
      <alignment horizontal="center" vertical="center"/>
    </xf>
    <xf numFmtId="4" fontId="35" fillId="0" borderId="80" xfId="0" applyNumberFormat="1" applyFont="1" applyBorder="1" applyAlignment="1">
      <alignment horizontal="center" vertical="center"/>
    </xf>
    <xf numFmtId="6" fontId="35" fillId="0" borderId="0" xfId="0" applyNumberFormat="1" applyFont="1" applyAlignment="1">
      <alignment horizontal="center" vertical="center"/>
    </xf>
    <xf numFmtId="6" fontId="35" fillId="0" borderId="80" xfId="0" applyNumberFormat="1" applyFont="1" applyBorder="1" applyAlignment="1">
      <alignment horizontal="center" vertical="center"/>
    </xf>
    <xf numFmtId="0" fontId="0" fillId="0" borderId="0" xfId="0" applyAlignment="1">
      <alignment horizontal="center"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4" fillId="0" borderId="37" xfId="0" applyFont="1" applyBorder="1" applyAlignment="1">
      <alignment horizontal="left" vertical="center" wrapText="1"/>
    </xf>
    <xf numFmtId="0" fontId="4" fillId="0" borderId="48" xfId="0" applyFont="1" applyBorder="1" applyAlignment="1">
      <alignment horizontal="left" vertical="center" wrapText="1"/>
    </xf>
    <xf numFmtId="0" fontId="4" fillId="0" borderId="38" xfId="0" applyFont="1" applyBorder="1" applyAlignment="1">
      <alignment horizontal="left" vertical="center"/>
    </xf>
    <xf numFmtId="0" fontId="4" fillId="0" borderId="50" xfId="0" applyFont="1" applyBorder="1" applyAlignment="1">
      <alignment horizontal="left" vertical="center"/>
    </xf>
    <xf numFmtId="0" fontId="37" fillId="0" borderId="0" xfId="6" applyFont="1" applyAlignment="1">
      <alignment horizontal="left" wrapText="1"/>
    </xf>
    <xf numFmtId="0" fontId="4" fillId="0" borderId="0" xfId="6" applyAlignment="1">
      <alignment wrapText="1"/>
    </xf>
    <xf numFmtId="0" fontId="19" fillId="8" borderId="73" xfId="15" applyFill="1" applyBorder="1" applyAlignment="1">
      <alignment horizontal="center" vertical="center" wrapText="1"/>
    </xf>
    <xf numFmtId="0" fontId="19" fillId="8" borderId="85" xfId="15" applyFill="1" applyBorder="1" applyAlignment="1">
      <alignment horizontal="center" vertical="center" wrapText="1"/>
    </xf>
    <xf numFmtId="0" fontId="19" fillId="8" borderId="87" xfId="15" applyFill="1" applyBorder="1" applyAlignment="1">
      <alignment horizontal="center" vertical="center" wrapText="1"/>
    </xf>
    <xf numFmtId="0" fontId="19" fillId="8" borderId="72" xfId="15" applyFill="1" applyBorder="1" applyAlignment="1">
      <alignment horizontal="center" wrapText="1"/>
    </xf>
    <xf numFmtId="0" fontId="0" fillId="8" borderId="73" xfId="5" applyFont="1" applyFill="1" applyBorder="1" applyAlignment="1">
      <alignment horizontal="center" vertical="center" wrapText="1"/>
    </xf>
    <xf numFmtId="0" fontId="19" fillId="8" borderId="85" xfId="5" applyFont="1" applyFill="1" applyBorder="1" applyAlignment="1">
      <alignment horizontal="center" vertical="center" wrapText="1"/>
    </xf>
    <xf numFmtId="0" fontId="19" fillId="8" borderId="87" xfId="5" applyFont="1" applyFill="1" applyBorder="1" applyAlignment="1">
      <alignment horizontal="center" vertical="center" wrapText="1"/>
    </xf>
    <xf numFmtId="177" fontId="19" fillId="8" borderId="73" xfId="15" applyNumberFormat="1" applyFill="1" applyBorder="1" applyAlignment="1">
      <alignment horizontal="center" vertical="center" wrapText="1"/>
    </xf>
    <xf numFmtId="177" fontId="19" fillId="8" borderId="85" xfId="15" applyNumberFormat="1" applyFill="1" applyBorder="1" applyAlignment="1">
      <alignment horizontal="center" vertical="center" wrapText="1"/>
    </xf>
    <xf numFmtId="177" fontId="19" fillId="8" borderId="87" xfId="15" applyNumberFormat="1" applyFill="1" applyBorder="1" applyAlignment="1">
      <alignment horizontal="center" vertical="center" wrapText="1"/>
    </xf>
    <xf numFmtId="9" fontId="41" fillId="12" borderId="0" xfId="8" applyFont="1" applyFill="1" applyBorder="1" applyAlignment="1">
      <alignment horizontal="center"/>
    </xf>
    <xf numFmtId="0" fontId="19" fillId="0" borderId="70" xfId="15" applyBorder="1" applyAlignment="1">
      <alignment horizontal="center" wrapText="1"/>
    </xf>
    <xf numFmtId="0" fontId="19" fillId="0" borderId="71" xfId="15" applyBorder="1" applyAlignment="1">
      <alignment horizontal="center" wrapText="1"/>
    </xf>
    <xf numFmtId="0" fontId="17" fillId="12" borderId="0" xfId="15" applyFont="1" applyFill="1" applyAlignment="1">
      <alignment horizontal="center"/>
    </xf>
    <xf numFmtId="0" fontId="37" fillId="0" borderId="0" xfId="6" applyFont="1" applyAlignment="1">
      <alignment horizontal="left" indent="1"/>
    </xf>
    <xf numFmtId="0" fontId="37" fillId="0" borderId="0" xfId="6" applyFont="1"/>
    <xf numFmtId="0" fontId="38" fillId="0" borderId="0" xfId="6" applyFont="1"/>
    <xf numFmtId="0" fontId="4" fillId="0" borderId="0" xfId="6"/>
  </cellXfs>
  <cellStyles count="20">
    <cellStyle name="Comma" xfId="1" builtinId="3"/>
    <cellStyle name="Comma 2" xfId="13" xr:uid="{E3A23EA9-777F-47CD-90D7-643E0AE1A87E}"/>
    <cellStyle name="Comma 3" xfId="19" xr:uid="{B4985523-90AE-42CB-B7C3-9C0498EB1D19}"/>
    <cellStyle name="Currency" xfId="2" builtinId="4"/>
    <cellStyle name="Currency 2" xfId="14" xr:uid="{A2605101-4304-44BD-84B3-3E71DDF42957}"/>
    <cellStyle name="Hyperlink 2" xfId="18" xr:uid="{5880DA07-95B1-4F6C-B50A-3D9189F0117A}"/>
    <cellStyle name="Normal" xfId="0" builtinId="0"/>
    <cellStyle name="Normal 10 11" xfId="15" xr:uid="{93864376-82BB-4EB8-8BC3-8D4B8D71B64B}"/>
    <cellStyle name="Normal 2" xfId="3" xr:uid="{00000000-0005-0000-0000-000003000000}"/>
    <cellStyle name="Normal 3" xfId="9" xr:uid="{17A2FBC2-EB90-4041-9CD5-EFF8AD183E2B}"/>
    <cellStyle name="Normal 3 2" xfId="10" xr:uid="{7C715AF4-8F8F-466A-A028-BD6AFB11C744}"/>
    <cellStyle name="Normal 3 3" xfId="12" xr:uid="{72FEDCB1-178C-4D5A-9A8A-52778DE98567}"/>
    <cellStyle name="Normal 3 4" xfId="16" xr:uid="{43FB4E37-443D-4F68-B8D5-BEB8177EFC32}"/>
    <cellStyle name="Normal 4" xfId="11" xr:uid="{1BB80CF1-5E65-4B2F-8619-06E6E5A0AD2E}"/>
    <cellStyle name="Normal 4 2" xfId="17" xr:uid="{AB381FC4-0BE3-4BF9-B24E-61013C5A281D}"/>
    <cellStyle name="Normal_1471bedford" xfId="4" xr:uid="{00000000-0005-0000-0000-000004000000}"/>
    <cellStyle name="Normal_coop sale price analysis v2" xfId="5" xr:uid="{00000000-0005-0000-0000-000005000000}"/>
    <cellStyle name="Normal_Form F - Financing Proposal" xfId="6" xr:uid="{00000000-0005-0000-0000-000006000000}"/>
    <cellStyle name="Percent" xfId="7" builtinId="5"/>
    <cellStyle name="Percent 2" xfId="8" xr:uid="{2B68880A-77DF-4660-BCDB-26B03CFEB36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3</xdr:row>
      <xdr:rowOff>66675</xdr:rowOff>
    </xdr:from>
    <xdr:to>
      <xdr:col>15</xdr:col>
      <xdr:colOff>285750</xdr:colOff>
      <xdr:row>52</xdr:row>
      <xdr:rowOff>190427</xdr:rowOff>
    </xdr:to>
    <xdr:pic>
      <xdr:nvPicPr>
        <xdr:cNvPr id="6" name="Picture 5">
          <a:extLst>
            <a:ext uri="{FF2B5EF4-FFF2-40B4-BE49-F238E27FC236}">
              <a16:creationId xmlns:a16="http://schemas.microsoft.com/office/drawing/2014/main" id="{B6F774CD-DFD0-E7C2-0311-3545D2A9A1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68" t="7613" r="11152" b="8492"/>
        <a:stretch/>
      </xdr:blipFill>
      <xdr:spPr>
        <a:xfrm>
          <a:off x="76200" y="638175"/>
          <a:ext cx="11639550" cy="94582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cp.maps.arcgis.com/apps/webappviewer/index.html?id=1c37d271fba14163bbb520517153d6d5" TargetMode="External"/><Relationship Id="rId2" Type="http://schemas.openxmlformats.org/officeDocument/2006/relationships/hyperlink" Target="https://dcp.maps.arcgis.com/apps/webappviewer/index.html?id=1c37d271fba14163bbb520517153d6d5" TargetMode="External"/><Relationship Id="rId1" Type="http://schemas.openxmlformats.org/officeDocument/2006/relationships/hyperlink" Target="https://www.nyc.gov/site/hpd/services-and-information/certification-of-no-harassment-conh.page" TargetMode="External"/><Relationship Id="rId6" Type="http://schemas.openxmlformats.org/officeDocument/2006/relationships/printerSettings" Target="../printerSettings/printerSettings1.bin"/><Relationship Id="rId5" Type="http://schemas.openxmlformats.org/officeDocument/2006/relationships/hyperlink" Target="https://a816-dohbesp.nyc.gov/IndicatorPublic/data-features/hvi/" TargetMode="External"/><Relationship Id="rId4" Type="http://schemas.openxmlformats.org/officeDocument/2006/relationships/hyperlink" Target="https://dcp.maps.arcgis.com/apps/webappviewer/index.html?id=1c37d271fba14163bbb520517153d6d5"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46.bin"/><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 Id="rId9"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11" Type="http://schemas.openxmlformats.org/officeDocument/2006/relationships/comments" Target="../comments1.xml"/><Relationship Id="rId5" Type="http://schemas.openxmlformats.org/officeDocument/2006/relationships/printerSettings" Target="../printerSettings/printerSettings52.bin"/><Relationship Id="rId10" Type="http://schemas.openxmlformats.org/officeDocument/2006/relationships/vmlDrawing" Target="../drawings/vmlDrawing1.vml"/><Relationship Id="rId4" Type="http://schemas.openxmlformats.org/officeDocument/2006/relationships/printerSettings" Target="../printerSettings/printerSettings51.bin"/><Relationship Id="rId9" Type="http://schemas.openxmlformats.org/officeDocument/2006/relationships/printerSettings" Target="../printerSettings/printerSettings5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E94-D96E-40A8-8FDD-B6F2DE911BBE}">
  <sheetPr>
    <pageSetUpPr fitToPage="1"/>
  </sheetPr>
  <dimension ref="A1:E85"/>
  <sheetViews>
    <sheetView tabSelected="1" zoomScaleNormal="100" workbookViewId="0">
      <selection activeCell="N13" sqref="N13"/>
    </sheetView>
  </sheetViews>
  <sheetFormatPr defaultColWidth="8.88671875" defaultRowHeight="15"/>
  <cols>
    <col min="1" max="1" width="24.77734375" style="746" customWidth="1"/>
    <col min="2" max="2" width="20" style="746" customWidth="1"/>
    <col min="3" max="3" width="21.21875" style="746" customWidth="1"/>
    <col min="4" max="4" width="20" style="746" customWidth="1"/>
    <col min="5" max="5" width="9.109375" style="746" customWidth="1"/>
    <col min="6" max="16384" width="8.88671875" style="746"/>
  </cols>
  <sheetData>
    <row r="1" spans="1:5" ht="56.25" customHeight="1">
      <c r="A1" s="846" t="s">
        <v>554</v>
      </c>
      <c r="B1" s="846"/>
      <c r="C1" s="846"/>
      <c r="D1" s="846"/>
    </row>
    <row r="2" spans="1:5" ht="12" customHeight="1">
      <c r="D2" s="747" t="s">
        <v>555</v>
      </c>
    </row>
    <row r="3" spans="1:5">
      <c r="A3" s="798" t="s">
        <v>556</v>
      </c>
      <c r="B3" s="847"/>
      <c r="C3" s="847"/>
      <c r="D3" s="847"/>
    </row>
    <row r="4" spans="1:5">
      <c r="A4" s="798" t="s">
        <v>557</v>
      </c>
      <c r="B4" s="848"/>
      <c r="C4" s="847"/>
      <c r="D4" s="847"/>
    </row>
    <row r="6" spans="1:5">
      <c r="A6" s="748" t="s">
        <v>558</v>
      </c>
      <c r="B6" s="749"/>
      <c r="C6" s="749"/>
      <c r="D6" s="749"/>
    </row>
    <row r="7" spans="1:5">
      <c r="A7" s="777" t="s">
        <v>559</v>
      </c>
      <c r="B7" s="749"/>
      <c r="C7" s="749"/>
      <c r="D7" s="749"/>
    </row>
    <row r="8" spans="1:5">
      <c r="A8" s="844" t="s">
        <v>560</v>
      </c>
      <c r="B8" s="845"/>
      <c r="C8" s="845"/>
      <c r="D8" s="845"/>
    </row>
    <row r="9" spans="1:5">
      <c r="A9" s="750" t="s">
        <v>561</v>
      </c>
      <c r="B9" s="751"/>
      <c r="C9" s="751"/>
      <c r="D9" s="751"/>
    </row>
    <row r="10" spans="1:5">
      <c r="A10" s="752" t="s">
        <v>671</v>
      </c>
      <c r="B10" s="753"/>
      <c r="C10" s="753"/>
      <c r="D10" s="753"/>
    </row>
    <row r="11" spans="1:5" ht="33" customHeight="1">
      <c r="A11" s="849" t="s">
        <v>670</v>
      </c>
      <c r="B11" s="850"/>
      <c r="C11" s="850"/>
      <c r="D11" s="850"/>
    </row>
    <row r="12" spans="1:5" ht="15" customHeight="1">
      <c r="A12" s="750" t="s">
        <v>562</v>
      </c>
      <c r="B12" s="754"/>
      <c r="C12" s="754"/>
      <c r="D12" s="754"/>
    </row>
    <row r="13" spans="1:5">
      <c r="A13" s="752" t="s">
        <v>672</v>
      </c>
      <c r="B13" s="751"/>
      <c r="C13" s="751"/>
      <c r="D13" s="751"/>
    </row>
    <row r="14" spans="1:5" ht="15" customHeight="1">
      <c r="A14" s="844" t="s">
        <v>673</v>
      </c>
      <c r="B14" s="845"/>
      <c r="C14" s="845"/>
      <c r="D14" s="845"/>
    </row>
    <row r="15" spans="1:5" ht="33" customHeight="1">
      <c r="A15" s="844" t="s">
        <v>563</v>
      </c>
      <c r="B15" s="845"/>
      <c r="C15" s="845"/>
      <c r="D15" s="845"/>
    </row>
    <row r="16" spans="1:5" ht="45.75" customHeight="1">
      <c r="A16" s="844" t="s">
        <v>564</v>
      </c>
      <c r="B16" s="845"/>
      <c r="C16" s="845"/>
      <c r="D16" s="845"/>
      <c r="E16" s="755"/>
    </row>
    <row r="17" spans="1:4">
      <c r="A17" s="756"/>
      <c r="B17" s="756"/>
      <c r="C17" s="756"/>
      <c r="D17" s="756"/>
    </row>
    <row r="18" spans="1:4">
      <c r="A18" s="853" t="s">
        <v>565</v>
      </c>
      <c r="B18" s="853"/>
      <c r="C18" s="853"/>
      <c r="D18" s="853"/>
    </row>
    <row r="19" spans="1:4" ht="155.25" customHeight="1">
      <c r="A19" s="854"/>
      <c r="B19" s="855"/>
      <c r="C19" s="855"/>
      <c r="D19" s="856"/>
    </row>
    <row r="20" spans="1:4">
      <c r="A20" s="749"/>
      <c r="B20" s="749"/>
      <c r="C20" s="749"/>
      <c r="D20" s="749"/>
    </row>
    <row r="21" spans="1:4">
      <c r="A21" s="757" t="s">
        <v>566</v>
      </c>
      <c r="B21" s="757"/>
      <c r="C21" s="757"/>
      <c r="D21" s="758"/>
    </row>
    <row r="22" spans="1:4">
      <c r="A22" s="778" t="s">
        <v>567</v>
      </c>
      <c r="B22" s="857"/>
      <c r="C22" s="857"/>
      <c r="D22" s="857"/>
    </row>
    <row r="23" spans="1:4" ht="114.6" customHeight="1">
      <c r="A23" s="778" t="s">
        <v>568</v>
      </c>
      <c r="B23" s="857"/>
      <c r="C23" s="857"/>
      <c r="D23" s="857"/>
    </row>
    <row r="24" spans="1:4">
      <c r="A24" s="778" t="s">
        <v>569</v>
      </c>
      <c r="B24" s="857"/>
      <c r="C24" s="857"/>
      <c r="D24" s="857"/>
    </row>
    <row r="25" spans="1:4">
      <c r="A25" s="778" t="s">
        <v>570</v>
      </c>
      <c r="B25" s="857"/>
      <c r="C25" s="857"/>
      <c r="D25" s="857"/>
    </row>
    <row r="26" spans="1:4">
      <c r="A26" s="778" t="s">
        <v>571</v>
      </c>
      <c r="B26" s="857"/>
      <c r="C26" s="857"/>
      <c r="D26" s="857"/>
    </row>
    <row r="27" spans="1:4" ht="30">
      <c r="A27" s="778" t="s">
        <v>572</v>
      </c>
      <c r="B27" s="857"/>
      <c r="C27" s="857"/>
      <c r="D27" s="857"/>
    </row>
    <row r="28" spans="1:4">
      <c r="A28" s="749"/>
      <c r="B28" s="749"/>
      <c r="C28" s="749"/>
      <c r="D28" s="749"/>
    </row>
    <row r="29" spans="1:4">
      <c r="A29" s="757" t="s">
        <v>573</v>
      </c>
      <c r="B29" s="766" t="s">
        <v>574</v>
      </c>
      <c r="C29" s="757"/>
      <c r="D29" s="757"/>
    </row>
    <row r="30" spans="1:4">
      <c r="A30" s="778" t="s">
        <v>575</v>
      </c>
      <c r="B30" s="858"/>
      <c r="C30" s="858"/>
      <c r="D30" s="858"/>
    </row>
    <row r="31" spans="1:4">
      <c r="A31" s="778" t="s">
        <v>576</v>
      </c>
      <c r="B31" s="779"/>
      <c r="C31" s="778" t="s">
        <v>577</v>
      </c>
      <c r="D31" s="779"/>
    </row>
    <row r="32" spans="1:4">
      <c r="A32" s="778" t="s">
        <v>578</v>
      </c>
      <c r="B32" s="780"/>
      <c r="C32" s="778" t="s">
        <v>579</v>
      </c>
      <c r="D32" s="780"/>
    </row>
    <row r="33" spans="1:4">
      <c r="A33" s="778" t="s">
        <v>580</v>
      </c>
      <c r="B33" s="780"/>
      <c r="C33" s="778" t="s">
        <v>581</v>
      </c>
      <c r="D33" s="780"/>
    </row>
    <row r="34" spans="1:4">
      <c r="A34" s="778" t="s">
        <v>582</v>
      </c>
      <c r="B34" s="780"/>
      <c r="C34" s="778" t="s">
        <v>583</v>
      </c>
      <c r="D34" s="780"/>
    </row>
    <row r="35" spans="1:4">
      <c r="A35" s="778" t="s">
        <v>584</v>
      </c>
      <c r="B35" s="780"/>
      <c r="C35" s="778" t="s">
        <v>585</v>
      </c>
      <c r="D35" s="780"/>
    </row>
    <row r="36" spans="1:4">
      <c r="A36" s="778" t="s">
        <v>586</v>
      </c>
      <c r="B36" s="780"/>
      <c r="C36" s="778" t="s">
        <v>587</v>
      </c>
      <c r="D36" s="780"/>
    </row>
    <row r="37" spans="1:4">
      <c r="A37" s="778" t="s">
        <v>588</v>
      </c>
      <c r="B37" s="781">
        <f>'Units &amp; Income'!I116</f>
        <v>0</v>
      </c>
      <c r="C37" s="778" t="s">
        <v>589</v>
      </c>
      <c r="D37" s="780"/>
    </row>
    <row r="38" spans="1:4">
      <c r="A38" s="778" t="s">
        <v>590</v>
      </c>
      <c r="B38" s="781">
        <f>SUM('Units &amp; Income'!I111:I114)</f>
        <v>0</v>
      </c>
      <c r="C38" s="778" t="s">
        <v>591</v>
      </c>
      <c r="D38" s="780"/>
    </row>
    <row r="39" spans="1:4">
      <c r="A39" s="778" t="s">
        <v>592</v>
      </c>
      <c r="B39" s="781">
        <f>IF(SUM(B37:B38,D42)&lt;&gt;SUM(B42:B45,D42),"# Mismatch to rows 43-46",SUM(B37:B38,D42))</f>
        <v>0</v>
      </c>
      <c r="C39" s="778" t="s">
        <v>593</v>
      </c>
      <c r="D39" s="782">
        <f>'Units &amp; Income'!C35+'Units &amp; Income'!C37</f>
        <v>0</v>
      </c>
    </row>
    <row r="40" spans="1:4">
      <c r="A40" s="778" t="s">
        <v>372</v>
      </c>
      <c r="B40" s="782">
        <f>'Units &amp; Income'!C6</f>
        <v>0</v>
      </c>
      <c r="C40" s="778" t="s">
        <v>594</v>
      </c>
      <c r="D40" s="780"/>
    </row>
    <row r="41" spans="1:4" ht="30">
      <c r="A41" s="778" t="s">
        <v>595</v>
      </c>
      <c r="B41" s="782">
        <f>'Units &amp; Income'!C7</f>
        <v>0</v>
      </c>
      <c r="C41" s="778" t="s">
        <v>596</v>
      </c>
      <c r="D41" s="781" t="str">
        <f>IF('Units &amp; Income'!D23&gt;0, _xlfn.CONCAT('Units &amp; Income'!D23-2, "BR"),"")</f>
        <v/>
      </c>
    </row>
    <row r="42" spans="1:4">
      <c r="A42" s="778" t="s">
        <v>597</v>
      </c>
      <c r="B42" s="783">
        <f>'Units &amp; Income'!C18</f>
        <v>0</v>
      </c>
      <c r="C42" s="778" t="s">
        <v>598</v>
      </c>
      <c r="D42" s="783">
        <f>'Units &amp; Income'!C23</f>
        <v>0</v>
      </c>
    </row>
    <row r="43" spans="1:4">
      <c r="A43" s="778" t="s">
        <v>599</v>
      </c>
      <c r="B43" s="783">
        <f>'Units &amp; Income'!C19</f>
        <v>0</v>
      </c>
      <c r="C43" s="851" t="s">
        <v>600</v>
      </c>
      <c r="D43" s="852"/>
    </row>
    <row r="44" spans="1:4">
      <c r="A44" s="778" t="s">
        <v>601</v>
      </c>
      <c r="B44" s="783">
        <f>'Units &amp; Income'!C20</f>
        <v>0</v>
      </c>
      <c r="C44" s="851"/>
      <c r="D44" s="852"/>
    </row>
    <row r="45" spans="1:4">
      <c r="A45" s="778" t="s">
        <v>602</v>
      </c>
      <c r="B45" s="783">
        <f>'Units &amp; Income'!C21</f>
        <v>0</v>
      </c>
      <c r="C45" s="851"/>
      <c r="D45" s="852"/>
    </row>
    <row r="46" spans="1:4" ht="60">
      <c r="A46" s="778" t="s">
        <v>603</v>
      </c>
      <c r="B46" s="857"/>
      <c r="C46" s="857"/>
      <c r="D46" s="857"/>
    </row>
    <row r="47" spans="1:4">
      <c r="A47" s="860"/>
      <c r="B47" s="860"/>
      <c r="C47" s="860"/>
      <c r="D47" s="860"/>
    </row>
    <row r="48" spans="1:4">
      <c r="A48" s="757" t="s">
        <v>604</v>
      </c>
      <c r="B48" s="766" t="s">
        <v>605</v>
      </c>
      <c r="C48" s="757"/>
      <c r="D48" s="757"/>
    </row>
    <row r="49" spans="1:4" ht="23.25" customHeight="1">
      <c r="A49" s="861" t="s">
        <v>606</v>
      </c>
      <c r="B49" s="857"/>
      <c r="C49" s="778" t="s">
        <v>607</v>
      </c>
      <c r="D49" s="857"/>
    </row>
    <row r="50" spans="1:4" ht="23.25" customHeight="1">
      <c r="A50" s="861"/>
      <c r="B50" s="857"/>
      <c r="C50" s="778" t="s">
        <v>608</v>
      </c>
      <c r="D50" s="857"/>
    </row>
    <row r="51" spans="1:4" ht="30">
      <c r="A51" s="778" t="s">
        <v>609</v>
      </c>
      <c r="B51" s="784"/>
      <c r="C51" s="778" t="s">
        <v>610</v>
      </c>
      <c r="D51" s="785"/>
    </row>
    <row r="52" spans="1:4">
      <c r="A52" s="778" t="s">
        <v>611</v>
      </c>
      <c r="B52" s="786">
        <f>IFERROR(IF('Devel. Bud'!D7="","",'Devel. Bud'!D7),"")</f>
        <v>0</v>
      </c>
      <c r="C52" s="861" t="s">
        <v>612</v>
      </c>
      <c r="D52" s="852"/>
    </row>
    <row r="53" spans="1:4">
      <c r="A53" s="787" t="s">
        <v>613</v>
      </c>
      <c r="B53" s="786" t="str">
        <f>IFERROR(IF('Devel. Bud'!D7="","",'Devel. Bud'!D7/'Units &amp; Income'!C11),"")</f>
        <v/>
      </c>
      <c r="C53" s="861"/>
      <c r="D53" s="852"/>
    </row>
    <row r="54" spans="1:4" ht="30">
      <c r="A54" s="778" t="s">
        <v>614</v>
      </c>
      <c r="B54" s="785"/>
      <c r="C54" s="778" t="s">
        <v>615</v>
      </c>
      <c r="D54" s="785"/>
    </row>
    <row r="55" spans="1:4" ht="30">
      <c r="A55" s="778" t="s">
        <v>616</v>
      </c>
      <c r="B55" s="785"/>
      <c r="C55" s="778" t="s">
        <v>617</v>
      </c>
      <c r="D55" s="785"/>
    </row>
    <row r="56" spans="1:4" ht="60">
      <c r="A56" s="851" t="s">
        <v>618</v>
      </c>
      <c r="B56" s="857"/>
      <c r="C56" s="778" t="s">
        <v>619</v>
      </c>
      <c r="D56" s="785"/>
    </row>
    <row r="57" spans="1:4">
      <c r="A57" s="851"/>
      <c r="B57" s="857"/>
      <c r="C57" s="788" t="s">
        <v>620</v>
      </c>
      <c r="D57" s="785"/>
    </row>
    <row r="58" spans="1:4" ht="45">
      <c r="A58" s="778" t="s">
        <v>621</v>
      </c>
      <c r="B58" s="785"/>
      <c r="C58" s="778" t="s">
        <v>622</v>
      </c>
      <c r="D58" s="785"/>
    </row>
    <row r="59" spans="1:4" ht="60">
      <c r="A59" s="778" t="s">
        <v>623</v>
      </c>
      <c r="B59" s="857"/>
      <c r="C59" s="857"/>
      <c r="D59" s="857"/>
    </row>
    <row r="60" spans="1:4">
      <c r="A60" s="860"/>
      <c r="B60" s="860"/>
      <c r="C60" s="860"/>
      <c r="D60" s="860"/>
    </row>
    <row r="61" spans="1:4">
      <c r="A61" s="757" t="s">
        <v>624</v>
      </c>
      <c r="B61" s="757"/>
      <c r="C61" s="757"/>
      <c r="D61" s="757"/>
    </row>
    <row r="62" spans="1:4" ht="30">
      <c r="A62" s="778" t="s">
        <v>625</v>
      </c>
      <c r="B62" s="785"/>
      <c r="C62" s="778" t="s">
        <v>626</v>
      </c>
      <c r="D62" s="785"/>
    </row>
    <row r="63" spans="1:4">
      <c r="A63" s="778" t="s">
        <v>627</v>
      </c>
      <c r="B63" s="785"/>
      <c r="C63" s="778" t="s">
        <v>628</v>
      </c>
      <c r="D63" s="785"/>
    </row>
    <row r="64" spans="1:4" ht="45">
      <c r="A64" s="778" t="s">
        <v>629</v>
      </c>
      <c r="B64" s="785"/>
      <c r="C64" s="778" t="s">
        <v>630</v>
      </c>
      <c r="D64" s="785"/>
    </row>
    <row r="65" spans="1:4" ht="30">
      <c r="A65" s="778" t="s">
        <v>631</v>
      </c>
      <c r="B65" s="785"/>
      <c r="C65" s="778" t="s">
        <v>632</v>
      </c>
      <c r="D65" s="785"/>
    </row>
    <row r="66" spans="1:4" ht="90">
      <c r="A66" s="778" t="s">
        <v>633</v>
      </c>
      <c r="B66" s="857"/>
      <c r="C66" s="857"/>
      <c r="D66" s="857"/>
    </row>
    <row r="67" spans="1:4">
      <c r="A67" s="749"/>
      <c r="B67" s="749"/>
      <c r="C67" s="749"/>
      <c r="D67" s="749"/>
    </row>
    <row r="68" spans="1:4">
      <c r="A68" s="757" t="s">
        <v>634</v>
      </c>
      <c r="B68" s="766" t="s">
        <v>635</v>
      </c>
      <c r="C68" s="757"/>
      <c r="D68" s="757"/>
    </row>
    <row r="69" spans="1:4">
      <c r="A69" s="778" t="s">
        <v>636</v>
      </c>
      <c r="B69" s="789"/>
      <c r="C69" s="778" t="s">
        <v>637</v>
      </c>
      <c r="D69" s="785"/>
    </row>
    <row r="70" spans="1:4" ht="45">
      <c r="A70" s="778" t="s">
        <v>638</v>
      </c>
      <c r="B70" s="790">
        <f>IFERROR(IF('Units &amp; Income'!C11="","",'Units &amp; Income'!C11),"")</f>
        <v>0</v>
      </c>
      <c r="C70" s="778" t="s">
        <v>639</v>
      </c>
      <c r="D70" s="785"/>
    </row>
    <row r="71" spans="1:4">
      <c r="A71" s="778" t="s">
        <v>640</v>
      </c>
      <c r="B71" s="791"/>
      <c r="C71" s="778" t="s">
        <v>641</v>
      </c>
      <c r="D71" s="791"/>
    </row>
    <row r="72" spans="1:4" ht="75">
      <c r="A72" s="778" t="s">
        <v>642</v>
      </c>
      <c r="B72" s="785"/>
      <c r="C72" s="778" t="s">
        <v>643</v>
      </c>
      <c r="D72" s="785"/>
    </row>
    <row r="73" spans="1:4">
      <c r="A73" s="778" t="s">
        <v>644</v>
      </c>
      <c r="B73" s="785"/>
      <c r="C73" s="778" t="s">
        <v>645</v>
      </c>
      <c r="D73" s="785"/>
    </row>
    <row r="74" spans="1:4" ht="90">
      <c r="A74" s="778" t="s">
        <v>646</v>
      </c>
      <c r="B74" s="785"/>
      <c r="C74" s="778" t="s">
        <v>647</v>
      </c>
      <c r="D74" s="785"/>
    </row>
    <row r="75" spans="1:4">
      <c r="A75" s="859"/>
      <c r="B75" s="859"/>
      <c r="C75" s="859"/>
      <c r="D75" s="859"/>
    </row>
    <row r="76" spans="1:4">
      <c r="A76" s="759" t="s">
        <v>648</v>
      </c>
      <c r="B76" s="759"/>
      <c r="C76" s="759"/>
      <c r="D76" s="759"/>
    </row>
    <row r="77" spans="1:4" ht="45">
      <c r="A77" s="792" t="s">
        <v>649</v>
      </c>
      <c r="B77" s="862"/>
      <c r="C77" s="792" t="s">
        <v>650</v>
      </c>
      <c r="D77" s="862"/>
    </row>
    <row r="78" spans="1:4">
      <c r="A78" s="788" t="s">
        <v>651</v>
      </c>
      <c r="B78" s="862"/>
      <c r="C78" s="788" t="s">
        <v>651</v>
      </c>
      <c r="D78" s="862"/>
    </row>
    <row r="79" spans="1:4" ht="45">
      <c r="A79" s="792" t="s">
        <v>652</v>
      </c>
      <c r="B79" s="862"/>
      <c r="C79" s="792" t="s">
        <v>653</v>
      </c>
      <c r="D79" s="862"/>
    </row>
    <row r="80" spans="1:4">
      <c r="A80" s="788" t="s">
        <v>651</v>
      </c>
      <c r="B80" s="862"/>
      <c r="C80" s="788" t="s">
        <v>651</v>
      </c>
      <c r="D80" s="862"/>
    </row>
    <row r="81" spans="1:4">
      <c r="A81" s="859"/>
      <c r="B81" s="859"/>
      <c r="C81" s="859"/>
      <c r="D81" s="859"/>
    </row>
    <row r="82" spans="1:4">
      <c r="A82" s="759" t="s">
        <v>654</v>
      </c>
      <c r="B82" s="759"/>
      <c r="C82" s="759"/>
      <c r="D82" s="759"/>
    </row>
    <row r="83" spans="1:4" ht="90">
      <c r="A83" s="792" t="s">
        <v>655</v>
      </c>
      <c r="B83" s="793"/>
      <c r="C83" s="792" t="s">
        <v>656</v>
      </c>
      <c r="D83" s="793"/>
    </row>
    <row r="84" spans="1:4" ht="45">
      <c r="A84" s="792" t="s">
        <v>657</v>
      </c>
      <c r="B84" s="793"/>
      <c r="C84" s="792" t="s">
        <v>658</v>
      </c>
      <c r="D84" s="794"/>
    </row>
    <row r="85" spans="1:4" ht="75">
      <c r="A85" s="792" t="s">
        <v>659</v>
      </c>
      <c r="B85" s="793"/>
      <c r="C85" s="792" t="s">
        <v>660</v>
      </c>
      <c r="D85" s="793"/>
    </row>
  </sheetData>
  <mergeCells count="37">
    <mergeCell ref="B77:B78"/>
    <mergeCell ref="D77:D78"/>
    <mergeCell ref="B79:B80"/>
    <mergeCell ref="D79:D80"/>
    <mergeCell ref="A81:D81"/>
    <mergeCell ref="A75:D75"/>
    <mergeCell ref="B46:D46"/>
    <mergeCell ref="A47:D47"/>
    <mergeCell ref="A49:A50"/>
    <mergeCell ref="B49:B50"/>
    <mergeCell ref="D49:D50"/>
    <mergeCell ref="C52:C53"/>
    <mergeCell ref="D52:D53"/>
    <mergeCell ref="A56:A57"/>
    <mergeCell ref="B56:B57"/>
    <mergeCell ref="B59:D59"/>
    <mergeCell ref="A60:D60"/>
    <mergeCell ref="B66:D66"/>
    <mergeCell ref="C43:C45"/>
    <mergeCell ref="D43:D45"/>
    <mergeCell ref="A15:D15"/>
    <mergeCell ref="A16:D16"/>
    <mergeCell ref="A18:D18"/>
    <mergeCell ref="A19:D19"/>
    <mergeCell ref="B22:D22"/>
    <mergeCell ref="B23:D23"/>
    <mergeCell ref="B24:D24"/>
    <mergeCell ref="B25:D25"/>
    <mergeCell ref="B26:D26"/>
    <mergeCell ref="B27:D27"/>
    <mergeCell ref="B30:D30"/>
    <mergeCell ref="A14:D14"/>
    <mergeCell ref="A1:D1"/>
    <mergeCell ref="B3:D3"/>
    <mergeCell ref="B4:D4"/>
    <mergeCell ref="A8:D8"/>
    <mergeCell ref="A11:D11"/>
  </mergeCells>
  <hyperlinks>
    <hyperlink ref="C57" r:id="rId1" xr:uid="{0F2C8FB2-7801-4144-A5EE-EB4869CA1D3E}"/>
    <hyperlink ref="A78" r:id="rId2" xr:uid="{1FA10137-D8B7-49C0-AD99-1B977233B5D5}"/>
    <hyperlink ref="A80" r:id="rId3" xr:uid="{99E36F0A-499F-426B-A562-F31FC91349CD}"/>
    <hyperlink ref="C78" r:id="rId4" xr:uid="{CBAEA6C3-C849-4107-940E-D480B6F1C6B7}"/>
    <hyperlink ref="C80" r:id="rId5" xr:uid="{589EA2CB-4886-4592-A682-6B96829BD7A3}"/>
  </hyperlinks>
  <pageMargins left="0.7" right="0.7" top="0.75" bottom="0.75" header="0.3" footer="0.3"/>
  <pageSetup scale="88" fitToHeight="0" orientation="portrait" r:id="rId6"/>
  <rowBreaks count="3" manualBreakCount="3">
    <brk id="20" max="16383" man="1"/>
    <brk id="47" max="16383" man="1"/>
    <brk id="67"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78"/>
  <sheetViews>
    <sheetView workbookViewId="0"/>
  </sheetViews>
  <sheetFormatPr defaultRowHeight="15"/>
  <cols>
    <col min="1" max="1" width="38.44140625" customWidth="1"/>
    <col min="2" max="2" width="19.5546875" style="290" bestFit="1" customWidth="1"/>
    <col min="3" max="3" width="15.109375" style="160" bestFit="1" customWidth="1"/>
    <col min="4" max="4" width="17.5546875" bestFit="1" customWidth="1"/>
    <col min="5" max="5" width="6.21875" customWidth="1"/>
    <col min="6" max="6" width="25.44140625" bestFit="1" customWidth="1"/>
    <col min="7" max="7" width="11.44140625" customWidth="1"/>
    <col min="8" max="8" width="13.6640625" customWidth="1"/>
  </cols>
  <sheetData>
    <row r="1" spans="1:8" ht="15.75">
      <c r="A1" s="27" t="str">
        <f>'Sources and Use'!A1</f>
        <v xml:space="preserve">Project Name: </v>
      </c>
      <c r="B1" s="291"/>
      <c r="G1" s="321"/>
      <c r="H1" s="321"/>
    </row>
    <row r="2" spans="1:8" ht="15.75">
      <c r="A2" s="27" t="str">
        <f>'Sources and Use'!A2</f>
        <v>Development Team:</v>
      </c>
      <c r="B2" s="291"/>
      <c r="G2" s="321"/>
      <c r="H2" s="321"/>
    </row>
    <row r="3" spans="1:8" ht="15.75">
      <c r="A3" s="27" t="str">
        <f>'Sources and Use'!A3</f>
        <v>Site:</v>
      </c>
      <c r="B3" s="291"/>
      <c r="G3" s="321" t="str">
        <f>'Sources and Use'!C3</f>
        <v>Units:</v>
      </c>
      <c r="H3" s="320">
        <f>'Units &amp; Income'!C24</f>
        <v>0</v>
      </c>
    </row>
    <row r="5" spans="1:8" ht="15.75">
      <c r="A5" s="27" t="s">
        <v>216</v>
      </c>
    </row>
    <row r="6" spans="1:8" ht="15.75" thickBot="1">
      <c r="A6" s="322" t="s">
        <v>217</v>
      </c>
      <c r="B6" s="292"/>
      <c r="C6"/>
    </row>
    <row r="7" spans="1:8" ht="17.25" thickTop="1" thickBot="1">
      <c r="B7" s="291"/>
      <c r="F7" s="544" t="s">
        <v>371</v>
      </c>
      <c r="G7" s="437"/>
      <c r="H7" s="465"/>
    </row>
    <row r="8" spans="1:8" ht="16.5" thickTop="1">
      <c r="A8" s="294"/>
      <c r="B8" s="295" t="s">
        <v>203</v>
      </c>
      <c r="C8" s="296" t="s">
        <v>202</v>
      </c>
      <c r="D8" s="297" t="s">
        <v>204</v>
      </c>
      <c r="F8" s="300" t="s">
        <v>207</v>
      </c>
      <c r="H8" s="461" t="e">
        <f>H7/H3</f>
        <v>#DIV/0!</v>
      </c>
    </row>
    <row r="9" spans="1:8">
      <c r="A9" s="298" t="str">
        <f>'Devel. Bud'!A7</f>
        <v>Acquisition Cost</v>
      </c>
      <c r="B9" s="290" t="s">
        <v>205</v>
      </c>
      <c r="C9" s="264">
        <f>'Devel. Bud'!D7</f>
        <v>0</v>
      </c>
      <c r="D9" s="440"/>
      <c r="F9" s="300" t="s">
        <v>208</v>
      </c>
      <c r="H9" s="310" t="e">
        <f>('Devel. Bud'!D13)/'Devel. Bud'!D17</f>
        <v>#DIV/0!</v>
      </c>
    </row>
    <row r="10" spans="1:8">
      <c r="A10" s="300"/>
      <c r="C10" s="264"/>
      <c r="D10" s="299"/>
      <c r="F10" s="300" t="s">
        <v>209</v>
      </c>
      <c r="H10" s="311" t="e">
        <f>H8-H9</f>
        <v>#DIV/0!</v>
      </c>
    </row>
    <row r="11" spans="1:8">
      <c r="A11" s="298" t="str">
        <f>'Devel. Bud'!A9</f>
        <v>Construction Cost</v>
      </c>
      <c r="C11" s="264"/>
      <c r="D11" s="299"/>
      <c r="F11" s="312" t="s">
        <v>210</v>
      </c>
      <c r="G11" s="313"/>
      <c r="H11" s="314" t="e">
        <f ca="1">('Sources and Use'!B8-'Sources and Use'!B22)/'Sources and Use'!B8</f>
        <v>#DIV/0!</v>
      </c>
    </row>
    <row r="12" spans="1:8">
      <c r="A12" s="298" t="str">
        <f>'Devel. Bud'!A10</f>
        <v xml:space="preserve">Contractor Price </v>
      </c>
      <c r="C12" s="264"/>
      <c r="D12" s="299"/>
    </row>
    <row r="13" spans="1:8" ht="15.75" thickBot="1">
      <c r="A13" s="300" t="str">
        <f>'Devel. Bud'!A11</f>
        <v>Residential</v>
      </c>
      <c r="B13" s="290" t="s">
        <v>206</v>
      </c>
      <c r="C13" s="264">
        <f>'Devel. Bud'!D11</f>
        <v>0</v>
      </c>
      <c r="D13" s="438"/>
    </row>
    <row r="14" spans="1:8" ht="15.75" thickTop="1">
      <c r="A14" s="300" t="str">
        <f>'Devel. Bud'!A13</f>
        <v>Commercial Space</v>
      </c>
      <c r="B14" s="290" t="s">
        <v>205</v>
      </c>
      <c r="C14" s="264">
        <f>'Devel. Bud'!D13</f>
        <v>0</v>
      </c>
      <c r="D14" s="439"/>
      <c r="F14" s="294" t="s">
        <v>444</v>
      </c>
      <c r="G14" s="462"/>
      <c r="H14" s="463">
        <f>D78</f>
        <v>0</v>
      </c>
    </row>
    <row r="15" spans="1:8">
      <c r="A15" s="300" t="str">
        <f>'Devel. Bud'!A14</f>
        <v>Community Space</v>
      </c>
      <c r="B15" s="290" t="s">
        <v>206</v>
      </c>
      <c r="C15" s="264">
        <f>'Devel. Bud'!D14</f>
        <v>0</v>
      </c>
      <c r="D15" s="438"/>
      <c r="F15" s="300" t="s">
        <v>443</v>
      </c>
      <c r="H15" s="299" t="e">
        <f>H14/H7</f>
        <v>#DIV/0!</v>
      </c>
    </row>
    <row r="16" spans="1:8">
      <c r="A16" s="300" t="str">
        <f>'Devel. Bud'!A15</f>
        <v>Parking</v>
      </c>
      <c r="B16" s="290" t="s">
        <v>205</v>
      </c>
      <c r="C16" s="264">
        <f>'Devel. Bud'!D15</f>
        <v>0</v>
      </c>
      <c r="D16" s="439"/>
      <c r="F16" s="300" t="s">
        <v>214</v>
      </c>
      <c r="G16" s="464"/>
      <c r="H16" s="301">
        <f>H14*G16</f>
        <v>0</v>
      </c>
    </row>
    <row r="17" spans="1:8">
      <c r="A17" s="300" t="str">
        <f>'Devel. Bud'!A16</f>
        <v>Contingency</v>
      </c>
      <c r="B17" s="290" t="s">
        <v>206</v>
      </c>
      <c r="C17" s="264">
        <f>'Devel. Bud'!D16</f>
        <v>0</v>
      </c>
      <c r="D17" s="438"/>
      <c r="F17" s="300" t="s">
        <v>211</v>
      </c>
      <c r="G17" s="401"/>
      <c r="H17" s="315">
        <f>H16*G17</f>
        <v>0</v>
      </c>
    </row>
    <row r="18" spans="1:8">
      <c r="A18" s="300"/>
      <c r="C18" s="264"/>
      <c r="D18" s="301"/>
      <c r="F18" s="300" t="s">
        <v>212</v>
      </c>
      <c r="G18" s="293"/>
      <c r="H18" s="315">
        <f>H17*G18</f>
        <v>0</v>
      </c>
    </row>
    <row r="19" spans="1:8">
      <c r="A19" s="774"/>
      <c r="C19" s="264"/>
      <c r="D19" s="775"/>
      <c r="F19" s="776" t="s">
        <v>669</v>
      </c>
      <c r="G19" s="401"/>
      <c r="H19" s="315">
        <f>H18*G19</f>
        <v>0</v>
      </c>
    </row>
    <row r="20" spans="1:8">
      <c r="A20" s="300"/>
      <c r="C20" s="264"/>
      <c r="D20" s="301"/>
      <c r="F20" s="312" t="s">
        <v>213</v>
      </c>
      <c r="G20" s="313"/>
      <c r="H20" s="309">
        <f>H19*10</f>
        <v>0</v>
      </c>
    </row>
    <row r="21" spans="1:8">
      <c r="A21" s="298" t="str">
        <f>'Devel. Bud'!A17</f>
        <v>Total Hard Cost</v>
      </c>
      <c r="C21" s="302">
        <f>'Devel. Bud'!D17</f>
        <v>0</v>
      </c>
      <c r="D21" s="303">
        <f>SUM(D13:D20)</f>
        <v>0</v>
      </c>
    </row>
    <row r="22" spans="1:8">
      <c r="A22" s="300"/>
      <c r="C22" s="264"/>
      <c r="D22" s="299"/>
    </row>
    <row r="23" spans="1:8">
      <c r="A23" s="300"/>
      <c r="C23" s="264"/>
      <c r="D23" s="299"/>
    </row>
    <row r="24" spans="1:8">
      <c r="A24" s="298" t="str">
        <f>'Devel. Bud'!A20</f>
        <v>Soft Cost</v>
      </c>
      <c r="C24" s="264"/>
      <c r="D24" s="299"/>
    </row>
    <row r="25" spans="1:8">
      <c r="A25" s="300"/>
      <c r="C25" s="264"/>
      <c r="D25" s="299"/>
    </row>
    <row r="26" spans="1:8">
      <c r="A26" s="300" t="str">
        <f>'Devel. Bud'!A22</f>
        <v>Borrower's Legal</v>
      </c>
      <c r="B26" s="290" t="s">
        <v>206</v>
      </c>
      <c r="C26" s="264">
        <f>'Devel. Bud'!D22</f>
        <v>0</v>
      </c>
      <c r="D26" s="438"/>
    </row>
    <row r="27" spans="1:8">
      <c r="A27" s="300" t="str">
        <f>'Devel. Bud'!A23</f>
        <v>Borrower's Engineer/Architect Fees</v>
      </c>
      <c r="B27" s="290" t="s">
        <v>206</v>
      </c>
      <c r="C27" s="264">
        <f>'Devel. Bud'!D23</f>
        <v>0</v>
      </c>
      <c r="D27" s="438"/>
    </row>
    <row r="28" spans="1:8">
      <c r="A28" s="300" t="str">
        <f>'Devel. Bud'!A24</f>
        <v>Accounting &amp; Cost Certification</v>
      </c>
      <c r="B28" s="290" t="s">
        <v>206</v>
      </c>
      <c r="C28" s="264">
        <f>'Devel. Bud'!D24</f>
        <v>0</v>
      </c>
      <c r="D28" s="438"/>
    </row>
    <row r="29" spans="1:8">
      <c r="A29" s="300" t="str">
        <f>'Devel. Bud'!A25</f>
        <v>Housing/Development Consultant</v>
      </c>
      <c r="B29" s="290" t="s">
        <v>206</v>
      </c>
      <c r="C29" s="264">
        <f>'Devel. Bud'!D25</f>
        <v>0</v>
      </c>
      <c r="D29" s="438"/>
    </row>
    <row r="30" spans="1:8">
      <c r="A30" s="300" t="str">
        <f>'Devel. Bud'!A26</f>
        <v>Bank's Engineer</v>
      </c>
      <c r="B30" s="290" t="s">
        <v>206</v>
      </c>
      <c r="C30" s="264">
        <f>'Devel. Bud'!D26</f>
        <v>0</v>
      </c>
      <c r="D30" s="438"/>
    </row>
    <row r="31" spans="1:8">
      <c r="A31" s="300" t="str">
        <f>'Devel. Bud'!A27</f>
        <v>Bank Legal</v>
      </c>
      <c r="B31" s="290" t="s">
        <v>206</v>
      </c>
      <c r="C31" s="264">
        <f>'Devel. Bud'!D27</f>
        <v>0</v>
      </c>
      <c r="D31" s="438"/>
    </row>
    <row r="32" spans="1:8">
      <c r="A32" s="300" t="str">
        <f>'Devel. Bud'!A28</f>
        <v>Permits and expediting</v>
      </c>
      <c r="B32" s="290" t="s">
        <v>206</v>
      </c>
      <c r="C32" s="264">
        <f>'Devel. Bud'!D28</f>
        <v>0</v>
      </c>
      <c r="D32" s="438"/>
    </row>
    <row r="33" spans="1:11">
      <c r="A33" s="300" t="str">
        <f>'Devel. Bud'!A29</f>
        <v>Environmental Phase I &amp; II</v>
      </c>
      <c r="B33" s="290" t="s">
        <v>206</v>
      </c>
      <c r="C33" s="264">
        <f>'Devel. Bud'!D29</f>
        <v>0</v>
      </c>
      <c r="D33" s="438"/>
    </row>
    <row r="34" spans="1:11">
      <c r="A34" s="300" t="str">
        <f>'Devel. Bud'!A30</f>
        <v>CEQR</v>
      </c>
      <c r="B34" s="290" t="s">
        <v>206</v>
      </c>
      <c r="C34" s="264">
        <f>'Devel. Bud'!D30</f>
        <v>0</v>
      </c>
      <c r="D34" s="438"/>
    </row>
    <row r="35" spans="1:11">
      <c r="A35" s="300" t="str">
        <f>'Devel. Bud'!A31</f>
        <v>Borings</v>
      </c>
      <c r="B35" s="290" t="s">
        <v>206</v>
      </c>
      <c r="C35" s="264">
        <f>'Devel. Bud'!D31</f>
        <v>0</v>
      </c>
      <c r="D35" s="438"/>
    </row>
    <row r="36" spans="1:11">
      <c r="A36" s="300" t="str">
        <f>'Devel. Bud'!A32</f>
        <v>Survey</v>
      </c>
      <c r="B36" s="290" t="s">
        <v>206</v>
      </c>
      <c r="C36" s="264">
        <f>'Devel. Bud'!D32</f>
        <v>0</v>
      </c>
      <c r="D36" s="438"/>
    </row>
    <row r="37" spans="1:11">
      <c r="A37" s="300" t="str">
        <f>'Devel. Bud'!A33</f>
        <v>Geotechnical</v>
      </c>
      <c r="B37" s="290" t="s">
        <v>206</v>
      </c>
      <c r="C37" s="264">
        <f>'Devel. Bud'!D33</f>
        <v>0</v>
      </c>
      <c r="D37" s="438"/>
    </row>
    <row r="38" spans="1:11">
      <c r="A38" s="300" t="str">
        <f>'Devel. Bud'!A34</f>
        <v>Title Insurance</v>
      </c>
      <c r="B38" s="290" t="s">
        <v>206</v>
      </c>
      <c r="C38" s="264">
        <f>'Devel. Bud'!D34</f>
        <v>0</v>
      </c>
      <c r="D38" s="438"/>
    </row>
    <row r="39" spans="1:11">
      <c r="A39" s="300" t="str">
        <f>'Devel. Bud'!A35</f>
        <v xml:space="preserve">Appraisal </v>
      </c>
      <c r="B39" s="290" t="s">
        <v>205</v>
      </c>
      <c r="C39" s="264">
        <f>'Devel. Bud'!D36</f>
        <v>0</v>
      </c>
      <c r="D39" s="439"/>
    </row>
    <row r="40" spans="1:11">
      <c r="A40" s="298" t="str">
        <f>'Devel. Bud'!A37</f>
        <v>Subtotal</v>
      </c>
      <c r="C40" s="302">
        <f>'Devel. Bud'!D37</f>
        <v>0</v>
      </c>
      <c r="D40" s="303">
        <f>SUM(D26:D39)</f>
        <v>0</v>
      </c>
    </row>
    <row r="41" spans="1:11">
      <c r="A41" s="300"/>
      <c r="C41" s="264"/>
      <c r="D41" s="299"/>
    </row>
    <row r="42" spans="1:11" ht="15.75">
      <c r="A42" s="304" t="str">
        <f>'Devel. Bud'!A39</f>
        <v>Financing Fees (Please maintain links to original calculations and note any changes)</v>
      </c>
      <c r="C42" s="264"/>
      <c r="D42" s="299"/>
    </row>
    <row r="43" spans="1:11">
      <c r="A43" s="300" t="str">
        <f>'Devel. Bud'!A40</f>
        <v>Upfront L/C Fee</v>
      </c>
      <c r="B43" s="290" t="s">
        <v>206</v>
      </c>
      <c r="C43" s="264">
        <f>'Devel. Bud'!D40</f>
        <v>0</v>
      </c>
      <c r="D43" s="438"/>
      <c r="K43" t="s">
        <v>100</v>
      </c>
    </row>
    <row r="44" spans="1:11">
      <c r="A44" s="300" t="str">
        <f>'Devel. Bud'!A41</f>
        <v>Annual L/C Fee</v>
      </c>
      <c r="B44" s="290" t="s">
        <v>206</v>
      </c>
      <c r="C44" s="264">
        <f>'Devel. Bud'!D41</f>
        <v>0</v>
      </c>
      <c r="D44" s="438"/>
    </row>
    <row r="45" spans="1:11">
      <c r="A45" s="300" t="str">
        <f>'Devel. Bud'!A42</f>
        <v>HDC Fee (if applicable)</v>
      </c>
      <c r="B45" s="290" t="s">
        <v>205</v>
      </c>
      <c r="C45" s="264">
        <f>'Devel. Bud'!D42</f>
        <v>0</v>
      </c>
      <c r="D45" s="439"/>
    </row>
    <row r="46" spans="1:11">
      <c r="A46" s="300" t="str">
        <f>'Devel. Bud'!A44</f>
        <v>Costs of Issuance</v>
      </c>
      <c r="B46" s="290" t="s">
        <v>205</v>
      </c>
      <c r="C46" s="264">
        <f>'Devel. Bud'!D44</f>
        <v>0</v>
      </c>
      <c r="D46" s="438"/>
    </row>
    <row r="47" spans="1:11">
      <c r="A47" s="300" t="str">
        <f>'Devel. Bud'!A45</f>
        <v>HPD Fee (if applicable)</v>
      </c>
      <c r="B47" s="290" t="s">
        <v>205</v>
      </c>
      <c r="C47" s="264">
        <f>'Devel. Bud'!D45</f>
        <v>0</v>
      </c>
      <c r="D47" s="439"/>
    </row>
    <row r="48" spans="1:11">
      <c r="A48" s="300" t="str">
        <f>'Devel. Bud'!A46</f>
        <v>Interest Rate Cap (estimate)</v>
      </c>
      <c r="B48" s="290" t="s">
        <v>205</v>
      </c>
      <c r="C48" s="264">
        <f>'Devel. Bud'!D46</f>
        <v>0</v>
      </c>
      <c r="D48" s="439"/>
    </row>
    <row r="49" spans="1:4">
      <c r="A49" s="300" t="str">
        <f>'Devel. Bud'!A47</f>
        <v>Tax Exemption/Abatement Fees &amp; Consultant</v>
      </c>
      <c r="B49" s="290" t="s">
        <v>206</v>
      </c>
      <c r="C49" s="264">
        <f>'Devel. Bud'!D47</f>
        <v>0</v>
      </c>
      <c r="D49" s="439"/>
    </row>
    <row r="50" spans="1:4">
      <c r="A50" s="300" t="str">
        <f>'Devel. Bud'!A48</f>
        <v>LIHTC Application Fee</v>
      </c>
      <c r="B50" s="290" t="s">
        <v>205</v>
      </c>
      <c r="C50" s="264">
        <f>'Devel. Bud'!D48</f>
        <v>0</v>
      </c>
      <c r="D50" s="439"/>
    </row>
    <row r="51" spans="1:4">
      <c r="A51" s="300" t="str">
        <f>'Devel. Bud'!A49</f>
        <v>Non Profit Sponsor</v>
      </c>
      <c r="B51" s="290" t="s">
        <v>206</v>
      </c>
      <c r="C51" s="264">
        <f>'Devel. Bud'!D49</f>
        <v>0</v>
      </c>
      <c r="D51" s="439"/>
    </row>
    <row r="52" spans="1:4">
      <c r="A52" s="305" t="str">
        <f>'Devel. Bud'!A51</f>
        <v>Subtotal</v>
      </c>
      <c r="B52" s="306"/>
      <c r="C52" s="302">
        <f>'Devel. Bud'!D51</f>
        <v>0</v>
      </c>
      <c r="D52" s="329">
        <f>SUM(D43:D51)</f>
        <v>0</v>
      </c>
    </row>
    <row r="53" spans="1:4">
      <c r="A53" s="300"/>
      <c r="C53" s="264"/>
      <c r="D53" s="299"/>
    </row>
    <row r="54" spans="1:4" ht="15.75">
      <c r="A54" s="304" t="str">
        <f>'Devel. Bud'!A53</f>
        <v xml:space="preserve">Carrying Costs </v>
      </c>
      <c r="C54" s="264"/>
      <c r="D54" s="299"/>
    </row>
    <row r="55" spans="1:4">
      <c r="A55" s="300" t="str">
        <f>'Devel. Bud'!A54</f>
        <v>Construction Interest (Paid)</v>
      </c>
      <c r="B55" s="290" t="s">
        <v>206</v>
      </c>
      <c r="C55" s="264" t="e">
        <f ca="1">'Devel. Bud'!D54</f>
        <v>#DIV/0!</v>
      </c>
      <c r="D55" s="438"/>
    </row>
    <row r="56" spans="1:4">
      <c r="A56" s="300" t="str">
        <f>'Devel. Bud'!A56</f>
        <v>Negative Arbitrage</v>
      </c>
      <c r="B56" s="290" t="s">
        <v>205</v>
      </c>
      <c r="C56" s="264" t="e">
        <f ca="1">'Devel. Bud'!D56</f>
        <v>#DIV/0!</v>
      </c>
      <c r="D56" s="438"/>
    </row>
    <row r="57" spans="1:4">
      <c r="A57" s="300" t="str">
        <f>'Devel. Bud'!A57</f>
        <v>Mortgage Recorting Tax</v>
      </c>
      <c r="B57" s="290" t="s">
        <v>205</v>
      </c>
      <c r="C57" s="264">
        <f>'Devel. Bud'!D57</f>
        <v>0</v>
      </c>
      <c r="D57" s="439"/>
    </row>
    <row r="58" spans="1:4">
      <c r="A58" s="300" t="str">
        <f>'Devel. Bud'!A58</f>
        <v>Water/Sewer &amp; Real Estate Taxes</v>
      </c>
      <c r="B58" s="290" t="s">
        <v>206</v>
      </c>
      <c r="C58" s="264">
        <f>'Devel. Bud'!D58</f>
        <v>0</v>
      </c>
      <c r="D58" s="438"/>
    </row>
    <row r="59" spans="1:4">
      <c r="A59" s="300" t="str">
        <f>'Devel. Bud'!A59</f>
        <v>Utilities</v>
      </c>
      <c r="B59" s="290" t="s">
        <v>206</v>
      </c>
      <c r="C59" s="264">
        <f>'Devel. Bud'!D59</f>
        <v>0</v>
      </c>
      <c r="D59" s="438"/>
    </row>
    <row r="60" spans="1:4">
      <c r="A60" s="300" t="str">
        <f>'Devel. Bud'!A60</f>
        <v>Insurance</v>
      </c>
      <c r="B60" s="290" t="s">
        <v>206</v>
      </c>
      <c r="C60" s="264">
        <f>'Devel. Bud'!D60</f>
        <v>0</v>
      </c>
      <c r="D60" s="438"/>
    </row>
    <row r="61" spans="1:4">
      <c r="A61" s="300" t="str">
        <f>'Devel. Bud'!A61</f>
        <v>Construction Monitor</v>
      </c>
      <c r="B61" s="290" t="s">
        <v>206</v>
      </c>
      <c r="C61" s="264">
        <f>'Devel. Bud'!D61</f>
        <v>0</v>
      </c>
      <c r="D61" s="438"/>
    </row>
    <row r="62" spans="1:4">
      <c r="A62" s="300" t="str">
        <f>'Devel. Bud'!A62</f>
        <v>Marketing</v>
      </c>
      <c r="B62" s="290" t="s">
        <v>205</v>
      </c>
      <c r="C62" s="264">
        <f>'Devel. Bud'!D62</f>
        <v>0</v>
      </c>
      <c r="D62" s="439"/>
    </row>
    <row r="63" spans="1:4">
      <c r="A63" s="300" t="str">
        <f>'Devel. Bud'!A63</f>
        <v>Security</v>
      </c>
      <c r="B63" s="290" t="s">
        <v>206</v>
      </c>
      <c r="C63" s="264">
        <f>'Devel. Bud'!D63</f>
        <v>0</v>
      </c>
      <c r="D63" s="438"/>
    </row>
    <row r="64" spans="1:4">
      <c r="A64" s="305" t="str">
        <f>'Devel. Bud'!A65</f>
        <v>Subtotal</v>
      </c>
      <c r="B64" s="306"/>
      <c r="C64" s="302" t="e">
        <f ca="1">'Devel. Bud'!D65</f>
        <v>#DIV/0!</v>
      </c>
      <c r="D64" s="303">
        <f>SUM(D55:D63)</f>
        <v>0</v>
      </c>
    </row>
    <row r="65" spans="1:4">
      <c r="A65" s="300"/>
      <c r="C65" s="264"/>
      <c r="D65" s="299"/>
    </row>
    <row r="66" spans="1:4" ht="15.75">
      <c r="A66" s="304" t="str">
        <f>'Devel. Bud'!A67</f>
        <v>Reserves and Contingency</v>
      </c>
      <c r="C66" s="264"/>
      <c r="D66" s="299"/>
    </row>
    <row r="67" spans="1:4">
      <c r="A67" s="300" t="str">
        <f>'Devel. Bud'!A68</f>
        <v>Social Service Reserve</v>
      </c>
      <c r="B67" s="290" t="s">
        <v>205</v>
      </c>
      <c r="C67" s="264">
        <f>'Devel. Bud'!D68</f>
        <v>0</v>
      </c>
      <c r="D67" s="439"/>
    </row>
    <row r="68" spans="1:4">
      <c r="A68" s="300" t="str">
        <f>'Devel. Bud'!A69</f>
        <v>Capitalized Operating Reserve</v>
      </c>
      <c r="B68" s="290" t="s">
        <v>205</v>
      </c>
      <c r="C68" s="264">
        <f>'Devel. Bud'!D69</f>
        <v>0</v>
      </c>
      <c r="D68" s="439"/>
    </row>
    <row r="69" spans="1:4">
      <c r="A69" s="300" t="str">
        <f>'Devel. Bud'!A70</f>
        <v>Additional Operating Reserve (if applicable)</v>
      </c>
      <c r="B69" s="290" t="s">
        <v>205</v>
      </c>
      <c r="C69" s="264">
        <f>'Devel. Bud'!D70</f>
        <v>0</v>
      </c>
      <c r="D69" s="439"/>
    </row>
    <row r="70" spans="1:4">
      <c r="A70" s="300" t="str">
        <f>'Devel. Bud'!A71</f>
        <v>Soft Cost Contingency</v>
      </c>
      <c r="B70" s="290" t="s">
        <v>206</v>
      </c>
      <c r="C70" s="264">
        <f>'Devel. Bud'!D71</f>
        <v>0</v>
      </c>
      <c r="D70" s="438"/>
    </row>
    <row r="71" spans="1:4">
      <c r="A71" s="300"/>
      <c r="C71" s="264"/>
      <c r="D71" s="299"/>
    </row>
    <row r="72" spans="1:4">
      <c r="A72" s="305" t="str">
        <f>'Devel. Bud'!A72</f>
        <v>Subtotal</v>
      </c>
      <c r="C72" s="302">
        <f>'Devel. Bud'!D72</f>
        <v>0</v>
      </c>
      <c r="D72" s="303">
        <f>SUM(D66:D71)</f>
        <v>0</v>
      </c>
    </row>
    <row r="73" spans="1:4">
      <c r="A73" s="300"/>
      <c r="C73" s="264"/>
      <c r="D73" s="299"/>
    </row>
    <row r="74" spans="1:4">
      <c r="A74" s="298" t="str">
        <f>'Devel. Bud'!A74</f>
        <v>Total Soft Costs</v>
      </c>
      <c r="C74" s="302" t="e">
        <f ca="1">'Devel. Bud'!D74</f>
        <v>#DIV/0!</v>
      </c>
      <c r="D74" s="303">
        <f>D40+D52+D64+D72</f>
        <v>0</v>
      </c>
    </row>
    <row r="75" spans="1:4">
      <c r="A75" s="300"/>
      <c r="C75" s="264"/>
      <c r="D75" s="299"/>
    </row>
    <row r="76" spans="1:4" ht="15.75">
      <c r="A76" s="304" t="str">
        <f>'Devel. Bud'!A76</f>
        <v>Developer's Fee</v>
      </c>
      <c r="B76" s="290" t="s">
        <v>206</v>
      </c>
      <c r="C76" s="264">
        <f>'Devel. Bud'!D76</f>
        <v>0</v>
      </c>
      <c r="D76" s="438"/>
    </row>
    <row r="77" spans="1:4">
      <c r="A77" s="300"/>
      <c r="C77" s="264"/>
      <c r="D77" s="299"/>
    </row>
    <row r="78" spans="1:4" ht="15.75">
      <c r="A78" s="307" t="str">
        <f>'Devel. Bud'!A79</f>
        <v>Total Development Cost:</v>
      </c>
      <c r="B78" s="308"/>
      <c r="C78" s="316" t="e">
        <f ca="1">'Devel. Bud'!D79</f>
        <v>#DIV/0!</v>
      </c>
      <c r="D78" s="317">
        <f>D21+D74+D76</f>
        <v>0</v>
      </c>
    </row>
  </sheetData>
  <phoneticPr fontId="34" type="noConversion"/>
  <pageMargins left="0.75" right="0.75" top="1" bottom="1" header="0.5" footer="0.5"/>
  <pageSetup scale="50" firstPageNumber="213" orientation="portrait" useFirstPageNumber="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workbookViewId="0"/>
  </sheetViews>
  <sheetFormatPr defaultColWidth="7.109375" defaultRowHeight="12.75"/>
  <cols>
    <col min="1" max="1" width="3.44140625" style="336" customWidth="1"/>
    <col min="2" max="2" width="32.77734375" style="332" bestFit="1" customWidth="1"/>
    <col min="3" max="3" width="16.6640625" style="339" customWidth="1"/>
    <col min="4" max="16384" width="7.109375" style="332"/>
  </cols>
  <sheetData>
    <row r="1" spans="1:5" s="40" customFormat="1" ht="16.5" customHeight="1">
      <c r="A1" s="1" t="str">
        <f>'Sources and Use'!A1</f>
        <v xml:space="preserve">Project Name: </v>
      </c>
      <c r="C1" s="327" t="str">
        <f>'Sources and Use'!C3</f>
        <v>Units:</v>
      </c>
      <c r="D1" s="1">
        <f>'Units &amp; Income'!C24</f>
        <v>0</v>
      </c>
      <c r="E1" s="24"/>
    </row>
    <row r="2" spans="1:5" s="40" customFormat="1" ht="16.5" customHeight="1">
      <c r="A2" s="1" t="str">
        <f>'Sources and Use'!A2</f>
        <v>Development Team:</v>
      </c>
      <c r="C2" s="327"/>
      <c r="D2" s="1"/>
      <c r="E2" s="24"/>
    </row>
    <row r="3" spans="1:5" s="40" customFormat="1" ht="16.5" customHeight="1">
      <c r="A3" s="1" t="str">
        <f>'Sources and Use'!A3</f>
        <v>Site:</v>
      </c>
      <c r="C3" s="77"/>
      <c r="D3" s="1"/>
      <c r="E3" s="24"/>
    </row>
    <row r="5" spans="1:5" s="334" customFormat="1">
      <c r="A5" s="333" t="s">
        <v>238</v>
      </c>
      <c r="C5" s="335" t="s">
        <v>239</v>
      </c>
    </row>
    <row r="7" spans="1:5" ht="20.25" customHeight="1">
      <c r="A7" s="336">
        <v>1</v>
      </c>
      <c r="B7" s="332" t="s">
        <v>527</v>
      </c>
      <c r="C7" s="337"/>
    </row>
    <row r="8" spans="1:5" ht="20.25" customHeight="1">
      <c r="A8" s="336" t="s">
        <v>528</v>
      </c>
      <c r="B8" s="332" t="s">
        <v>240</v>
      </c>
      <c r="C8" s="337"/>
    </row>
    <row r="9" spans="1:5" ht="20.25" customHeight="1">
      <c r="A9" s="336" t="s">
        <v>529</v>
      </c>
      <c r="B9" s="691" t="s">
        <v>241</v>
      </c>
      <c r="C9" s="337"/>
    </row>
    <row r="10" spans="1:5" ht="20.25" customHeight="1">
      <c r="A10" s="336">
        <v>3</v>
      </c>
      <c r="B10" s="332" t="s">
        <v>243</v>
      </c>
      <c r="C10" s="337"/>
    </row>
    <row r="11" spans="1:5" ht="20.25" customHeight="1">
      <c r="A11" s="336" t="s">
        <v>530</v>
      </c>
      <c r="B11" s="332" t="s">
        <v>245</v>
      </c>
      <c r="C11" s="337"/>
    </row>
    <row r="12" spans="1:5" ht="20.25" customHeight="1">
      <c r="A12" s="336">
        <v>5</v>
      </c>
      <c r="B12" s="332" t="s">
        <v>249</v>
      </c>
      <c r="C12" s="337"/>
    </row>
    <row r="13" spans="1:5" ht="20.25" customHeight="1">
      <c r="A13" s="336" t="s">
        <v>244</v>
      </c>
      <c r="B13" s="332" t="s">
        <v>247</v>
      </c>
      <c r="C13" s="337"/>
    </row>
    <row r="14" spans="1:5" ht="20.25" customHeight="1">
      <c r="A14" s="336" t="s">
        <v>246</v>
      </c>
      <c r="B14" s="332" t="s">
        <v>248</v>
      </c>
      <c r="C14" s="337"/>
    </row>
    <row r="15" spans="1:5" ht="20.25" customHeight="1">
      <c r="A15" s="336" t="s">
        <v>531</v>
      </c>
      <c r="B15" s="332" t="s">
        <v>250</v>
      </c>
      <c r="C15" s="337"/>
    </row>
    <row r="16" spans="1:5" ht="20.25" customHeight="1">
      <c r="A16" s="336" t="s">
        <v>532</v>
      </c>
      <c r="B16" s="332" t="s">
        <v>251</v>
      </c>
      <c r="C16" s="337"/>
    </row>
    <row r="17" spans="1:3" ht="20.25" customHeight="1">
      <c r="A17" s="336" t="s">
        <v>533</v>
      </c>
      <c r="B17" s="332" t="s">
        <v>252</v>
      </c>
      <c r="C17" s="337"/>
    </row>
    <row r="18" spans="1:3" ht="20.25" customHeight="1">
      <c r="A18" s="336" t="s">
        <v>534</v>
      </c>
      <c r="B18" s="332" t="s">
        <v>253</v>
      </c>
      <c r="C18" s="337"/>
    </row>
    <row r="19" spans="1:3" ht="20.25" customHeight="1">
      <c r="A19" s="336" t="s">
        <v>535</v>
      </c>
      <c r="B19" s="332" t="s">
        <v>254</v>
      </c>
      <c r="C19" s="337"/>
    </row>
    <row r="20" spans="1:3" ht="20.25" customHeight="1">
      <c r="A20" s="336" t="s">
        <v>536</v>
      </c>
      <c r="B20" s="332" t="s">
        <v>255</v>
      </c>
      <c r="C20" s="337"/>
    </row>
    <row r="21" spans="1:3" ht="20.25" customHeight="1">
      <c r="A21" s="336" t="s">
        <v>537</v>
      </c>
      <c r="B21" s="332" t="s">
        <v>256</v>
      </c>
      <c r="C21" s="337"/>
    </row>
    <row r="22" spans="1:3" ht="20.25" customHeight="1">
      <c r="A22" s="336" t="s">
        <v>538</v>
      </c>
      <c r="B22" s="332" t="s">
        <v>257</v>
      </c>
      <c r="C22" s="337"/>
    </row>
    <row r="23" spans="1:3" ht="20.25" customHeight="1">
      <c r="A23" s="336" t="s">
        <v>539</v>
      </c>
      <c r="B23" s="332" t="s">
        <v>18</v>
      </c>
      <c r="C23" s="337"/>
    </row>
    <row r="24" spans="1:3" ht="20.25" customHeight="1">
      <c r="A24" s="336" t="s">
        <v>542</v>
      </c>
      <c r="B24" s="332" t="s">
        <v>258</v>
      </c>
      <c r="C24" s="337"/>
    </row>
    <row r="25" spans="1:3" ht="20.25" customHeight="1">
      <c r="A25" s="336" t="s">
        <v>543</v>
      </c>
      <c r="B25" s="332" t="s">
        <v>544</v>
      </c>
      <c r="C25" s="337"/>
    </row>
    <row r="26" spans="1:3" ht="20.25" customHeight="1">
      <c r="A26" s="336" t="s">
        <v>540</v>
      </c>
      <c r="B26" s="332" t="s">
        <v>259</v>
      </c>
      <c r="C26" s="337"/>
    </row>
    <row r="27" spans="1:3" ht="20.25" customHeight="1">
      <c r="A27" s="336" t="s">
        <v>541</v>
      </c>
      <c r="B27" s="332" t="s">
        <v>260</v>
      </c>
      <c r="C27" s="337"/>
    </row>
    <row r="28" spans="1:3" ht="20.25" customHeight="1">
      <c r="A28" s="336">
        <v>16</v>
      </c>
      <c r="B28" s="332" t="s">
        <v>261</v>
      </c>
      <c r="C28" s="337"/>
    </row>
    <row r="29" spans="1:3" ht="20.25" customHeight="1">
      <c r="A29" s="697">
        <v>31</v>
      </c>
      <c r="B29" s="698" t="s">
        <v>242</v>
      </c>
      <c r="C29" s="337"/>
    </row>
    <row r="30" spans="1:3" ht="20.25" customHeight="1">
      <c r="B30" s="332" t="s">
        <v>262</v>
      </c>
      <c r="C30" s="337"/>
    </row>
    <row r="31" spans="1:3" ht="20.25" customHeight="1">
      <c r="B31" s="332" t="s">
        <v>262</v>
      </c>
      <c r="C31" s="337"/>
    </row>
    <row r="32" spans="1:3" ht="20.25" customHeight="1">
      <c r="A32" s="338"/>
      <c r="B32" s="332" t="s">
        <v>262</v>
      </c>
      <c r="C32" s="337"/>
    </row>
    <row r="33" spans="1:3" s="334" customFormat="1" ht="20.25" customHeight="1">
      <c r="A33" s="333"/>
      <c r="B33" s="334" t="s">
        <v>312</v>
      </c>
      <c r="C33" s="337">
        <f>SUM(C7:C32)</f>
        <v>0</v>
      </c>
    </row>
    <row r="34" spans="1:3" ht="20.25" customHeight="1">
      <c r="B34" s="332" t="s">
        <v>91</v>
      </c>
      <c r="C34" s="337"/>
    </row>
    <row r="35" spans="1:3" ht="20.25" customHeight="1">
      <c r="B35" s="332" t="s">
        <v>263</v>
      </c>
      <c r="C35" s="337"/>
    </row>
    <row r="36" spans="1:3" ht="20.25" customHeight="1">
      <c r="A36" s="338"/>
      <c r="B36" s="332" t="s">
        <v>264</v>
      </c>
      <c r="C36" s="337"/>
    </row>
    <row r="37" spans="1:3" s="334" customFormat="1" ht="20.25" customHeight="1">
      <c r="B37" s="334" t="s">
        <v>313</v>
      </c>
      <c r="C37" s="337">
        <f>SUM(C33:C36)</f>
        <v>0</v>
      </c>
    </row>
  </sheetData>
  <phoneticPr fontId="34" type="noConversion"/>
  <printOptions horizontalCentered="1"/>
  <pageMargins left="0.75" right="0.75" top="1" bottom="1" header="0.5" footer="0.5"/>
  <pageSetup scale="94" firstPageNumber="214"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5"/>
  <sheetViews>
    <sheetView workbookViewId="0"/>
  </sheetViews>
  <sheetFormatPr defaultRowHeight="15"/>
  <cols>
    <col min="1" max="1" width="34.109375" customWidth="1"/>
    <col min="3" max="3" width="11.88671875" bestFit="1" customWidth="1"/>
    <col min="5" max="5" width="12.21875" bestFit="1" customWidth="1"/>
    <col min="7" max="7" width="12.21875" bestFit="1" customWidth="1"/>
    <col min="9" max="9" width="11.6640625" bestFit="1" customWidth="1"/>
  </cols>
  <sheetData>
    <row r="1" spans="1:9">
      <c r="A1" s="334" t="str">
        <f>'Sources and Use'!A1</f>
        <v xml:space="preserve">Project Name: </v>
      </c>
      <c r="B1" s="334"/>
      <c r="C1" s="334"/>
      <c r="D1" s="334"/>
      <c r="E1" s="334"/>
      <c r="F1" s="334"/>
      <c r="G1" s="375" t="str">
        <f>'Sources and Use'!C3</f>
        <v>Units:</v>
      </c>
      <c r="H1" s="334"/>
      <c r="I1" s="334">
        <f>'Units &amp; Income'!C24</f>
        <v>0</v>
      </c>
    </row>
    <row r="2" spans="1:9" ht="15.75">
      <c r="A2" s="334" t="str">
        <f>'Sources and Use'!A3</f>
        <v>Site:</v>
      </c>
      <c r="B2" s="374"/>
      <c r="C2" s="334"/>
      <c r="D2" s="334"/>
      <c r="E2" s="334"/>
      <c r="F2" s="334"/>
      <c r="G2" s="334"/>
      <c r="H2" s="334"/>
      <c r="I2" s="334"/>
    </row>
    <row r="3" spans="1:9" ht="33" customHeight="1">
      <c r="A3" s="882" t="s">
        <v>304</v>
      </c>
      <c r="B3" s="882"/>
      <c r="C3" s="883"/>
      <c r="D3" s="883"/>
      <c r="E3" s="883"/>
      <c r="F3" s="883"/>
      <c r="G3" s="883"/>
      <c r="H3" s="883"/>
      <c r="I3" s="883"/>
    </row>
    <row r="4" spans="1:9">
      <c r="A4" s="882" t="s">
        <v>432</v>
      </c>
      <c r="B4" s="882"/>
      <c r="C4" s="883"/>
      <c r="D4" s="883"/>
      <c r="E4" s="883"/>
      <c r="F4" s="883"/>
      <c r="G4" s="883"/>
      <c r="H4" s="883"/>
      <c r="I4" s="883"/>
    </row>
    <row r="5" spans="1:9">
      <c r="A5" s="332"/>
      <c r="B5" s="332"/>
      <c r="C5" s="345" t="s">
        <v>278</v>
      </c>
      <c r="D5" s="345"/>
      <c r="E5" s="345" t="s">
        <v>279</v>
      </c>
      <c r="F5" s="345"/>
      <c r="G5" s="345" t="s">
        <v>280</v>
      </c>
      <c r="H5" s="346"/>
      <c r="I5" s="347" t="s">
        <v>281</v>
      </c>
    </row>
    <row r="6" spans="1:9">
      <c r="A6" s="348" t="s">
        <v>381</v>
      </c>
      <c r="B6" s="349"/>
      <c r="C6" s="350" t="s">
        <v>283</v>
      </c>
      <c r="D6" s="339"/>
      <c r="E6" s="350" t="s">
        <v>283</v>
      </c>
      <c r="F6" s="339"/>
      <c r="G6" s="350" t="s">
        <v>283</v>
      </c>
      <c r="H6" s="339"/>
      <c r="I6" s="351" t="s">
        <v>284</v>
      </c>
    </row>
    <row r="7" spans="1:9">
      <c r="A7" s="333" t="s">
        <v>392</v>
      </c>
    </row>
    <row r="8" spans="1:9">
      <c r="A8" s="450" t="s">
        <v>382</v>
      </c>
    </row>
    <row r="9" spans="1:9">
      <c r="A9" s="450" t="s">
        <v>383</v>
      </c>
    </row>
    <row r="10" spans="1:9">
      <c r="A10" s="450" t="s">
        <v>384</v>
      </c>
    </row>
    <row r="11" spans="1:9">
      <c r="A11" s="450" t="s">
        <v>385</v>
      </c>
    </row>
    <row r="12" spans="1:9">
      <c r="A12" s="450" t="s">
        <v>393</v>
      </c>
    </row>
    <row r="13" spans="1:9">
      <c r="A13" s="450" t="s">
        <v>439</v>
      </c>
    </row>
    <row r="14" spans="1:9">
      <c r="A14" s="450" t="s">
        <v>440</v>
      </c>
    </row>
    <row r="15" spans="1:9">
      <c r="A15" s="450" t="s">
        <v>441</v>
      </c>
    </row>
    <row r="16" spans="1:9">
      <c r="A16" s="450"/>
    </row>
    <row r="17" spans="1:1">
      <c r="A17" s="451" t="s">
        <v>394</v>
      </c>
    </row>
    <row r="18" spans="1:1">
      <c r="A18" s="450" t="s">
        <v>386</v>
      </c>
    </row>
    <row r="19" spans="1:1">
      <c r="A19" s="450" t="s">
        <v>387</v>
      </c>
    </row>
    <row r="20" spans="1:1">
      <c r="A20" s="450" t="s">
        <v>388</v>
      </c>
    </row>
    <row r="21" spans="1:1">
      <c r="A21" s="450" t="s">
        <v>389</v>
      </c>
    </row>
    <row r="22" spans="1:1">
      <c r="A22" s="450" t="s">
        <v>390</v>
      </c>
    </row>
    <row r="23" spans="1:1">
      <c r="A23" s="450" t="s">
        <v>391</v>
      </c>
    </row>
    <row r="24" spans="1:1">
      <c r="A24" s="450" t="s">
        <v>396</v>
      </c>
    </row>
    <row r="25" spans="1:1">
      <c r="A25" s="450" t="s">
        <v>395</v>
      </c>
    </row>
    <row r="26" spans="1:1">
      <c r="A26" s="450" t="s">
        <v>397</v>
      </c>
    </row>
    <row r="27" spans="1:1">
      <c r="A27" s="450" t="s">
        <v>398</v>
      </c>
    </row>
    <row r="28" spans="1:1">
      <c r="A28" s="450"/>
    </row>
    <row r="29" spans="1:1">
      <c r="A29" s="451" t="s">
        <v>405</v>
      </c>
    </row>
    <row r="30" spans="1:1">
      <c r="A30" s="450" t="s">
        <v>406</v>
      </c>
    </row>
    <row r="31" spans="1:1">
      <c r="A31" s="450" t="s">
        <v>413</v>
      </c>
    </row>
    <row r="32" spans="1:1">
      <c r="A32" s="450" t="s">
        <v>414</v>
      </c>
    </row>
    <row r="33" spans="1:1">
      <c r="A33" s="450" t="s">
        <v>415</v>
      </c>
    </row>
    <row r="34" spans="1:1">
      <c r="A34" s="450" t="s">
        <v>416</v>
      </c>
    </row>
    <row r="35" spans="1:1">
      <c r="A35" s="450" t="s">
        <v>417</v>
      </c>
    </row>
    <row r="36" spans="1:1">
      <c r="A36" s="450" t="s">
        <v>418</v>
      </c>
    </row>
    <row r="37" spans="1:1">
      <c r="A37" s="450" t="s">
        <v>419</v>
      </c>
    </row>
    <row r="38" spans="1:1">
      <c r="A38" s="450" t="s">
        <v>419</v>
      </c>
    </row>
    <row r="39" spans="1:1">
      <c r="A39" s="450" t="s">
        <v>420</v>
      </c>
    </row>
    <row r="40" spans="1:1">
      <c r="A40" s="450" t="s">
        <v>430</v>
      </c>
    </row>
    <row r="41" spans="1:1">
      <c r="A41" s="450" t="s">
        <v>424</v>
      </c>
    </row>
    <row r="42" spans="1:1">
      <c r="A42" s="450" t="s">
        <v>423</v>
      </c>
    </row>
    <row r="43" spans="1:1">
      <c r="A43" s="450" t="s">
        <v>422</v>
      </c>
    </row>
    <row r="44" spans="1:1">
      <c r="A44" s="450" t="s">
        <v>421</v>
      </c>
    </row>
    <row r="45" spans="1:1">
      <c r="A45" s="450" t="s">
        <v>425</v>
      </c>
    </row>
    <row r="46" spans="1:1">
      <c r="A46" s="450" t="s">
        <v>426</v>
      </c>
    </row>
    <row r="47" spans="1:1">
      <c r="A47" s="450" t="s">
        <v>427</v>
      </c>
    </row>
    <row r="48" spans="1:1">
      <c r="A48" s="450" t="s">
        <v>428</v>
      </c>
    </row>
    <row r="49" spans="1:1">
      <c r="A49" s="450"/>
    </row>
    <row r="50" spans="1:1">
      <c r="A50" s="451" t="s">
        <v>433</v>
      </c>
    </row>
    <row r="51" spans="1:1">
      <c r="A51" s="450" t="s">
        <v>434</v>
      </c>
    </row>
    <row r="52" spans="1:1">
      <c r="A52" s="450" t="s">
        <v>435</v>
      </c>
    </row>
    <row r="53" spans="1:1">
      <c r="A53" s="450" t="s">
        <v>436</v>
      </c>
    </row>
    <row r="54" spans="1:1">
      <c r="A54" s="450" t="s">
        <v>403</v>
      </c>
    </row>
    <row r="55" spans="1:1">
      <c r="A55" s="450" t="s">
        <v>404</v>
      </c>
    </row>
    <row r="56" spans="1:1">
      <c r="A56" s="450"/>
    </row>
    <row r="57" spans="1:1">
      <c r="A57" s="451" t="s">
        <v>400</v>
      </c>
    </row>
    <row r="58" spans="1:1">
      <c r="A58" s="450" t="s">
        <v>399</v>
      </c>
    </row>
    <row r="59" spans="1:1">
      <c r="A59" s="450" t="s">
        <v>407</v>
      </c>
    </row>
    <row r="60" spans="1:1">
      <c r="A60" s="450" t="s">
        <v>408</v>
      </c>
    </row>
    <row r="61" spans="1:1">
      <c r="A61" s="450" t="s">
        <v>409</v>
      </c>
    </row>
    <row r="62" spans="1:1">
      <c r="A62" s="450" t="s">
        <v>410</v>
      </c>
    </row>
    <row r="63" spans="1:1">
      <c r="A63" s="450" t="s">
        <v>411</v>
      </c>
    </row>
    <row r="64" spans="1:1">
      <c r="A64" s="450" t="s">
        <v>438</v>
      </c>
    </row>
    <row r="65" spans="1:1">
      <c r="A65" s="450" t="s">
        <v>412</v>
      </c>
    </row>
    <row r="66" spans="1:1">
      <c r="A66" s="450"/>
    </row>
    <row r="67" spans="1:1">
      <c r="A67" s="451" t="s">
        <v>429</v>
      </c>
    </row>
    <row r="68" spans="1:1">
      <c r="A68" s="450"/>
    </row>
    <row r="69" spans="1:1">
      <c r="A69" s="450"/>
    </row>
    <row r="70" spans="1:1">
      <c r="A70" s="450"/>
    </row>
    <row r="71" spans="1:1">
      <c r="A71" s="450"/>
    </row>
    <row r="72" spans="1:1">
      <c r="A72" s="450"/>
    </row>
    <row r="73" spans="1:1">
      <c r="A73" s="450"/>
    </row>
    <row r="74" spans="1:1">
      <c r="A74" s="450"/>
    </row>
    <row r="75" spans="1:1">
      <c r="A75" s="450"/>
    </row>
    <row r="76" spans="1:1">
      <c r="A76" s="450"/>
    </row>
    <row r="77" spans="1:1">
      <c r="A77" s="450"/>
    </row>
    <row r="78" spans="1:1">
      <c r="A78" s="450"/>
    </row>
    <row r="79" spans="1:1">
      <c r="A79" s="450"/>
    </row>
    <row r="80" spans="1:1">
      <c r="A80" s="450"/>
    </row>
    <row r="81" spans="1:1">
      <c r="A81" s="450"/>
    </row>
    <row r="82" spans="1:1">
      <c r="A82" s="450"/>
    </row>
    <row r="83" spans="1:1">
      <c r="A83" s="450"/>
    </row>
    <row r="84" spans="1:1">
      <c r="A84" s="450"/>
    </row>
    <row r="85" spans="1:1">
      <c r="A85" s="450"/>
    </row>
    <row r="86" spans="1:1">
      <c r="A86" s="450"/>
    </row>
    <row r="87" spans="1:1">
      <c r="A87" s="450"/>
    </row>
    <row r="88" spans="1:1">
      <c r="A88" s="450"/>
    </row>
    <row r="89" spans="1:1">
      <c r="A89" s="450"/>
    </row>
    <row r="90" spans="1:1">
      <c r="A90" s="450"/>
    </row>
    <row r="91" spans="1:1">
      <c r="A91" s="450"/>
    </row>
    <row r="92" spans="1:1">
      <c r="A92" s="450"/>
    </row>
    <row r="93" spans="1:1">
      <c r="A93" s="450"/>
    </row>
    <row r="94" spans="1:1">
      <c r="A94" s="450"/>
    </row>
    <row r="95" spans="1:1">
      <c r="A95" s="450"/>
    </row>
    <row r="96" spans="1:1">
      <c r="A96" s="450"/>
    </row>
    <row r="97" spans="1:1">
      <c r="A97" s="450"/>
    </row>
    <row r="98" spans="1:1">
      <c r="A98" s="450"/>
    </row>
    <row r="99" spans="1:1">
      <c r="A99" s="450"/>
    </row>
    <row r="100" spans="1:1">
      <c r="A100" s="450"/>
    </row>
    <row r="101" spans="1:1">
      <c r="A101" s="450"/>
    </row>
    <row r="102" spans="1:1">
      <c r="A102" s="450"/>
    </row>
    <row r="103" spans="1:1">
      <c r="A103" s="450"/>
    </row>
    <row r="104" spans="1:1">
      <c r="A104" s="450"/>
    </row>
    <row r="105" spans="1:1">
      <c r="A105" s="450"/>
    </row>
    <row r="106" spans="1:1">
      <c r="A106" s="450"/>
    </row>
    <row r="107" spans="1:1">
      <c r="A107" s="450"/>
    </row>
    <row r="108" spans="1:1">
      <c r="A108" s="450"/>
    </row>
    <row r="109" spans="1:1">
      <c r="A109" s="450"/>
    </row>
    <row r="110" spans="1:1">
      <c r="A110" s="450"/>
    </row>
    <row r="111" spans="1:1">
      <c r="A111" s="450"/>
    </row>
    <row r="112" spans="1:1">
      <c r="A112" s="450"/>
    </row>
    <row r="113" spans="1:1">
      <c r="A113" s="450"/>
    </row>
    <row r="114" spans="1:1">
      <c r="A114" s="450"/>
    </row>
    <row r="115" spans="1:1">
      <c r="A115" s="450"/>
    </row>
    <row r="116" spans="1:1">
      <c r="A116" s="450"/>
    </row>
    <row r="117" spans="1:1">
      <c r="A117" s="450"/>
    </row>
    <row r="118" spans="1:1">
      <c r="A118" s="450"/>
    </row>
    <row r="119" spans="1:1">
      <c r="A119" s="450"/>
    </row>
    <row r="120" spans="1:1">
      <c r="A120" s="450"/>
    </row>
    <row r="121" spans="1:1">
      <c r="A121" s="450"/>
    </row>
    <row r="122" spans="1:1">
      <c r="A122" s="450"/>
    </row>
    <row r="123" spans="1:1">
      <c r="A123" s="450"/>
    </row>
    <row r="124" spans="1:1">
      <c r="A124" s="450"/>
    </row>
    <row r="125" spans="1:1">
      <c r="A125" s="450"/>
    </row>
  </sheetData>
  <mergeCells count="2">
    <mergeCell ref="A3:I3"/>
    <mergeCell ref="A4:I4"/>
  </mergeCells>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workbookViewId="0"/>
  </sheetViews>
  <sheetFormatPr defaultColWidth="7.109375" defaultRowHeight="12.75"/>
  <cols>
    <col min="1" max="1" width="14.21875" style="332" customWidth="1"/>
    <col min="2" max="4" width="7.109375" style="332" customWidth="1"/>
    <col min="5" max="5" width="15.6640625" style="332" customWidth="1"/>
    <col min="6" max="6" width="7.109375" style="332"/>
    <col min="7" max="7" width="10.77734375" style="332" customWidth="1"/>
    <col min="8" max="16384" width="7.109375" style="332"/>
  </cols>
  <sheetData>
    <row r="1" spans="1:7" s="377" customFormat="1" ht="15.75">
      <c r="A1" s="377" t="str">
        <f>'Sources and Use'!A1</f>
        <v xml:space="preserve">Project Name: </v>
      </c>
      <c r="F1" s="377" t="str">
        <f>'Sources and Use'!C3</f>
        <v>Units:</v>
      </c>
      <c r="G1" s="377">
        <f>'Units &amp; Income'!C24</f>
        <v>0</v>
      </c>
    </row>
    <row r="2" spans="1:7" s="377" customFormat="1" ht="15.75">
      <c r="A2" s="377" t="str">
        <f>'Sources and Use'!A2</f>
        <v>Development Team:</v>
      </c>
    </row>
    <row r="3" spans="1:7" s="378" customFormat="1" ht="20.25" customHeight="1">
      <c r="A3" s="377" t="str">
        <f>'Sources and Use'!A3</f>
        <v>Site:</v>
      </c>
      <c r="B3" s="377"/>
      <c r="C3" s="377"/>
      <c r="D3" s="377"/>
      <c r="E3" s="377"/>
      <c r="F3" s="377"/>
      <c r="G3" s="377"/>
    </row>
    <row r="4" spans="1:7" ht="11.25" customHeight="1">
      <c r="A4" s="340"/>
    </row>
    <row r="5" spans="1:7">
      <c r="A5" s="334" t="s">
        <v>265</v>
      </c>
    </row>
    <row r="7" spans="1:7">
      <c r="A7" s="332" t="s">
        <v>266</v>
      </c>
    </row>
    <row r="9" spans="1:7" ht="20.25" customHeight="1">
      <c r="A9" s="452" t="s">
        <v>401</v>
      </c>
      <c r="E9" s="453"/>
    </row>
    <row r="10" spans="1:7" ht="20.25" customHeight="1">
      <c r="A10" s="452" t="s">
        <v>402</v>
      </c>
      <c r="E10" s="454"/>
    </row>
    <row r="11" spans="1:7" ht="20.25" customHeight="1">
      <c r="A11" s="452" t="s">
        <v>431</v>
      </c>
      <c r="E11" s="454"/>
    </row>
    <row r="12" spans="1:7" ht="20.25" customHeight="1"/>
    <row r="13" spans="1:7" ht="18" customHeight="1">
      <c r="A13" s="332" t="s">
        <v>267</v>
      </c>
      <c r="E13" s="341">
        <f>'Units &amp; Income'!C6</f>
        <v>0</v>
      </c>
    </row>
    <row r="14" spans="1:7" ht="18" customHeight="1">
      <c r="A14" s="332" t="s">
        <v>268</v>
      </c>
      <c r="E14" s="341"/>
    </row>
    <row r="15" spans="1:7" ht="18" customHeight="1">
      <c r="A15" s="332" t="s">
        <v>269</v>
      </c>
      <c r="E15" s="341"/>
    </row>
    <row r="16" spans="1:7" ht="18" customHeight="1">
      <c r="A16" s="332" t="s">
        <v>270</v>
      </c>
      <c r="E16" s="341"/>
    </row>
    <row r="17" spans="1:5" ht="18" customHeight="1">
      <c r="A17" s="332" t="s">
        <v>271</v>
      </c>
      <c r="E17" s="341"/>
    </row>
    <row r="18" spans="1:5" ht="18" customHeight="1">
      <c r="A18" s="332" t="s">
        <v>272</v>
      </c>
      <c r="E18" s="341"/>
    </row>
    <row r="19" spans="1:5" ht="18" customHeight="1">
      <c r="A19" s="332" t="s">
        <v>273</v>
      </c>
      <c r="E19" s="341">
        <f>'Units &amp; Income'!C8</f>
        <v>0</v>
      </c>
    </row>
    <row r="20" spans="1:5" ht="18" customHeight="1">
      <c r="A20" s="332" t="s">
        <v>274</v>
      </c>
      <c r="E20" s="341">
        <f>'Units &amp; Income'!C9</f>
        <v>0</v>
      </c>
    </row>
    <row r="21" spans="1:5" ht="18" customHeight="1">
      <c r="A21" s="332" t="s">
        <v>275</v>
      </c>
      <c r="E21" s="341"/>
    </row>
    <row r="22" spans="1:5" ht="18" customHeight="1">
      <c r="A22" s="332" t="s">
        <v>276</v>
      </c>
      <c r="E22" s="341"/>
    </row>
    <row r="23" spans="1:5" ht="18" customHeight="1">
      <c r="A23" s="334" t="s">
        <v>277</v>
      </c>
      <c r="E23" s="342">
        <f>SUM(E13:E22)</f>
        <v>0</v>
      </c>
    </row>
  </sheetData>
  <phoneticPr fontId="34" type="noConversion"/>
  <printOptions horizontalCentered="1"/>
  <pageMargins left="0.75" right="0.75" top="1" bottom="1" header="0.5" footer="0.5"/>
  <pageSetup firstPageNumber="215"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560F9-E397-49DA-8C11-13B008B3B0F2}">
  <sheetPr>
    <pageSetUpPr fitToPage="1"/>
  </sheetPr>
  <dimension ref="A1:Z114"/>
  <sheetViews>
    <sheetView workbookViewId="0"/>
  </sheetViews>
  <sheetFormatPr defaultColWidth="8.6640625" defaultRowHeight="15"/>
  <cols>
    <col min="1" max="4" width="10.5546875" style="699" customWidth="1"/>
    <col min="5" max="5" width="12.33203125" style="700" customWidth="1"/>
    <col min="6" max="7" width="10.5546875" style="700" customWidth="1"/>
    <col min="8" max="9" width="10.5546875" style="699" customWidth="1"/>
    <col min="10" max="10" width="1.109375" style="699" customWidth="1"/>
    <col min="11" max="12" width="10.5546875" style="699" customWidth="1"/>
    <col min="13" max="13" width="16.21875" style="699" customWidth="1"/>
    <col min="14" max="15" width="10.33203125" style="699" customWidth="1"/>
    <col min="16" max="16" width="3.33203125" style="699" customWidth="1"/>
    <col min="17" max="16384" width="8.6640625" style="699"/>
  </cols>
  <sheetData>
    <row r="1" spans="1:13" ht="15.75">
      <c r="A1" s="610" t="s">
        <v>546</v>
      </c>
      <c r="F1" s="701"/>
      <c r="G1" s="701"/>
    </row>
    <row r="2" spans="1:13" ht="15.75">
      <c r="A2" s="610"/>
      <c r="F2" s="701"/>
      <c r="G2" s="699"/>
    </row>
    <row r="3" spans="1:13">
      <c r="A3" s="702"/>
      <c r="B3" s="702"/>
      <c r="C3" s="702"/>
      <c r="D3" s="702"/>
      <c r="E3" s="895" t="s">
        <v>467</v>
      </c>
      <c r="F3" s="895" t="s">
        <v>468</v>
      </c>
      <c r="G3" s="895" t="s">
        <v>318</v>
      </c>
      <c r="H3" s="895" t="s">
        <v>469</v>
      </c>
      <c r="I3" s="702"/>
      <c r="J3" s="702"/>
      <c r="K3" s="702"/>
      <c r="L3" s="702"/>
      <c r="M3" s="702"/>
    </row>
    <row r="4" spans="1:13" ht="31.5" customHeight="1">
      <c r="E4" s="896"/>
      <c r="F4" s="896"/>
      <c r="G4" s="896"/>
      <c r="H4" s="896"/>
    </row>
    <row r="5" spans="1:13" ht="15.75">
      <c r="A5" s="703">
        <v>162000</v>
      </c>
      <c r="B5" s="701" t="s">
        <v>470</v>
      </c>
      <c r="D5" s="612" t="s">
        <v>320</v>
      </c>
      <c r="E5" s="704">
        <v>111</v>
      </c>
      <c r="F5" s="704">
        <v>96</v>
      </c>
      <c r="G5" s="704">
        <v>26</v>
      </c>
      <c r="H5" s="705">
        <f>F5+G5</f>
        <v>122</v>
      </c>
      <c r="I5" s="706"/>
      <c r="K5" s="707"/>
    </row>
    <row r="6" spans="1:13" ht="15.75">
      <c r="A6" s="703">
        <v>2780</v>
      </c>
      <c r="B6" s="708" t="s">
        <v>317</v>
      </c>
      <c r="D6" s="612" t="s">
        <v>322</v>
      </c>
      <c r="E6" s="704">
        <v>127</v>
      </c>
      <c r="F6" s="704">
        <v>109</v>
      </c>
      <c r="G6" s="704">
        <v>29</v>
      </c>
      <c r="H6" s="705">
        <f t="shared" ref="H6:H10" si="0">F6+G6</f>
        <v>138</v>
      </c>
      <c r="I6" s="706"/>
      <c r="K6" s="707"/>
    </row>
    <row r="7" spans="1:13" ht="15.75">
      <c r="A7" s="709">
        <v>0.3</v>
      </c>
      <c r="B7" s="699" t="s">
        <v>471</v>
      </c>
      <c r="D7" s="612" t="s">
        <v>324</v>
      </c>
      <c r="E7" s="704">
        <v>170</v>
      </c>
      <c r="F7" s="704">
        <v>144</v>
      </c>
      <c r="G7" s="704">
        <v>33</v>
      </c>
      <c r="H7" s="705">
        <f t="shared" si="0"/>
        <v>177</v>
      </c>
      <c r="I7" s="706"/>
      <c r="K7" s="707"/>
    </row>
    <row r="8" spans="1:13" ht="15.75">
      <c r="D8" s="612" t="s">
        <v>326</v>
      </c>
      <c r="E8" s="704">
        <v>212</v>
      </c>
      <c r="F8" s="704">
        <v>178</v>
      </c>
      <c r="G8" s="704">
        <v>37</v>
      </c>
      <c r="H8" s="705">
        <f t="shared" si="0"/>
        <v>215</v>
      </c>
      <c r="I8" s="706"/>
      <c r="K8" s="707"/>
    </row>
    <row r="9" spans="1:13" ht="15.75">
      <c r="D9" s="612" t="s">
        <v>472</v>
      </c>
      <c r="E9" s="704">
        <v>255</v>
      </c>
      <c r="F9" s="704">
        <v>213</v>
      </c>
      <c r="G9" s="704">
        <v>41</v>
      </c>
      <c r="H9" s="705">
        <f t="shared" si="0"/>
        <v>254</v>
      </c>
      <c r="I9" s="706"/>
      <c r="K9" s="707"/>
    </row>
    <row r="10" spans="1:13" ht="15.75">
      <c r="D10" s="612" t="s">
        <v>473</v>
      </c>
      <c r="E10" s="704">
        <v>298</v>
      </c>
      <c r="F10" s="704">
        <v>248</v>
      </c>
      <c r="G10" s="704">
        <v>45</v>
      </c>
      <c r="H10" s="705">
        <f t="shared" si="0"/>
        <v>293</v>
      </c>
      <c r="I10" s="706"/>
      <c r="K10" s="707"/>
    </row>
    <row r="11" spans="1:13" ht="14.25" customHeight="1">
      <c r="E11" s="699"/>
      <c r="F11" s="699"/>
      <c r="G11" s="699"/>
    </row>
    <row r="12" spans="1:13" ht="23.25" customHeight="1">
      <c r="D12" s="612" t="s">
        <v>474</v>
      </c>
      <c r="E12" s="710">
        <v>45658</v>
      </c>
      <c r="F12" s="701" t="s">
        <v>475</v>
      </c>
    </row>
    <row r="13" spans="1:13" ht="15.75">
      <c r="A13" s="897" t="s">
        <v>476</v>
      </c>
      <c r="B13" s="897"/>
      <c r="C13" s="897"/>
      <c r="E13" s="699"/>
      <c r="F13" s="699"/>
      <c r="G13" s="699"/>
    </row>
    <row r="14" spans="1:13" ht="15.75">
      <c r="A14" s="894" t="s">
        <v>477</v>
      </c>
      <c r="B14" s="894"/>
      <c r="C14" s="894"/>
      <c r="E14" s="699"/>
      <c r="F14" s="699"/>
      <c r="G14" s="699"/>
    </row>
    <row r="15" spans="1:13" ht="15.75">
      <c r="A15" s="711" t="s">
        <v>478</v>
      </c>
      <c r="E15" s="699"/>
      <c r="F15" s="699"/>
      <c r="G15" s="699"/>
    </row>
    <row r="16" spans="1:13" ht="15.75">
      <c r="A16" s="610"/>
      <c r="F16" s="701"/>
      <c r="M16" s="712"/>
    </row>
    <row r="17" spans="1:26" ht="15.75">
      <c r="A17" s="709">
        <v>0.27</v>
      </c>
      <c r="B17" s="713" t="s">
        <v>479</v>
      </c>
      <c r="C17" s="705">
        <f>IF($A$17=50%,CEILING(MROUND(MROUND($A$5*50%,50)*$A$17/50%,50)*L23,50),CEILING(MROUND($A$5*50%,50)*L23,50)*$A$17/50%)*0+M23</f>
        <v>43740</v>
      </c>
      <c r="D17" s="714" t="s">
        <v>470</v>
      </c>
      <c r="E17" s="702"/>
      <c r="F17" s="702"/>
      <c r="G17" s="702"/>
      <c r="H17" s="702"/>
      <c r="I17" s="702"/>
      <c r="J17" s="702"/>
      <c r="K17" s="702"/>
      <c r="L17" s="702"/>
    </row>
    <row r="18" spans="1:26">
      <c r="E18" s="715" t="s">
        <v>480</v>
      </c>
      <c r="F18" s="715" t="s">
        <v>480</v>
      </c>
      <c r="G18" s="715" t="s">
        <v>480</v>
      </c>
      <c r="H18" s="715" t="s">
        <v>480</v>
      </c>
      <c r="I18" s="715" t="s">
        <v>480</v>
      </c>
      <c r="K18" s="716"/>
      <c r="L18" s="717"/>
      <c r="M18" s="718" t="s">
        <v>147</v>
      </c>
    </row>
    <row r="19" spans="1:26" ht="15.75">
      <c r="A19" s="719"/>
      <c r="B19" s="720"/>
      <c r="C19" s="720"/>
      <c r="D19" s="720"/>
      <c r="E19" s="884" t="s">
        <v>455</v>
      </c>
      <c r="F19" s="887" t="s">
        <v>481</v>
      </c>
      <c r="G19" s="887" t="s">
        <v>467</v>
      </c>
      <c r="H19" s="888" t="s">
        <v>482</v>
      </c>
      <c r="I19" s="891" t="s">
        <v>483</v>
      </c>
      <c r="J19" s="700"/>
      <c r="K19" s="721" t="s">
        <v>484</v>
      </c>
      <c r="L19" s="722" t="s">
        <v>485</v>
      </c>
      <c r="M19" s="723" t="s">
        <v>486</v>
      </c>
    </row>
    <row r="20" spans="1:26" ht="15.75">
      <c r="A20" s="724"/>
      <c r="B20" s="725"/>
      <c r="C20" s="725"/>
      <c r="D20" s="726" t="s">
        <v>147</v>
      </c>
      <c r="E20" s="885"/>
      <c r="F20" s="887"/>
      <c r="G20" s="887"/>
      <c r="H20" s="889"/>
      <c r="I20" s="892"/>
      <c r="J20" s="727"/>
      <c r="K20" s="613">
        <f t="shared" ref="K20:K25" si="1">K21-1</f>
        <v>1</v>
      </c>
      <c r="L20" s="614">
        <v>0.7</v>
      </c>
      <c r="M20" s="705">
        <v>30618.000000000004</v>
      </c>
      <c r="N20" s="728"/>
      <c r="O20" s="707"/>
    </row>
    <row r="21" spans="1:26" ht="30.95" customHeight="1">
      <c r="A21" s="729"/>
      <c r="B21" s="615" t="s">
        <v>327</v>
      </c>
      <c r="C21" s="616" t="s">
        <v>328</v>
      </c>
      <c r="D21" s="730" t="s">
        <v>486</v>
      </c>
      <c r="E21" s="886"/>
      <c r="F21" s="887"/>
      <c r="G21" s="887"/>
      <c r="H21" s="890"/>
      <c r="I21" s="893"/>
      <c r="J21" s="617"/>
      <c r="K21" s="613">
        <f t="shared" si="1"/>
        <v>2</v>
      </c>
      <c r="L21" s="614">
        <f>L20+0.1</f>
        <v>0.79999999999999993</v>
      </c>
      <c r="M21" s="705">
        <v>34992</v>
      </c>
      <c r="N21" s="728"/>
      <c r="O21" s="707"/>
    </row>
    <row r="22" spans="1:26" ht="15.75">
      <c r="A22" s="613" t="s">
        <v>320</v>
      </c>
      <c r="B22" s="618">
        <v>1</v>
      </c>
      <c r="C22" s="619">
        <f>IF(AND(A17&lt;=60%,$A$14="New Construction/Special Needs"),0.6,(IF(AND(A17&lt;&gt;60%,$A$14="Preservation/Rehab"),0.7,(IF(AND(A17=60%,$A$14="Preservation/Rehab"),0.7,0.6)))))</f>
        <v>0.6</v>
      </c>
      <c r="D22" s="731">
        <f>IF($A$14="Preservation/Rehab",M20,CEILING(MROUND($A$5*50%,50)*C22,50)*$A$17/50%)</f>
        <v>26244</v>
      </c>
      <c r="E22" s="705">
        <f>ROUNDDOWN(D22*$A$7/12,0)</f>
        <v>656</v>
      </c>
      <c r="F22" s="732">
        <f>E22-VLOOKUP(A22,$D$5:$H$10,3,FALSE)</f>
        <v>560</v>
      </c>
      <c r="G22" s="733">
        <f>E22-VLOOKUP(A22,$D$5:$G$10,2,FALSE)</f>
        <v>545</v>
      </c>
      <c r="H22" s="705">
        <f>E22-VLOOKUP(A22,$D$5:$H$10,4,FALSE)</f>
        <v>630</v>
      </c>
      <c r="I22" s="705">
        <f>E22-VLOOKUP(A22,$D$5:$H$10,5,FALSE)</f>
        <v>534</v>
      </c>
      <c r="J22" s="734"/>
      <c r="K22" s="613">
        <f t="shared" si="1"/>
        <v>3</v>
      </c>
      <c r="L22" s="614">
        <f>L21+0.1</f>
        <v>0.89999999999999991</v>
      </c>
      <c r="M22" s="705">
        <v>39366</v>
      </c>
      <c r="N22" s="728"/>
      <c r="O22" s="707"/>
    </row>
    <row r="23" spans="1:26" ht="15.75">
      <c r="A23" s="613" t="s">
        <v>322</v>
      </c>
      <c r="B23" s="618">
        <v>1.5</v>
      </c>
      <c r="C23" s="619">
        <v>0.75</v>
      </c>
      <c r="D23" s="731">
        <f>AVERAGE(M20:M21)</f>
        <v>32805</v>
      </c>
      <c r="E23" s="705">
        <f t="shared" ref="E23:E27" si="2">ROUNDDOWN(D23*$A$7/12,0)</f>
        <v>820</v>
      </c>
      <c r="F23" s="732">
        <f t="shared" ref="F23:F27" si="3">E23-VLOOKUP(A23,$D$5:$H$10,3,FALSE)</f>
        <v>711</v>
      </c>
      <c r="G23" s="733">
        <f t="shared" ref="G23:G27" si="4">E23-VLOOKUP(A23,$D$5:$G$10,2,FALSE)</f>
        <v>693</v>
      </c>
      <c r="H23" s="705">
        <f t="shared" ref="H23:H27" si="5">E23-VLOOKUP(A23,$D$5:$H$10,4,FALSE)</f>
        <v>791</v>
      </c>
      <c r="I23" s="705">
        <f t="shared" ref="I23:I27" si="6">E23-VLOOKUP(A23,$D$5:$H$10,5,FALSE)</f>
        <v>682</v>
      </c>
      <c r="J23" s="734"/>
      <c r="K23" s="613">
        <f t="shared" si="1"/>
        <v>4</v>
      </c>
      <c r="L23" s="614">
        <f>L22+0.1</f>
        <v>0.99999999999999989</v>
      </c>
      <c r="M23" s="705">
        <v>43740</v>
      </c>
      <c r="N23" s="728"/>
      <c r="O23" s="707"/>
      <c r="R23" s="735"/>
      <c r="S23" s="735"/>
      <c r="T23" s="735"/>
      <c r="U23" s="735"/>
      <c r="V23" s="735"/>
      <c r="W23" s="735"/>
      <c r="X23" s="735"/>
      <c r="Y23" s="735"/>
      <c r="Z23" s="735"/>
    </row>
    <row r="24" spans="1:26" ht="15.75">
      <c r="A24" s="613" t="s">
        <v>324</v>
      </c>
      <c r="B24" s="618">
        <v>3</v>
      </c>
      <c r="C24" s="619">
        <v>0.9</v>
      </c>
      <c r="D24" s="731">
        <f>M22</f>
        <v>39366</v>
      </c>
      <c r="E24" s="705">
        <f t="shared" si="2"/>
        <v>984</v>
      </c>
      <c r="F24" s="732">
        <f t="shared" si="3"/>
        <v>840</v>
      </c>
      <c r="G24" s="733">
        <f t="shared" si="4"/>
        <v>814</v>
      </c>
      <c r="H24" s="705">
        <f t="shared" si="5"/>
        <v>951</v>
      </c>
      <c r="I24" s="705">
        <f t="shared" si="6"/>
        <v>807</v>
      </c>
      <c r="J24" s="734"/>
      <c r="K24" s="613">
        <f t="shared" si="1"/>
        <v>5</v>
      </c>
      <c r="L24" s="614">
        <f>L23+0.08</f>
        <v>1.0799999999999998</v>
      </c>
      <c r="M24" s="705">
        <v>47250</v>
      </c>
      <c r="N24" s="728"/>
      <c r="O24" s="707"/>
      <c r="R24" s="735"/>
      <c r="S24" s="735"/>
      <c r="T24" s="735"/>
      <c r="U24" s="735"/>
      <c r="V24" s="735"/>
      <c r="W24" s="735"/>
      <c r="X24" s="735"/>
      <c r="Y24" s="735"/>
      <c r="Z24" s="735"/>
    </row>
    <row r="25" spans="1:26" ht="15.75">
      <c r="A25" s="613" t="s">
        <v>326</v>
      </c>
      <c r="B25" s="618">
        <v>4.5</v>
      </c>
      <c r="C25" s="619">
        <v>1.04</v>
      </c>
      <c r="D25" s="731">
        <f>AVERAGE(M23:M24)</f>
        <v>45495</v>
      </c>
      <c r="E25" s="705">
        <f t="shared" si="2"/>
        <v>1137</v>
      </c>
      <c r="F25" s="732">
        <f t="shared" si="3"/>
        <v>959</v>
      </c>
      <c r="G25" s="733">
        <f t="shared" si="4"/>
        <v>925</v>
      </c>
      <c r="H25" s="705">
        <f t="shared" si="5"/>
        <v>1100</v>
      </c>
      <c r="I25" s="705">
        <f t="shared" si="6"/>
        <v>922</v>
      </c>
      <c r="J25" s="734"/>
      <c r="K25" s="613">
        <f t="shared" si="1"/>
        <v>6</v>
      </c>
      <c r="L25" s="614">
        <f>L24+0.08</f>
        <v>1.1599999999999999</v>
      </c>
      <c r="M25" s="705">
        <v>50760</v>
      </c>
      <c r="N25" s="728"/>
      <c r="O25" s="707"/>
      <c r="R25" s="735"/>
      <c r="S25" s="735"/>
      <c r="T25" s="735"/>
      <c r="U25" s="735"/>
      <c r="V25" s="735"/>
      <c r="W25" s="735"/>
      <c r="X25" s="735"/>
      <c r="Y25" s="735"/>
      <c r="Z25" s="735"/>
    </row>
    <row r="26" spans="1:26" ht="15.75">
      <c r="A26" s="613" t="s">
        <v>472</v>
      </c>
      <c r="B26" s="618">
        <v>6</v>
      </c>
      <c r="C26" s="619">
        <v>1.1599999999999999</v>
      </c>
      <c r="D26" s="731">
        <f>M25</f>
        <v>50760</v>
      </c>
      <c r="E26" s="705">
        <f t="shared" si="2"/>
        <v>1269</v>
      </c>
      <c r="F26" s="732">
        <f t="shared" si="3"/>
        <v>1056</v>
      </c>
      <c r="G26" s="733">
        <f t="shared" si="4"/>
        <v>1014</v>
      </c>
      <c r="H26" s="705">
        <f t="shared" si="5"/>
        <v>1228</v>
      </c>
      <c r="I26" s="705">
        <f t="shared" si="6"/>
        <v>1015</v>
      </c>
      <c r="J26" s="734"/>
      <c r="K26" s="613">
        <f>K27-1</f>
        <v>7</v>
      </c>
      <c r="L26" s="614">
        <f>L25+0.08</f>
        <v>1.24</v>
      </c>
      <c r="M26" s="705">
        <v>54243</v>
      </c>
      <c r="N26" s="728"/>
      <c r="O26" s="707"/>
      <c r="R26" s="735"/>
      <c r="S26" s="735"/>
      <c r="T26" s="735"/>
      <c r="U26" s="735"/>
    </row>
    <row r="27" spans="1:26" ht="15.75">
      <c r="A27" s="613" t="s">
        <v>473</v>
      </c>
      <c r="B27" s="618">
        <v>7.5</v>
      </c>
      <c r="C27" s="619">
        <f>1.28</f>
        <v>1.28</v>
      </c>
      <c r="D27" s="731">
        <f>AVERAGE(M26:M27)</f>
        <v>55998</v>
      </c>
      <c r="E27" s="705">
        <f t="shared" si="2"/>
        <v>1399</v>
      </c>
      <c r="F27" s="732">
        <f t="shared" si="3"/>
        <v>1151</v>
      </c>
      <c r="G27" s="733">
        <f t="shared" si="4"/>
        <v>1101</v>
      </c>
      <c r="H27" s="705">
        <f t="shared" si="5"/>
        <v>1354</v>
      </c>
      <c r="I27" s="705">
        <f t="shared" si="6"/>
        <v>1106</v>
      </c>
      <c r="J27" s="734"/>
      <c r="K27" s="613">
        <v>8</v>
      </c>
      <c r="L27" s="614">
        <f>L26+0.08</f>
        <v>1.32</v>
      </c>
      <c r="M27" s="705">
        <v>57753.000000000007</v>
      </c>
      <c r="N27" s="728"/>
      <c r="O27" s="707"/>
      <c r="R27" s="735"/>
      <c r="S27" s="735"/>
      <c r="T27" s="735"/>
      <c r="U27" s="735"/>
    </row>
    <row r="28" spans="1:26" ht="15.75">
      <c r="A28" s="610"/>
      <c r="F28" s="701"/>
    </row>
    <row r="29" spans="1:26" ht="15.75">
      <c r="A29" s="709">
        <v>0.37</v>
      </c>
      <c r="B29" s="713" t="s">
        <v>479</v>
      </c>
      <c r="C29" s="705">
        <f>IF($A$29=50%,CEILING(MROUND(MROUND($A$5*50%,50)*$A$29/50%,50)*L35,50),CEILING(MROUND($A$5*50%,50)*L35,50)*$A$29/50%)*0+M35</f>
        <v>59940</v>
      </c>
      <c r="D29" s="714" t="s">
        <v>470</v>
      </c>
      <c r="E29" s="702"/>
      <c r="F29" s="702"/>
      <c r="G29" s="702"/>
      <c r="H29" s="702"/>
      <c r="I29" s="702"/>
      <c r="J29" s="702"/>
      <c r="K29" s="702"/>
      <c r="L29" s="702"/>
    </row>
    <row r="30" spans="1:26">
      <c r="E30" s="715" t="s">
        <v>480</v>
      </c>
      <c r="F30" s="715" t="s">
        <v>480</v>
      </c>
      <c r="G30" s="715" t="s">
        <v>480</v>
      </c>
      <c r="H30" s="715" t="s">
        <v>480</v>
      </c>
      <c r="I30" s="715" t="s">
        <v>480</v>
      </c>
      <c r="K30" s="716"/>
      <c r="L30" s="717"/>
      <c r="M30" s="718" t="s">
        <v>147</v>
      </c>
    </row>
    <row r="31" spans="1:26" ht="15.75" customHeight="1">
      <c r="A31" s="719"/>
      <c r="B31" s="720"/>
      <c r="C31" s="720"/>
      <c r="D31" s="720"/>
      <c r="E31" s="884" t="s">
        <v>455</v>
      </c>
      <c r="F31" s="887" t="s">
        <v>481</v>
      </c>
      <c r="G31" s="887" t="s">
        <v>467</v>
      </c>
      <c r="H31" s="888" t="s">
        <v>482</v>
      </c>
      <c r="I31" s="891" t="s">
        <v>483</v>
      </c>
      <c r="J31" s="700"/>
      <c r="K31" s="721" t="s">
        <v>484</v>
      </c>
      <c r="L31" s="722" t="s">
        <v>485</v>
      </c>
      <c r="M31" s="723" t="s">
        <v>486</v>
      </c>
    </row>
    <row r="32" spans="1:26" ht="15.75">
      <c r="A32" s="724"/>
      <c r="B32" s="725"/>
      <c r="C32" s="725"/>
      <c r="D32" s="726" t="s">
        <v>147</v>
      </c>
      <c r="E32" s="885"/>
      <c r="F32" s="887"/>
      <c r="G32" s="887"/>
      <c r="H32" s="889"/>
      <c r="I32" s="892"/>
      <c r="J32" s="727"/>
      <c r="K32" s="613">
        <f t="shared" ref="K32:K37" si="7">K33-1</f>
        <v>1</v>
      </c>
      <c r="L32" s="614">
        <v>0.7</v>
      </c>
      <c r="M32" s="705">
        <v>41958</v>
      </c>
    </row>
    <row r="33" spans="1:26" ht="27.95" customHeight="1">
      <c r="A33" s="729"/>
      <c r="B33" s="615" t="s">
        <v>327</v>
      </c>
      <c r="C33" s="616" t="s">
        <v>328</v>
      </c>
      <c r="D33" s="730" t="s">
        <v>486</v>
      </c>
      <c r="E33" s="886"/>
      <c r="F33" s="887"/>
      <c r="G33" s="887"/>
      <c r="H33" s="890"/>
      <c r="I33" s="893"/>
      <c r="J33" s="617"/>
      <c r="K33" s="613">
        <f t="shared" si="7"/>
        <v>2</v>
      </c>
      <c r="L33" s="614">
        <f>L32+0.1</f>
        <v>0.79999999999999993</v>
      </c>
      <c r="M33" s="705">
        <v>47952</v>
      </c>
    </row>
    <row r="34" spans="1:26" ht="15.75">
      <c r="A34" s="613" t="s">
        <v>320</v>
      </c>
      <c r="B34" s="618">
        <v>1</v>
      </c>
      <c r="C34" s="619">
        <f>IF(AND(A29&lt;=60%,$A$14="New Construction/Special Needs"),0.6,(IF(AND(A29&lt;&gt;60%,$A$14="Preservation/Rehab"),0.7,(IF(AND(A29=60%,$A$14="Preservation/Rehab"),0.7,0.6)))))</f>
        <v>0.6</v>
      </c>
      <c r="D34" s="731">
        <f>IF($A$14="Preservation/Rehab",M32,CEILING(MROUND($A$5*50%,50)*C34,50)*$A$29/50%)</f>
        <v>35964</v>
      </c>
      <c r="E34" s="705">
        <f t="shared" ref="E34:E39" si="8">ROUNDDOWN(D34*$A$7/12,0)</f>
        <v>899</v>
      </c>
      <c r="F34" s="732">
        <f>E34-VLOOKUP(A34,$D$5:$H$10,3,FALSE)</f>
        <v>803</v>
      </c>
      <c r="G34" s="733">
        <f>E34-VLOOKUP(A34,$D$5:$G$10,2,FALSE)</f>
        <v>788</v>
      </c>
      <c r="H34" s="705">
        <f>E34-VLOOKUP(A34,$D$5:$H$10,4,FALSE)</f>
        <v>873</v>
      </c>
      <c r="I34" s="705">
        <f>E34-VLOOKUP(A34,$D$5:$H$10,5,FALSE)</f>
        <v>777</v>
      </c>
      <c r="J34" s="734"/>
      <c r="K34" s="613">
        <f t="shared" si="7"/>
        <v>3</v>
      </c>
      <c r="L34" s="614">
        <f>L33+0.1</f>
        <v>0.89999999999999991</v>
      </c>
      <c r="M34" s="705">
        <v>53946</v>
      </c>
    </row>
    <row r="35" spans="1:26" ht="15.75">
      <c r="A35" s="613" t="s">
        <v>322</v>
      </c>
      <c r="B35" s="618">
        <v>1.5</v>
      </c>
      <c r="C35" s="619">
        <v>0.75</v>
      </c>
      <c r="D35" s="731">
        <f>AVERAGE(M32:M33)</f>
        <v>44955</v>
      </c>
      <c r="E35" s="705">
        <f t="shared" si="8"/>
        <v>1123</v>
      </c>
      <c r="F35" s="732">
        <f t="shared" ref="F35:F39" si="9">E35-VLOOKUP(A35,$D$5:$H$10,3,FALSE)</f>
        <v>1014</v>
      </c>
      <c r="G35" s="733">
        <f t="shared" ref="G35:G39" si="10">E35-VLOOKUP(A35,$D$5:$G$10,2,FALSE)</f>
        <v>996</v>
      </c>
      <c r="H35" s="705">
        <f t="shared" ref="H35:H39" si="11">E35-VLOOKUP(A35,$D$5:$H$10,4,FALSE)</f>
        <v>1094</v>
      </c>
      <c r="I35" s="705">
        <f t="shared" ref="I35:I39" si="12">E35-VLOOKUP(A35,$D$5:$H$10,5,FALSE)</f>
        <v>985</v>
      </c>
      <c r="J35" s="734"/>
      <c r="K35" s="613">
        <f t="shared" si="7"/>
        <v>4</v>
      </c>
      <c r="L35" s="614">
        <f>L34+0.1</f>
        <v>0.99999999999999989</v>
      </c>
      <c r="M35" s="705">
        <v>59940</v>
      </c>
      <c r="R35" s="735"/>
      <c r="S35" s="735"/>
      <c r="T35" s="735"/>
      <c r="U35" s="735"/>
      <c r="V35" s="735"/>
      <c r="W35" s="735"/>
      <c r="X35" s="735"/>
      <c r="Y35" s="735"/>
      <c r="Z35" s="735"/>
    </row>
    <row r="36" spans="1:26" ht="15.75">
      <c r="A36" s="613" t="s">
        <v>324</v>
      </c>
      <c r="B36" s="618">
        <v>3</v>
      </c>
      <c r="C36" s="619">
        <v>0.9</v>
      </c>
      <c r="D36" s="731">
        <f>M34</f>
        <v>53946</v>
      </c>
      <c r="E36" s="705">
        <f t="shared" si="8"/>
        <v>1348</v>
      </c>
      <c r="F36" s="732">
        <f t="shared" si="9"/>
        <v>1204</v>
      </c>
      <c r="G36" s="733">
        <f t="shared" si="10"/>
        <v>1178</v>
      </c>
      <c r="H36" s="705">
        <f t="shared" si="11"/>
        <v>1315</v>
      </c>
      <c r="I36" s="705">
        <f t="shared" si="12"/>
        <v>1171</v>
      </c>
      <c r="J36" s="734"/>
      <c r="K36" s="613">
        <f t="shared" si="7"/>
        <v>5</v>
      </c>
      <c r="L36" s="614">
        <f>L35+0.08</f>
        <v>1.0799999999999998</v>
      </c>
      <c r="M36" s="705">
        <v>64750</v>
      </c>
      <c r="R36" s="735"/>
      <c r="S36" s="735"/>
      <c r="T36" s="735"/>
      <c r="U36" s="735"/>
      <c r="V36" s="735"/>
      <c r="W36" s="735"/>
      <c r="X36" s="735"/>
      <c r="Y36" s="735"/>
      <c r="Z36" s="735"/>
    </row>
    <row r="37" spans="1:26" ht="15.75">
      <c r="A37" s="613" t="s">
        <v>326</v>
      </c>
      <c r="B37" s="618">
        <v>4.5</v>
      </c>
      <c r="C37" s="619">
        <v>1.04</v>
      </c>
      <c r="D37" s="731">
        <f>AVERAGE(M35:M36)</f>
        <v>62345</v>
      </c>
      <c r="E37" s="705">
        <f t="shared" si="8"/>
        <v>1558</v>
      </c>
      <c r="F37" s="732">
        <f t="shared" si="9"/>
        <v>1380</v>
      </c>
      <c r="G37" s="733">
        <f t="shared" si="10"/>
        <v>1346</v>
      </c>
      <c r="H37" s="705">
        <f t="shared" si="11"/>
        <v>1521</v>
      </c>
      <c r="I37" s="705">
        <f t="shared" si="12"/>
        <v>1343</v>
      </c>
      <c r="J37" s="734"/>
      <c r="K37" s="613">
        <f t="shared" si="7"/>
        <v>6</v>
      </c>
      <c r="L37" s="614">
        <f>L36+0.08</f>
        <v>1.1599999999999999</v>
      </c>
      <c r="M37" s="705">
        <v>69560</v>
      </c>
      <c r="R37" s="735"/>
      <c r="S37" s="735"/>
      <c r="T37" s="735"/>
      <c r="U37" s="735"/>
      <c r="V37" s="735"/>
      <c r="W37" s="735"/>
      <c r="X37" s="735"/>
      <c r="Y37" s="735"/>
      <c r="Z37" s="735"/>
    </row>
    <row r="38" spans="1:26" ht="15.75">
      <c r="A38" s="613" t="s">
        <v>472</v>
      </c>
      <c r="B38" s="618">
        <v>6</v>
      </c>
      <c r="C38" s="619">
        <v>1.1599999999999999</v>
      </c>
      <c r="D38" s="731">
        <f>M37</f>
        <v>69560</v>
      </c>
      <c r="E38" s="705">
        <f t="shared" si="8"/>
        <v>1739</v>
      </c>
      <c r="F38" s="732">
        <f t="shared" si="9"/>
        <v>1526</v>
      </c>
      <c r="G38" s="733">
        <f t="shared" si="10"/>
        <v>1484</v>
      </c>
      <c r="H38" s="705">
        <f t="shared" si="11"/>
        <v>1698</v>
      </c>
      <c r="I38" s="705">
        <f t="shared" si="12"/>
        <v>1485</v>
      </c>
      <c r="J38" s="734"/>
      <c r="K38" s="613">
        <f>K39-1</f>
        <v>7</v>
      </c>
      <c r="L38" s="614">
        <f>L37+0.08</f>
        <v>1.24</v>
      </c>
      <c r="M38" s="705">
        <v>74333</v>
      </c>
      <c r="R38" s="735"/>
      <c r="S38" s="735"/>
      <c r="T38" s="735"/>
      <c r="U38" s="735"/>
    </row>
    <row r="39" spans="1:26" ht="15.75">
      <c r="A39" s="613" t="s">
        <v>473</v>
      </c>
      <c r="B39" s="618">
        <v>7.5</v>
      </c>
      <c r="C39" s="619">
        <f>1.28</f>
        <v>1.28</v>
      </c>
      <c r="D39" s="731">
        <f>AVERAGE(M38:M39)</f>
        <v>76738</v>
      </c>
      <c r="E39" s="705">
        <f t="shared" si="8"/>
        <v>1918</v>
      </c>
      <c r="F39" s="732">
        <f t="shared" si="9"/>
        <v>1670</v>
      </c>
      <c r="G39" s="733">
        <f t="shared" si="10"/>
        <v>1620</v>
      </c>
      <c r="H39" s="705">
        <f t="shared" si="11"/>
        <v>1873</v>
      </c>
      <c r="I39" s="705">
        <f t="shared" si="12"/>
        <v>1625</v>
      </c>
      <c r="J39" s="734"/>
      <c r="K39" s="613">
        <v>8</v>
      </c>
      <c r="L39" s="614">
        <f>L38+0.08</f>
        <v>1.32</v>
      </c>
      <c r="M39" s="705">
        <v>79143</v>
      </c>
      <c r="R39" s="735"/>
      <c r="S39" s="735"/>
      <c r="T39" s="735"/>
      <c r="U39" s="735"/>
    </row>
    <row r="40" spans="1:26">
      <c r="D40" s="736"/>
      <c r="Q40" s="735"/>
      <c r="R40" s="735"/>
      <c r="S40" s="735"/>
      <c r="T40" s="735"/>
    </row>
    <row r="41" spans="1:26">
      <c r="D41" s="736"/>
      <c r="Q41" s="735"/>
      <c r="R41" s="735"/>
      <c r="S41" s="735"/>
      <c r="T41" s="735"/>
    </row>
    <row r="42" spans="1:26" ht="15.75">
      <c r="A42" s="709">
        <v>0.47</v>
      </c>
      <c r="B42" s="713" t="s">
        <v>479</v>
      </c>
      <c r="C42" s="705">
        <f>IF($A$42=50%,CEILING(MROUND(MROUND($A$5*50%,50)*$A$42/50%,50)*L48,50),CEILING(MROUND($A$5*50%,50)*L48,50)*$A$42/50%)*0+M48</f>
        <v>76140</v>
      </c>
      <c r="D42" s="714" t="s">
        <v>470</v>
      </c>
      <c r="E42" s="702"/>
      <c r="F42" s="702"/>
      <c r="G42" s="702"/>
      <c r="H42" s="702"/>
      <c r="I42" s="702"/>
      <c r="J42" s="702"/>
      <c r="K42" s="702"/>
      <c r="L42" s="702"/>
      <c r="Q42" s="735"/>
      <c r="R42" s="735"/>
      <c r="S42" s="735"/>
      <c r="T42" s="735"/>
    </row>
    <row r="43" spans="1:26">
      <c r="E43" s="715" t="s">
        <v>480</v>
      </c>
      <c r="F43" s="715" t="s">
        <v>480</v>
      </c>
      <c r="G43" s="715" t="s">
        <v>480</v>
      </c>
      <c r="H43" s="715" t="s">
        <v>480</v>
      </c>
      <c r="I43" s="715" t="s">
        <v>480</v>
      </c>
      <c r="K43" s="716"/>
      <c r="L43" s="717"/>
      <c r="M43" s="718" t="s">
        <v>147</v>
      </c>
      <c r="R43" s="735"/>
      <c r="S43" s="735"/>
      <c r="T43" s="735"/>
      <c r="U43" s="735"/>
    </row>
    <row r="44" spans="1:26" ht="15.75" customHeight="1">
      <c r="A44" s="719"/>
      <c r="B44" s="720"/>
      <c r="C44" s="720"/>
      <c r="D44" s="720"/>
      <c r="E44" s="884" t="s">
        <v>455</v>
      </c>
      <c r="F44" s="887" t="s">
        <v>481</v>
      </c>
      <c r="G44" s="887" t="s">
        <v>467</v>
      </c>
      <c r="H44" s="888" t="s">
        <v>482</v>
      </c>
      <c r="I44" s="891" t="s">
        <v>483</v>
      </c>
      <c r="J44" s="700"/>
      <c r="K44" s="721" t="s">
        <v>484</v>
      </c>
      <c r="L44" s="722" t="s">
        <v>485</v>
      </c>
      <c r="M44" s="723" t="s">
        <v>486</v>
      </c>
    </row>
    <row r="45" spans="1:26" ht="15.75">
      <c r="A45" s="724"/>
      <c r="B45" s="725"/>
      <c r="C45" s="725"/>
      <c r="D45" s="726" t="s">
        <v>147</v>
      </c>
      <c r="E45" s="885"/>
      <c r="F45" s="887"/>
      <c r="G45" s="887"/>
      <c r="H45" s="889"/>
      <c r="I45" s="892"/>
      <c r="J45" s="727"/>
      <c r="K45" s="613">
        <f t="shared" ref="K45:K50" si="13">K46-1</f>
        <v>1</v>
      </c>
      <c r="L45" s="614">
        <v>0.7</v>
      </c>
      <c r="M45" s="705">
        <v>53298</v>
      </c>
      <c r="O45" s="737"/>
      <c r="P45" s="737"/>
    </row>
    <row r="46" spans="1:26" ht="28.5" customHeight="1">
      <c r="A46" s="729"/>
      <c r="B46" s="615" t="s">
        <v>327</v>
      </c>
      <c r="C46" s="616" t="s">
        <v>328</v>
      </c>
      <c r="D46" s="730" t="s">
        <v>486</v>
      </c>
      <c r="E46" s="886"/>
      <c r="F46" s="887"/>
      <c r="G46" s="887"/>
      <c r="H46" s="890"/>
      <c r="I46" s="893"/>
      <c r="J46" s="617"/>
      <c r="K46" s="613">
        <f t="shared" si="13"/>
        <v>2</v>
      </c>
      <c r="L46" s="614">
        <f>L45+0.1</f>
        <v>0.79999999999999993</v>
      </c>
      <c r="M46" s="705">
        <v>60912</v>
      </c>
    </row>
    <row r="47" spans="1:26" ht="15.75">
      <c r="A47" s="613" t="s">
        <v>320</v>
      </c>
      <c r="B47" s="618">
        <v>1</v>
      </c>
      <c r="C47" s="619">
        <f>IF(AND(A42&lt;=60%,$A$14="New Construction/Special Needs"),0.6,(IF(AND(A42&lt;&gt;60%,$A$14="Preservation/Rehab"),0.7,(IF(AND(A42=60%,$A$14="Preservation/Rehab"),0.7,0.6)))))</f>
        <v>0.6</v>
      </c>
      <c r="D47" s="731">
        <f>IF($A$14="Preservation/Rehab",M45,CEILING(MROUND($A$5*50%,50)*C47,50)*$A$42/50%)</f>
        <v>45684</v>
      </c>
      <c r="E47" s="705">
        <f t="shared" ref="E47:E52" si="14">ROUNDDOWN(D47*$A$7/12,0)</f>
        <v>1142</v>
      </c>
      <c r="F47" s="732">
        <f>E47-VLOOKUP(A47,$D$5:$H$10,3,FALSE)</f>
        <v>1046</v>
      </c>
      <c r="G47" s="733">
        <f>E47-VLOOKUP(A47,$D$5:$G$10,2,FALSE)</f>
        <v>1031</v>
      </c>
      <c r="H47" s="705">
        <f>E47-VLOOKUP(A47,$D$5:$H$10,4,FALSE)</f>
        <v>1116</v>
      </c>
      <c r="I47" s="705">
        <f>E47-VLOOKUP(A47,$D$5:$H$10,5,FALSE)</f>
        <v>1020</v>
      </c>
      <c r="J47" s="734"/>
      <c r="K47" s="613">
        <f t="shared" si="13"/>
        <v>3</v>
      </c>
      <c r="L47" s="614">
        <f>L46+0.1</f>
        <v>0.89999999999999991</v>
      </c>
      <c r="M47" s="705">
        <v>68526</v>
      </c>
    </row>
    <row r="48" spans="1:26" ht="15.75">
      <c r="A48" s="613" t="s">
        <v>322</v>
      </c>
      <c r="B48" s="618">
        <v>1.5</v>
      </c>
      <c r="C48" s="619">
        <v>0.75</v>
      </c>
      <c r="D48" s="731">
        <f>AVERAGE(M45:M46)</f>
        <v>57105</v>
      </c>
      <c r="E48" s="705">
        <f t="shared" si="14"/>
        <v>1427</v>
      </c>
      <c r="F48" s="732">
        <f t="shared" ref="F48:F52" si="15">E48-VLOOKUP(A48,$D$5:$H$10,3,FALSE)</f>
        <v>1318</v>
      </c>
      <c r="G48" s="733">
        <f t="shared" ref="G48:G52" si="16">E48-VLOOKUP(A48,$D$5:$G$10,2,FALSE)</f>
        <v>1300</v>
      </c>
      <c r="H48" s="705">
        <f t="shared" ref="H48:H52" si="17">E48-VLOOKUP(A48,$D$5:$H$10,4,FALSE)</f>
        <v>1398</v>
      </c>
      <c r="I48" s="705">
        <f t="shared" ref="I48:I52" si="18">E48-VLOOKUP(A48,$D$5:$H$10,5,FALSE)</f>
        <v>1289</v>
      </c>
      <c r="J48" s="734"/>
      <c r="K48" s="613">
        <f t="shared" si="13"/>
        <v>4</v>
      </c>
      <c r="L48" s="614">
        <f>L47+0.1</f>
        <v>0.99999999999999989</v>
      </c>
      <c r="M48" s="705">
        <v>76140</v>
      </c>
    </row>
    <row r="49" spans="1:13" ht="15.75">
      <c r="A49" s="613" t="s">
        <v>324</v>
      </c>
      <c r="B49" s="618">
        <v>3</v>
      </c>
      <c r="C49" s="619">
        <v>0.9</v>
      </c>
      <c r="D49" s="731">
        <f>M47</f>
        <v>68526</v>
      </c>
      <c r="E49" s="705">
        <f t="shared" si="14"/>
        <v>1713</v>
      </c>
      <c r="F49" s="732">
        <f t="shared" si="15"/>
        <v>1569</v>
      </c>
      <c r="G49" s="733">
        <f t="shared" si="16"/>
        <v>1543</v>
      </c>
      <c r="H49" s="705">
        <f t="shared" si="17"/>
        <v>1680</v>
      </c>
      <c r="I49" s="705">
        <f t="shared" si="18"/>
        <v>1536</v>
      </c>
      <c r="J49" s="734"/>
      <c r="K49" s="613">
        <f t="shared" si="13"/>
        <v>5</v>
      </c>
      <c r="L49" s="614">
        <f>L48+0.08</f>
        <v>1.0799999999999998</v>
      </c>
      <c r="M49" s="705">
        <v>82250</v>
      </c>
    </row>
    <row r="50" spans="1:13" ht="15.75">
      <c r="A50" s="613" t="s">
        <v>326</v>
      </c>
      <c r="B50" s="618">
        <v>4.5</v>
      </c>
      <c r="C50" s="619">
        <v>1.04</v>
      </c>
      <c r="D50" s="731">
        <f>AVERAGE(M48:M49)</f>
        <v>79195</v>
      </c>
      <c r="E50" s="705">
        <f t="shared" si="14"/>
        <v>1979</v>
      </c>
      <c r="F50" s="732">
        <f t="shared" si="15"/>
        <v>1801</v>
      </c>
      <c r="G50" s="733">
        <f t="shared" si="16"/>
        <v>1767</v>
      </c>
      <c r="H50" s="705">
        <f t="shared" si="17"/>
        <v>1942</v>
      </c>
      <c r="I50" s="705">
        <f t="shared" si="18"/>
        <v>1764</v>
      </c>
      <c r="J50" s="734"/>
      <c r="K50" s="613">
        <f t="shared" si="13"/>
        <v>6</v>
      </c>
      <c r="L50" s="614">
        <f>L49+0.08</f>
        <v>1.1599999999999999</v>
      </c>
      <c r="M50" s="705">
        <v>88360</v>
      </c>
    </row>
    <row r="51" spans="1:13" ht="15.75">
      <c r="A51" s="613" t="s">
        <v>472</v>
      </c>
      <c r="B51" s="618">
        <v>6</v>
      </c>
      <c r="C51" s="619">
        <v>1.1599999999999999</v>
      </c>
      <c r="D51" s="731">
        <f>M50</f>
        <v>88360</v>
      </c>
      <c r="E51" s="705">
        <f t="shared" si="14"/>
        <v>2209</v>
      </c>
      <c r="F51" s="732">
        <f t="shared" si="15"/>
        <v>1996</v>
      </c>
      <c r="G51" s="733">
        <f t="shared" si="16"/>
        <v>1954</v>
      </c>
      <c r="H51" s="705">
        <f t="shared" si="17"/>
        <v>2168</v>
      </c>
      <c r="I51" s="705">
        <f t="shared" si="18"/>
        <v>1955</v>
      </c>
      <c r="J51" s="734"/>
      <c r="K51" s="613">
        <f>K52-1</f>
        <v>7</v>
      </c>
      <c r="L51" s="614">
        <f>L50+0.08</f>
        <v>1.24</v>
      </c>
      <c r="M51" s="705">
        <v>94423</v>
      </c>
    </row>
    <row r="52" spans="1:13" ht="15.75">
      <c r="A52" s="613" t="s">
        <v>473</v>
      </c>
      <c r="B52" s="618">
        <v>7.5</v>
      </c>
      <c r="C52" s="619">
        <f>1.28</f>
        <v>1.28</v>
      </c>
      <c r="D52" s="731">
        <f>AVERAGE(M51:M52)</f>
        <v>97478</v>
      </c>
      <c r="E52" s="705">
        <f t="shared" si="14"/>
        <v>2436</v>
      </c>
      <c r="F52" s="732">
        <f t="shared" si="15"/>
        <v>2188</v>
      </c>
      <c r="G52" s="733">
        <f t="shared" si="16"/>
        <v>2138</v>
      </c>
      <c r="H52" s="705">
        <f t="shared" si="17"/>
        <v>2391</v>
      </c>
      <c r="I52" s="705">
        <f t="shared" si="18"/>
        <v>2143</v>
      </c>
      <c r="J52" s="734"/>
      <c r="K52" s="613">
        <v>8</v>
      </c>
      <c r="L52" s="614">
        <f>L51+0.08</f>
        <v>1.32</v>
      </c>
      <c r="M52" s="705">
        <v>100533</v>
      </c>
    </row>
    <row r="55" spans="1:13" ht="15.75">
      <c r="A55" s="709">
        <v>0.56999999999999995</v>
      </c>
      <c r="B55" s="713" t="s">
        <v>479</v>
      </c>
      <c r="C55" s="705">
        <f>IF($A$55=50%,CEILING(MROUND(MROUND($A$5*50%,50)*$A$55/50%,50)*L61,50),CEILING(MROUND($A$5*50%,50)*L61,50)*$A$55/50%)*0+M61</f>
        <v>92339.999999999985</v>
      </c>
      <c r="D55" s="714" t="s">
        <v>470</v>
      </c>
      <c r="E55" s="702"/>
      <c r="F55" s="702"/>
      <c r="G55" s="702"/>
      <c r="H55" s="702"/>
      <c r="I55" s="702"/>
      <c r="J55" s="702"/>
      <c r="K55" s="702"/>
      <c r="L55" s="702"/>
    </row>
    <row r="56" spans="1:13">
      <c r="B56" s="738"/>
      <c r="E56" s="715" t="s">
        <v>480</v>
      </c>
      <c r="F56" s="715" t="s">
        <v>480</v>
      </c>
      <c r="G56" s="715" t="s">
        <v>480</v>
      </c>
      <c r="H56" s="715" t="s">
        <v>480</v>
      </c>
      <c r="I56" s="715" t="s">
        <v>480</v>
      </c>
      <c r="K56" s="716"/>
      <c r="L56" s="717"/>
      <c r="M56" s="718" t="s">
        <v>147</v>
      </c>
    </row>
    <row r="57" spans="1:13" ht="15.75" customHeight="1">
      <c r="A57" s="719"/>
      <c r="B57" s="720"/>
      <c r="C57" s="720"/>
      <c r="D57" s="720"/>
      <c r="E57" s="884" t="s">
        <v>455</v>
      </c>
      <c r="F57" s="887" t="s">
        <v>481</v>
      </c>
      <c r="G57" s="887" t="s">
        <v>467</v>
      </c>
      <c r="H57" s="888" t="s">
        <v>482</v>
      </c>
      <c r="I57" s="891" t="s">
        <v>483</v>
      </c>
      <c r="J57" s="700"/>
      <c r="K57" s="721" t="s">
        <v>484</v>
      </c>
      <c r="L57" s="722" t="s">
        <v>485</v>
      </c>
      <c r="M57" s="723" t="s">
        <v>486</v>
      </c>
    </row>
    <row r="58" spans="1:13" ht="15.75">
      <c r="A58" s="724"/>
      <c r="B58" s="725"/>
      <c r="C58" s="725"/>
      <c r="D58" s="726" t="s">
        <v>147</v>
      </c>
      <c r="E58" s="885"/>
      <c r="F58" s="887"/>
      <c r="G58" s="887"/>
      <c r="H58" s="889"/>
      <c r="I58" s="892"/>
      <c r="J58" s="727"/>
      <c r="K58" s="613">
        <f t="shared" ref="K58:K63" si="19">K59-1</f>
        <v>1</v>
      </c>
      <c r="L58" s="614">
        <v>0.7</v>
      </c>
      <c r="M58" s="705">
        <v>64637.999999999993</v>
      </c>
    </row>
    <row r="59" spans="1:13" ht="32.450000000000003" customHeight="1">
      <c r="A59" s="729"/>
      <c r="B59" s="615" t="s">
        <v>327</v>
      </c>
      <c r="C59" s="616" t="s">
        <v>328</v>
      </c>
      <c r="D59" s="730" t="s">
        <v>486</v>
      </c>
      <c r="E59" s="886"/>
      <c r="F59" s="887"/>
      <c r="G59" s="887"/>
      <c r="H59" s="890"/>
      <c r="I59" s="893"/>
      <c r="J59" s="617"/>
      <c r="K59" s="613">
        <f t="shared" si="19"/>
        <v>2</v>
      </c>
      <c r="L59" s="614">
        <f>L58+0.1</f>
        <v>0.79999999999999993</v>
      </c>
      <c r="M59" s="705">
        <v>73872</v>
      </c>
    </row>
    <row r="60" spans="1:13" ht="15.75">
      <c r="A60" s="613" t="s">
        <v>320</v>
      </c>
      <c r="B60" s="618">
        <v>1</v>
      </c>
      <c r="C60" s="619">
        <f>IF(AND(A55&lt;=60%,$A$14="New Construction/Special Needs"),0.6,(IF(AND(A55&lt;&gt;60%,$A$14="Preservation/Rehab"),0.7,(IF(AND(A55=60%,$A$14="Preservation/Rehab"),0.7,0.6)))))</f>
        <v>0.6</v>
      </c>
      <c r="D60" s="731">
        <f>IF($A$14="Preservation/Rehab",M58,CEILING(MROUND($A$5*50%,50)*C60,50)*$A$55/50%)</f>
        <v>55403.999999999993</v>
      </c>
      <c r="E60" s="705">
        <f t="shared" ref="E60:E65" si="20">ROUNDDOWN(D60*$A$7/12,0)</f>
        <v>1385</v>
      </c>
      <c r="F60" s="732">
        <f>E60-VLOOKUP(A60,$D$5:$H$10,3,FALSE)</f>
        <v>1289</v>
      </c>
      <c r="G60" s="733">
        <f>E60-VLOOKUP(A60,$D$5:$G$10,2,FALSE)</f>
        <v>1274</v>
      </c>
      <c r="H60" s="705">
        <f>E60-VLOOKUP(A60,$D$5:$H$10,4,FALSE)</f>
        <v>1359</v>
      </c>
      <c r="I60" s="705">
        <f>E60-VLOOKUP(A60,$D$5:$H$10,5,FALSE)</f>
        <v>1263</v>
      </c>
      <c r="J60" s="734"/>
      <c r="K60" s="613">
        <f t="shared" si="19"/>
        <v>3</v>
      </c>
      <c r="L60" s="614">
        <f>L59+0.1</f>
        <v>0.89999999999999991</v>
      </c>
      <c r="M60" s="705">
        <v>83106</v>
      </c>
    </row>
    <row r="61" spans="1:13" ht="15.75">
      <c r="A61" s="613" t="s">
        <v>322</v>
      </c>
      <c r="B61" s="618">
        <v>1.5</v>
      </c>
      <c r="C61" s="619">
        <v>0.75</v>
      </c>
      <c r="D61" s="731">
        <f>AVERAGE(M58:M59)</f>
        <v>69255</v>
      </c>
      <c r="E61" s="705">
        <f t="shared" si="20"/>
        <v>1731</v>
      </c>
      <c r="F61" s="732">
        <f t="shared" ref="F61:F65" si="21">E61-VLOOKUP(A61,$D$5:$H$10,3,FALSE)</f>
        <v>1622</v>
      </c>
      <c r="G61" s="733">
        <f t="shared" ref="G61:G65" si="22">E61-VLOOKUP(A61,$D$5:$G$10,2,FALSE)</f>
        <v>1604</v>
      </c>
      <c r="H61" s="705">
        <f t="shared" ref="H61:H65" si="23">E61-VLOOKUP(A61,$D$5:$H$10,4,FALSE)</f>
        <v>1702</v>
      </c>
      <c r="I61" s="705">
        <f t="shared" ref="I61:I65" si="24">E61-VLOOKUP(A61,$D$5:$H$10,5,FALSE)</f>
        <v>1593</v>
      </c>
      <c r="J61" s="734"/>
      <c r="K61" s="613">
        <f t="shared" si="19"/>
        <v>4</v>
      </c>
      <c r="L61" s="614">
        <f>L60+0.1</f>
        <v>0.99999999999999989</v>
      </c>
      <c r="M61" s="705">
        <v>92339.999999999985</v>
      </c>
    </row>
    <row r="62" spans="1:13" ht="15.75">
      <c r="A62" s="613" t="s">
        <v>324</v>
      </c>
      <c r="B62" s="618">
        <v>3</v>
      </c>
      <c r="C62" s="619">
        <v>0.9</v>
      </c>
      <c r="D62" s="731">
        <f>M60</f>
        <v>83106</v>
      </c>
      <c r="E62" s="705">
        <f t="shared" si="20"/>
        <v>2077</v>
      </c>
      <c r="F62" s="732">
        <f t="shared" si="21"/>
        <v>1933</v>
      </c>
      <c r="G62" s="733">
        <f t="shared" si="22"/>
        <v>1907</v>
      </c>
      <c r="H62" s="705">
        <f t="shared" si="23"/>
        <v>2044</v>
      </c>
      <c r="I62" s="705">
        <f t="shared" si="24"/>
        <v>1900</v>
      </c>
      <c r="J62" s="734"/>
      <c r="K62" s="613">
        <f t="shared" si="19"/>
        <v>5</v>
      </c>
      <c r="L62" s="614">
        <f>L61+0.08</f>
        <v>1.0799999999999998</v>
      </c>
      <c r="M62" s="705">
        <v>99749.999999999985</v>
      </c>
    </row>
    <row r="63" spans="1:13" ht="15.75">
      <c r="A63" s="613" t="s">
        <v>326</v>
      </c>
      <c r="B63" s="618">
        <v>4.5</v>
      </c>
      <c r="C63" s="619">
        <v>1.04</v>
      </c>
      <c r="D63" s="731">
        <f>AVERAGE(M61:M62)</f>
        <v>96044.999999999985</v>
      </c>
      <c r="E63" s="705">
        <f t="shared" si="20"/>
        <v>2401</v>
      </c>
      <c r="F63" s="732">
        <f t="shared" si="21"/>
        <v>2223</v>
      </c>
      <c r="G63" s="733">
        <f t="shared" si="22"/>
        <v>2189</v>
      </c>
      <c r="H63" s="705">
        <f t="shared" si="23"/>
        <v>2364</v>
      </c>
      <c r="I63" s="705">
        <f t="shared" si="24"/>
        <v>2186</v>
      </c>
      <c r="J63" s="734"/>
      <c r="K63" s="613">
        <f t="shared" si="19"/>
        <v>6</v>
      </c>
      <c r="L63" s="614">
        <f>L62+0.08</f>
        <v>1.1599999999999999</v>
      </c>
      <c r="M63" s="705">
        <v>107159.99999999999</v>
      </c>
    </row>
    <row r="64" spans="1:13" ht="15.75">
      <c r="A64" s="613" t="s">
        <v>472</v>
      </c>
      <c r="B64" s="618">
        <v>6</v>
      </c>
      <c r="C64" s="619">
        <v>1.1599999999999999</v>
      </c>
      <c r="D64" s="731">
        <f>M63</f>
        <v>107159.99999999999</v>
      </c>
      <c r="E64" s="705">
        <f t="shared" si="20"/>
        <v>2679</v>
      </c>
      <c r="F64" s="732">
        <f t="shared" si="21"/>
        <v>2466</v>
      </c>
      <c r="G64" s="733">
        <f t="shared" si="22"/>
        <v>2424</v>
      </c>
      <c r="H64" s="705">
        <f t="shared" si="23"/>
        <v>2638</v>
      </c>
      <c r="I64" s="705">
        <f t="shared" si="24"/>
        <v>2425</v>
      </c>
      <c r="J64" s="734"/>
      <c r="K64" s="613">
        <f>K65-1</f>
        <v>7</v>
      </c>
      <c r="L64" s="614">
        <f>L63+0.08</f>
        <v>1.24</v>
      </c>
      <c r="M64" s="705">
        <v>114512.99999999999</v>
      </c>
    </row>
    <row r="65" spans="1:13" ht="15.75">
      <c r="A65" s="613" t="s">
        <v>473</v>
      </c>
      <c r="B65" s="618">
        <v>7.5</v>
      </c>
      <c r="C65" s="619">
        <f>1.28</f>
        <v>1.28</v>
      </c>
      <c r="D65" s="731">
        <f>AVERAGE(M64:M65)</f>
        <v>118217.99999999999</v>
      </c>
      <c r="E65" s="705">
        <f t="shared" si="20"/>
        <v>2955</v>
      </c>
      <c r="F65" s="732">
        <f t="shared" si="21"/>
        <v>2707</v>
      </c>
      <c r="G65" s="733">
        <f t="shared" si="22"/>
        <v>2657</v>
      </c>
      <c r="H65" s="705">
        <f t="shared" si="23"/>
        <v>2910</v>
      </c>
      <c r="I65" s="705">
        <f t="shared" si="24"/>
        <v>2662</v>
      </c>
      <c r="J65" s="734"/>
      <c r="K65" s="613">
        <v>8</v>
      </c>
      <c r="L65" s="614">
        <f>L64+0.08</f>
        <v>1.32</v>
      </c>
      <c r="M65" s="705">
        <v>121922.99999999999</v>
      </c>
    </row>
    <row r="68" spans="1:13" ht="15.75">
      <c r="A68" s="709">
        <v>0.67</v>
      </c>
      <c r="B68" s="713" t="s">
        <v>479</v>
      </c>
      <c r="C68" s="705">
        <f>IF($A$68=50%,CEILING(MROUND(MROUND($A$5*50%,50)*$A$68/50%,50)*L74,50),CEILING(MROUND($A$5*50%,50)*L74,50)*$A$68/50%)*0+M74</f>
        <v>108540</v>
      </c>
      <c r="D68" s="714" t="s">
        <v>470</v>
      </c>
      <c r="E68" s="702"/>
      <c r="F68" s="702"/>
      <c r="G68" s="702"/>
      <c r="H68" s="702"/>
      <c r="I68" s="702"/>
      <c r="J68" s="702"/>
      <c r="K68" s="702"/>
      <c r="L68" s="702"/>
    </row>
    <row r="69" spans="1:13">
      <c r="E69" s="715" t="s">
        <v>480</v>
      </c>
      <c r="F69" s="715" t="s">
        <v>480</v>
      </c>
      <c r="G69" s="715" t="s">
        <v>480</v>
      </c>
      <c r="H69" s="715" t="s">
        <v>480</v>
      </c>
      <c r="I69" s="715" t="s">
        <v>480</v>
      </c>
      <c r="K69" s="716"/>
      <c r="L69" s="717"/>
      <c r="M69" s="718" t="s">
        <v>147</v>
      </c>
    </row>
    <row r="70" spans="1:13" ht="15.75" customHeight="1">
      <c r="A70" s="719"/>
      <c r="B70" s="720"/>
      <c r="C70" s="720"/>
      <c r="D70" s="720"/>
      <c r="E70" s="884" t="s">
        <v>455</v>
      </c>
      <c r="F70" s="887" t="s">
        <v>481</v>
      </c>
      <c r="G70" s="887" t="s">
        <v>467</v>
      </c>
      <c r="H70" s="888" t="s">
        <v>482</v>
      </c>
      <c r="I70" s="891" t="s">
        <v>483</v>
      </c>
      <c r="J70" s="700"/>
      <c r="K70" s="721" t="s">
        <v>484</v>
      </c>
      <c r="L70" s="722" t="s">
        <v>485</v>
      </c>
      <c r="M70" s="723" t="s">
        <v>486</v>
      </c>
    </row>
    <row r="71" spans="1:13" ht="15.75">
      <c r="A71" s="724"/>
      <c r="B71" s="725"/>
      <c r="C71" s="725"/>
      <c r="D71" s="726" t="s">
        <v>147</v>
      </c>
      <c r="E71" s="885"/>
      <c r="F71" s="887"/>
      <c r="G71" s="887"/>
      <c r="H71" s="889"/>
      <c r="I71" s="892"/>
      <c r="J71" s="727"/>
      <c r="K71" s="613">
        <f t="shared" ref="K71:K76" si="25">K72-1</f>
        <v>1</v>
      </c>
      <c r="L71" s="614">
        <v>0.7</v>
      </c>
      <c r="M71" s="705">
        <v>75978</v>
      </c>
    </row>
    <row r="72" spans="1:13" ht="28.5" customHeight="1">
      <c r="A72" s="729"/>
      <c r="B72" s="615" t="s">
        <v>327</v>
      </c>
      <c r="C72" s="616" t="s">
        <v>328</v>
      </c>
      <c r="D72" s="730" t="s">
        <v>486</v>
      </c>
      <c r="E72" s="886"/>
      <c r="F72" s="887"/>
      <c r="G72" s="887"/>
      <c r="H72" s="890"/>
      <c r="I72" s="893"/>
      <c r="J72" s="617"/>
      <c r="K72" s="613">
        <f t="shared" si="25"/>
        <v>2</v>
      </c>
      <c r="L72" s="614">
        <f>L71+0.1</f>
        <v>0.79999999999999993</v>
      </c>
      <c r="M72" s="705">
        <v>86832</v>
      </c>
    </row>
    <row r="73" spans="1:13" ht="15.75">
      <c r="A73" s="613" t="s">
        <v>320</v>
      </c>
      <c r="B73" s="618">
        <v>1</v>
      </c>
      <c r="C73" s="619">
        <f>IF(AND(A68&lt;=60%,$A$14="New Construction/Special Needs"),0.6,(IF(AND(A68&lt;&gt;60%,$A$14="Preservation/Rehab"),0.7,(IF(AND(A68=60%,$A$14="Preservation/Rehab"),0.7,0.6)))))</f>
        <v>0.6</v>
      </c>
      <c r="D73" s="731">
        <f>IF($A$14="Preservation/Rehab",M71,CEILING(MROUND($A$5*50%,50)*C73,50)*$A$68/50%)</f>
        <v>65124.000000000007</v>
      </c>
      <c r="E73" s="705">
        <f t="shared" ref="E73:E78" si="26">ROUNDDOWN(D73*$A$7/12,0)</f>
        <v>1628</v>
      </c>
      <c r="F73" s="732">
        <f>E73-VLOOKUP(A73,$D$5:$H$10,3,FALSE)</f>
        <v>1532</v>
      </c>
      <c r="G73" s="733">
        <f>E73-VLOOKUP(A73,$D$5:$G$10,2,FALSE)</f>
        <v>1517</v>
      </c>
      <c r="H73" s="705">
        <f>E73-VLOOKUP(A73,$D$5:$H$10,4,FALSE)</f>
        <v>1602</v>
      </c>
      <c r="I73" s="705">
        <f>E73-VLOOKUP(A73,$D$5:$H$10,5,FALSE)</f>
        <v>1506</v>
      </c>
      <c r="J73" s="734"/>
      <c r="K73" s="613">
        <f t="shared" si="25"/>
        <v>3</v>
      </c>
      <c r="L73" s="614">
        <f>L72+0.1</f>
        <v>0.89999999999999991</v>
      </c>
      <c r="M73" s="705">
        <v>97686</v>
      </c>
    </row>
    <row r="74" spans="1:13" ht="15.75">
      <c r="A74" s="613" t="s">
        <v>322</v>
      </c>
      <c r="B74" s="618">
        <v>1.5</v>
      </c>
      <c r="C74" s="619">
        <v>0.75</v>
      </c>
      <c r="D74" s="731">
        <f>AVERAGE(M71:M72)</f>
        <v>81405</v>
      </c>
      <c r="E74" s="705">
        <f t="shared" si="26"/>
        <v>2035</v>
      </c>
      <c r="F74" s="732">
        <f t="shared" ref="F74:F78" si="27">E74-VLOOKUP(A74,$D$5:$H$10,3,FALSE)</f>
        <v>1926</v>
      </c>
      <c r="G74" s="733">
        <f t="shared" ref="G74:G78" si="28">E74-VLOOKUP(A74,$D$5:$G$10,2,FALSE)</f>
        <v>1908</v>
      </c>
      <c r="H74" s="705">
        <f t="shared" ref="H74:H78" si="29">E74-VLOOKUP(A74,$D$5:$H$10,4,FALSE)</f>
        <v>2006</v>
      </c>
      <c r="I74" s="705">
        <f t="shared" ref="I74:I78" si="30">E74-VLOOKUP(A74,$D$5:$H$10,5,FALSE)</f>
        <v>1897</v>
      </c>
      <c r="J74" s="734"/>
      <c r="K74" s="613">
        <f t="shared" si="25"/>
        <v>4</v>
      </c>
      <c r="L74" s="614">
        <f>L73+0.1</f>
        <v>0.99999999999999989</v>
      </c>
      <c r="M74" s="705">
        <v>108540</v>
      </c>
    </row>
    <row r="75" spans="1:13" ht="15.75">
      <c r="A75" s="613" t="s">
        <v>324</v>
      </c>
      <c r="B75" s="618">
        <v>3</v>
      </c>
      <c r="C75" s="619">
        <v>0.9</v>
      </c>
      <c r="D75" s="731">
        <f>M73</f>
        <v>97686</v>
      </c>
      <c r="E75" s="705">
        <f t="shared" si="26"/>
        <v>2442</v>
      </c>
      <c r="F75" s="732">
        <f t="shared" si="27"/>
        <v>2298</v>
      </c>
      <c r="G75" s="733">
        <f t="shared" si="28"/>
        <v>2272</v>
      </c>
      <c r="H75" s="705">
        <f t="shared" si="29"/>
        <v>2409</v>
      </c>
      <c r="I75" s="705">
        <f t="shared" si="30"/>
        <v>2265</v>
      </c>
      <c r="J75" s="734"/>
      <c r="K75" s="613">
        <f t="shared" si="25"/>
        <v>5</v>
      </c>
      <c r="L75" s="614">
        <f>L74+0.08</f>
        <v>1.0799999999999998</v>
      </c>
      <c r="M75" s="705">
        <v>117250</v>
      </c>
    </row>
    <row r="76" spans="1:13" ht="15.75">
      <c r="A76" s="613" t="s">
        <v>326</v>
      </c>
      <c r="B76" s="618">
        <v>4.5</v>
      </c>
      <c r="C76" s="619">
        <v>1.04</v>
      </c>
      <c r="D76" s="731">
        <f>AVERAGE(M74:M75)</f>
        <v>112895</v>
      </c>
      <c r="E76" s="705">
        <f t="shared" si="26"/>
        <v>2822</v>
      </c>
      <c r="F76" s="732">
        <f t="shared" si="27"/>
        <v>2644</v>
      </c>
      <c r="G76" s="733">
        <f t="shared" si="28"/>
        <v>2610</v>
      </c>
      <c r="H76" s="705">
        <f t="shared" si="29"/>
        <v>2785</v>
      </c>
      <c r="I76" s="705">
        <f t="shared" si="30"/>
        <v>2607</v>
      </c>
      <c r="J76" s="734"/>
      <c r="K76" s="613">
        <f t="shared" si="25"/>
        <v>6</v>
      </c>
      <c r="L76" s="614">
        <f>L75+0.08</f>
        <v>1.1599999999999999</v>
      </c>
      <c r="M76" s="705">
        <v>125960.00000000001</v>
      </c>
    </row>
    <row r="77" spans="1:13" ht="15.75">
      <c r="A77" s="613" t="s">
        <v>472</v>
      </c>
      <c r="B77" s="618">
        <v>6</v>
      </c>
      <c r="C77" s="619">
        <v>1.1599999999999999</v>
      </c>
      <c r="D77" s="731">
        <f>M76</f>
        <v>125960.00000000001</v>
      </c>
      <c r="E77" s="705">
        <f t="shared" si="26"/>
        <v>3149</v>
      </c>
      <c r="F77" s="732">
        <f t="shared" si="27"/>
        <v>2936</v>
      </c>
      <c r="G77" s="733">
        <f t="shared" si="28"/>
        <v>2894</v>
      </c>
      <c r="H77" s="705">
        <f t="shared" si="29"/>
        <v>3108</v>
      </c>
      <c r="I77" s="705">
        <f t="shared" si="30"/>
        <v>2895</v>
      </c>
      <c r="J77" s="734"/>
      <c r="K77" s="613">
        <f>K78-1</f>
        <v>7</v>
      </c>
      <c r="L77" s="614">
        <f>L76+0.08</f>
        <v>1.24</v>
      </c>
      <c r="M77" s="705">
        <v>134603</v>
      </c>
    </row>
    <row r="78" spans="1:13" ht="15.75">
      <c r="A78" s="613" t="s">
        <v>473</v>
      </c>
      <c r="B78" s="618">
        <v>7.5</v>
      </c>
      <c r="C78" s="619">
        <f>1.28</f>
        <v>1.28</v>
      </c>
      <c r="D78" s="731">
        <f>AVERAGE(M77:M78)</f>
        <v>138958</v>
      </c>
      <c r="E78" s="705">
        <f t="shared" si="26"/>
        <v>3473</v>
      </c>
      <c r="F78" s="732">
        <f t="shared" si="27"/>
        <v>3225</v>
      </c>
      <c r="G78" s="733">
        <f t="shared" si="28"/>
        <v>3175</v>
      </c>
      <c r="H78" s="705">
        <f t="shared" si="29"/>
        <v>3428</v>
      </c>
      <c r="I78" s="705">
        <f t="shared" si="30"/>
        <v>3180</v>
      </c>
      <c r="J78" s="734"/>
      <c r="K78" s="613">
        <v>8</v>
      </c>
      <c r="L78" s="614">
        <f>L77+0.08</f>
        <v>1.32</v>
      </c>
      <c r="M78" s="705">
        <v>143313</v>
      </c>
    </row>
    <row r="80" spans="1:13" ht="15.75">
      <c r="A80" s="709">
        <v>0.77</v>
      </c>
      <c r="B80" s="713" t="s">
        <v>479</v>
      </c>
      <c r="C80" s="705">
        <f>IF($A$80=50%,CEILING(MROUND(MROUND($A$5*50%,50)*$A$80/50%,50)*L86,50),CEILING(MROUND($A$5*50%,50)*L86,50)*$A$80/50%)*0+M86</f>
        <v>124740</v>
      </c>
      <c r="D80" s="714" t="s">
        <v>470</v>
      </c>
      <c r="E80" s="702"/>
      <c r="F80" s="702"/>
      <c r="G80" s="702"/>
      <c r="H80" s="702"/>
      <c r="I80" s="702"/>
      <c r="J80" s="702"/>
      <c r="K80" s="702"/>
      <c r="L80" s="702"/>
    </row>
    <row r="81" spans="1:13">
      <c r="E81" s="715" t="s">
        <v>480</v>
      </c>
      <c r="F81" s="715" t="s">
        <v>480</v>
      </c>
      <c r="G81" s="715" t="s">
        <v>480</v>
      </c>
      <c r="H81" s="715" t="s">
        <v>480</v>
      </c>
      <c r="I81" s="715" t="s">
        <v>480</v>
      </c>
      <c r="K81" s="716"/>
      <c r="L81" s="717"/>
      <c r="M81" s="718" t="s">
        <v>147</v>
      </c>
    </row>
    <row r="82" spans="1:13" ht="15.75" customHeight="1">
      <c r="A82" s="719"/>
      <c r="B82" s="720"/>
      <c r="C82" s="720"/>
      <c r="D82" s="720"/>
      <c r="E82" s="884" t="s">
        <v>455</v>
      </c>
      <c r="F82" s="887" t="s">
        <v>481</v>
      </c>
      <c r="G82" s="887" t="s">
        <v>467</v>
      </c>
      <c r="H82" s="888" t="s">
        <v>482</v>
      </c>
      <c r="I82" s="891" t="s">
        <v>483</v>
      </c>
      <c r="J82" s="700"/>
      <c r="K82" s="721" t="s">
        <v>484</v>
      </c>
      <c r="L82" s="722" t="s">
        <v>485</v>
      </c>
      <c r="M82" s="723" t="s">
        <v>486</v>
      </c>
    </row>
    <row r="83" spans="1:13" ht="15.75">
      <c r="A83" s="724"/>
      <c r="B83" s="725"/>
      <c r="C83" s="725"/>
      <c r="D83" s="726" t="s">
        <v>147</v>
      </c>
      <c r="E83" s="885"/>
      <c r="F83" s="887"/>
      <c r="G83" s="887"/>
      <c r="H83" s="889"/>
      <c r="I83" s="892"/>
      <c r="J83" s="727"/>
      <c r="K83" s="613">
        <f t="shared" ref="K83:K88" si="31">K84-1</f>
        <v>1</v>
      </c>
      <c r="L83" s="614">
        <v>0.7</v>
      </c>
      <c r="M83" s="705">
        <v>87318</v>
      </c>
    </row>
    <row r="84" spans="1:13" ht="29.1" customHeight="1">
      <c r="A84" s="729"/>
      <c r="B84" s="615" t="s">
        <v>327</v>
      </c>
      <c r="C84" s="616" t="s">
        <v>328</v>
      </c>
      <c r="D84" s="730" t="s">
        <v>486</v>
      </c>
      <c r="E84" s="886"/>
      <c r="F84" s="887"/>
      <c r="G84" s="887"/>
      <c r="H84" s="890"/>
      <c r="I84" s="893"/>
      <c r="J84" s="617"/>
      <c r="K84" s="613">
        <f t="shared" si="31"/>
        <v>2</v>
      </c>
      <c r="L84" s="614">
        <f>L83+0.1</f>
        <v>0.79999999999999993</v>
      </c>
      <c r="M84" s="705">
        <v>99792</v>
      </c>
    </row>
    <row r="85" spans="1:13" ht="15.75">
      <c r="A85" s="613" t="s">
        <v>320</v>
      </c>
      <c r="B85" s="618">
        <v>1</v>
      </c>
      <c r="C85" s="619">
        <f>IF(AND(A80&lt;=60%,$A$14="New Construction/Special Needs"),0.6,(IF(AND(A80&lt;&gt;60%,$A$14="Preservation/Rehab"),0.7,(IF(AND(A80=60%,$A$14="Preservation/Rehab"),0.7,0.6)))))</f>
        <v>0.6</v>
      </c>
      <c r="D85" s="731">
        <f>IF($A$14="Preservation/Rehab",M83,CEILING(MROUND($A$5*50%,50)*C85,50)*$A$80/50%)</f>
        <v>74844</v>
      </c>
      <c r="E85" s="705">
        <f t="shared" ref="E85:E90" si="32">ROUNDDOWN(D85*$A$7/12,0)</f>
        <v>1871</v>
      </c>
      <c r="F85" s="732">
        <f>E85-VLOOKUP(A85,$D$5:$H$10,3,FALSE)</f>
        <v>1775</v>
      </c>
      <c r="G85" s="733">
        <f>E85-VLOOKUP(A85,$D$5:$G$10,2,FALSE)</f>
        <v>1760</v>
      </c>
      <c r="H85" s="705">
        <f>E85-VLOOKUP(A85,$D$5:$H$10,4,FALSE)</f>
        <v>1845</v>
      </c>
      <c r="I85" s="705">
        <f>E85-VLOOKUP(A85,$D$5:$H$10,5,FALSE)</f>
        <v>1749</v>
      </c>
      <c r="J85" s="734"/>
      <c r="K85" s="613">
        <f t="shared" si="31"/>
        <v>3</v>
      </c>
      <c r="L85" s="614">
        <f>L84+0.1</f>
        <v>0.89999999999999991</v>
      </c>
      <c r="M85" s="705">
        <v>112266</v>
      </c>
    </row>
    <row r="86" spans="1:13" ht="15.75">
      <c r="A86" s="613" t="s">
        <v>322</v>
      </c>
      <c r="B86" s="618">
        <v>1.5</v>
      </c>
      <c r="C86" s="619">
        <v>0.75</v>
      </c>
      <c r="D86" s="731">
        <f>AVERAGE(M83:M84)</f>
        <v>93555</v>
      </c>
      <c r="E86" s="705">
        <f t="shared" si="32"/>
        <v>2338</v>
      </c>
      <c r="F86" s="732">
        <f t="shared" ref="F86:F90" si="33">E86-VLOOKUP(A86,$D$5:$H$10,3,FALSE)</f>
        <v>2229</v>
      </c>
      <c r="G86" s="733">
        <f t="shared" ref="G86:G90" si="34">E86-VLOOKUP(A86,$D$5:$G$10,2,FALSE)</f>
        <v>2211</v>
      </c>
      <c r="H86" s="705">
        <f t="shared" ref="H86:H90" si="35">E86-VLOOKUP(A86,$D$5:$H$10,4,FALSE)</f>
        <v>2309</v>
      </c>
      <c r="I86" s="705">
        <f t="shared" ref="I86:I90" si="36">E86-VLOOKUP(A86,$D$5:$H$10,5,FALSE)</f>
        <v>2200</v>
      </c>
      <c r="J86" s="734"/>
      <c r="K86" s="613">
        <f t="shared" si="31"/>
        <v>4</v>
      </c>
      <c r="L86" s="614">
        <f>L85+0.1</f>
        <v>0.99999999999999989</v>
      </c>
      <c r="M86" s="705">
        <v>124740</v>
      </c>
    </row>
    <row r="87" spans="1:13" ht="15.75">
      <c r="A87" s="613" t="s">
        <v>324</v>
      </c>
      <c r="B87" s="618">
        <v>3</v>
      </c>
      <c r="C87" s="619">
        <v>0.9</v>
      </c>
      <c r="D87" s="731">
        <f>M85</f>
        <v>112266</v>
      </c>
      <c r="E87" s="705">
        <f t="shared" si="32"/>
        <v>2806</v>
      </c>
      <c r="F87" s="732">
        <f t="shared" si="33"/>
        <v>2662</v>
      </c>
      <c r="G87" s="733">
        <f t="shared" si="34"/>
        <v>2636</v>
      </c>
      <c r="H87" s="705">
        <f t="shared" si="35"/>
        <v>2773</v>
      </c>
      <c r="I87" s="705">
        <f t="shared" si="36"/>
        <v>2629</v>
      </c>
      <c r="J87" s="734"/>
      <c r="K87" s="613">
        <f t="shared" si="31"/>
        <v>5</v>
      </c>
      <c r="L87" s="614">
        <f>L86+0.08</f>
        <v>1.0799999999999998</v>
      </c>
      <c r="M87" s="705">
        <v>134750</v>
      </c>
    </row>
    <row r="88" spans="1:13" ht="15.75">
      <c r="A88" s="613" t="s">
        <v>326</v>
      </c>
      <c r="B88" s="618">
        <v>4.5</v>
      </c>
      <c r="C88" s="619">
        <v>1.04</v>
      </c>
      <c r="D88" s="731">
        <f>AVERAGE(M86:M87)</f>
        <v>129745</v>
      </c>
      <c r="E88" s="705">
        <f t="shared" si="32"/>
        <v>3243</v>
      </c>
      <c r="F88" s="732">
        <f t="shared" si="33"/>
        <v>3065</v>
      </c>
      <c r="G88" s="733">
        <f t="shared" si="34"/>
        <v>3031</v>
      </c>
      <c r="H88" s="705">
        <f t="shared" si="35"/>
        <v>3206</v>
      </c>
      <c r="I88" s="705">
        <f t="shared" si="36"/>
        <v>3028</v>
      </c>
      <c r="J88" s="734"/>
      <c r="K88" s="613">
        <f t="shared" si="31"/>
        <v>6</v>
      </c>
      <c r="L88" s="614">
        <f>L87+0.08</f>
        <v>1.1599999999999999</v>
      </c>
      <c r="M88" s="705">
        <v>144760</v>
      </c>
    </row>
    <row r="89" spans="1:13" ht="15.75">
      <c r="A89" s="613" t="s">
        <v>472</v>
      </c>
      <c r="B89" s="618">
        <v>6</v>
      </c>
      <c r="C89" s="619">
        <v>1.1599999999999999</v>
      </c>
      <c r="D89" s="731">
        <f>M88</f>
        <v>144760</v>
      </c>
      <c r="E89" s="705">
        <f t="shared" si="32"/>
        <v>3619</v>
      </c>
      <c r="F89" s="732">
        <f t="shared" si="33"/>
        <v>3406</v>
      </c>
      <c r="G89" s="733">
        <f t="shared" si="34"/>
        <v>3364</v>
      </c>
      <c r="H89" s="705">
        <f t="shared" si="35"/>
        <v>3578</v>
      </c>
      <c r="I89" s="705">
        <f t="shared" si="36"/>
        <v>3365</v>
      </c>
      <c r="J89" s="734"/>
      <c r="K89" s="613">
        <f>K90-1</f>
        <v>7</v>
      </c>
      <c r="L89" s="614">
        <f>L88+0.08</f>
        <v>1.24</v>
      </c>
      <c r="M89" s="705">
        <v>154693</v>
      </c>
    </row>
    <row r="90" spans="1:13" ht="15.75">
      <c r="A90" s="613" t="s">
        <v>473</v>
      </c>
      <c r="B90" s="618">
        <v>7.5</v>
      </c>
      <c r="C90" s="619">
        <f>1.28</f>
        <v>1.28</v>
      </c>
      <c r="D90" s="731">
        <f>AVERAGE(M89:M90)</f>
        <v>159698</v>
      </c>
      <c r="E90" s="705">
        <f t="shared" si="32"/>
        <v>3992</v>
      </c>
      <c r="F90" s="732">
        <f t="shared" si="33"/>
        <v>3744</v>
      </c>
      <c r="G90" s="733">
        <f t="shared" si="34"/>
        <v>3694</v>
      </c>
      <c r="H90" s="705">
        <f t="shared" si="35"/>
        <v>3947</v>
      </c>
      <c r="I90" s="705">
        <f t="shared" si="36"/>
        <v>3699</v>
      </c>
      <c r="J90" s="734"/>
      <c r="K90" s="613">
        <v>8</v>
      </c>
      <c r="L90" s="614">
        <f>L89+0.08</f>
        <v>1.32</v>
      </c>
      <c r="M90" s="705">
        <v>164703</v>
      </c>
    </row>
    <row r="92" spans="1:13" ht="15.75">
      <c r="A92" s="709">
        <v>0.9</v>
      </c>
      <c r="B92" s="713" t="s">
        <v>479</v>
      </c>
      <c r="C92" s="705">
        <f>IF($A$92=50%,CEILING(MROUND(MROUND($A$5*50%,50)*$A$92/50%,50)*L98,50),CEILING(MROUND($A$5*50%,50)*L98,50)*$A$92/50%)*0+M98</f>
        <v>145800</v>
      </c>
      <c r="D92" s="714" t="s">
        <v>470</v>
      </c>
      <c r="E92" s="702"/>
      <c r="F92" s="702"/>
      <c r="G92" s="702"/>
      <c r="H92" s="702"/>
      <c r="I92" s="702"/>
      <c r="J92" s="702"/>
      <c r="K92" s="702"/>
      <c r="L92" s="702"/>
    </row>
    <row r="93" spans="1:13">
      <c r="E93" s="715" t="s">
        <v>480</v>
      </c>
      <c r="F93" s="715" t="s">
        <v>480</v>
      </c>
      <c r="G93" s="715" t="s">
        <v>480</v>
      </c>
      <c r="H93" s="715" t="s">
        <v>480</v>
      </c>
      <c r="I93" s="715" t="s">
        <v>480</v>
      </c>
      <c r="K93" s="716"/>
      <c r="L93" s="717"/>
      <c r="M93" s="718" t="s">
        <v>147</v>
      </c>
    </row>
    <row r="94" spans="1:13" ht="15.75" customHeight="1">
      <c r="A94" s="719"/>
      <c r="B94" s="720"/>
      <c r="C94" s="720"/>
      <c r="D94" s="720"/>
      <c r="E94" s="884" t="s">
        <v>455</v>
      </c>
      <c r="F94" s="887" t="s">
        <v>481</v>
      </c>
      <c r="G94" s="887" t="s">
        <v>467</v>
      </c>
      <c r="H94" s="888" t="s">
        <v>482</v>
      </c>
      <c r="I94" s="891" t="s">
        <v>483</v>
      </c>
      <c r="J94" s="700"/>
      <c r="K94" s="721" t="s">
        <v>484</v>
      </c>
      <c r="L94" s="722" t="s">
        <v>485</v>
      </c>
      <c r="M94" s="723" t="s">
        <v>486</v>
      </c>
    </row>
    <row r="95" spans="1:13" ht="15.75">
      <c r="A95" s="724"/>
      <c r="B95" s="725"/>
      <c r="C95" s="725"/>
      <c r="D95" s="726" t="s">
        <v>147</v>
      </c>
      <c r="E95" s="885"/>
      <c r="F95" s="887"/>
      <c r="G95" s="887"/>
      <c r="H95" s="889"/>
      <c r="I95" s="892"/>
      <c r="J95" s="727"/>
      <c r="K95" s="613">
        <f t="shared" ref="K95:K100" si="37">K96-1</f>
        <v>1</v>
      </c>
      <c r="L95" s="614">
        <v>0.7</v>
      </c>
      <c r="M95" s="705">
        <v>102060</v>
      </c>
    </row>
    <row r="96" spans="1:13" ht="31.5" customHeight="1">
      <c r="A96" s="729"/>
      <c r="B96" s="615" t="s">
        <v>327</v>
      </c>
      <c r="C96" s="616" t="s">
        <v>328</v>
      </c>
      <c r="D96" s="730" t="s">
        <v>486</v>
      </c>
      <c r="E96" s="886"/>
      <c r="F96" s="887"/>
      <c r="G96" s="887"/>
      <c r="H96" s="890"/>
      <c r="I96" s="893"/>
      <c r="J96" s="617"/>
      <c r="K96" s="613">
        <f t="shared" si="37"/>
        <v>2</v>
      </c>
      <c r="L96" s="614">
        <f>L95+0.1</f>
        <v>0.79999999999999993</v>
      </c>
      <c r="M96" s="705">
        <v>116640</v>
      </c>
    </row>
    <row r="97" spans="1:13" ht="15.75">
      <c r="A97" s="613" t="s">
        <v>320</v>
      </c>
      <c r="B97" s="618">
        <v>1</v>
      </c>
      <c r="C97" s="619">
        <f>IF(AND(A92&lt;=60%,$A$14="New Construction/Special Needs"),0.6,(IF(AND(A92&lt;&gt;60%,$A$14="Preservation/Rehab"),0.7,(IF(AND(A92=60%,$A$14="Preservation/Rehab"),0.7,0.6)))))</f>
        <v>0.6</v>
      </c>
      <c r="D97" s="731">
        <f>IF($A$14="Preservation/Rehab",M95,CEILING(MROUND($A$5*50%,50)*C97,50)*$A$92/50%)</f>
        <v>87480</v>
      </c>
      <c r="E97" s="705">
        <f t="shared" ref="E97:E102" si="38">ROUNDDOWN(D97*$A$7/12,0)</f>
        <v>2187</v>
      </c>
      <c r="F97" s="732">
        <f>E97-VLOOKUP(A97,$D$5:$H$10,3,FALSE)</f>
        <v>2091</v>
      </c>
      <c r="G97" s="733">
        <f>E97-VLOOKUP(A97,$D$5:$G$10,2,FALSE)</f>
        <v>2076</v>
      </c>
      <c r="H97" s="705">
        <f>E97-VLOOKUP(A97,$D$5:$H$10,4,FALSE)</f>
        <v>2161</v>
      </c>
      <c r="I97" s="705">
        <f>E97-VLOOKUP(A97,$D$5:$H$10,5,FALSE)</f>
        <v>2065</v>
      </c>
      <c r="J97" s="734"/>
      <c r="K97" s="613">
        <f t="shared" si="37"/>
        <v>3</v>
      </c>
      <c r="L97" s="614">
        <f>L96+0.1</f>
        <v>0.89999999999999991</v>
      </c>
      <c r="M97" s="705">
        <v>131220</v>
      </c>
    </row>
    <row r="98" spans="1:13" ht="15.75">
      <c r="A98" s="613" t="s">
        <v>322</v>
      </c>
      <c r="B98" s="618">
        <v>1.5</v>
      </c>
      <c r="C98" s="619">
        <v>0.75</v>
      </c>
      <c r="D98" s="731">
        <f>AVERAGE(M95:M96)</f>
        <v>109350</v>
      </c>
      <c r="E98" s="705">
        <f t="shared" si="38"/>
        <v>2733</v>
      </c>
      <c r="F98" s="732">
        <f t="shared" ref="F98:F102" si="39">E98-VLOOKUP(A98,$D$5:$H$10,3,FALSE)</f>
        <v>2624</v>
      </c>
      <c r="G98" s="733">
        <f t="shared" ref="G98:G102" si="40">E98-VLOOKUP(A98,$D$5:$G$10,2,FALSE)</f>
        <v>2606</v>
      </c>
      <c r="H98" s="705">
        <f t="shared" ref="H98:H102" si="41">E98-VLOOKUP(A98,$D$5:$H$10,4,FALSE)</f>
        <v>2704</v>
      </c>
      <c r="I98" s="705">
        <f t="shared" ref="I98:I102" si="42">E98-VLOOKUP(A98,$D$5:$H$10,5,FALSE)</f>
        <v>2595</v>
      </c>
      <c r="J98" s="734"/>
      <c r="K98" s="613">
        <f t="shared" si="37"/>
        <v>4</v>
      </c>
      <c r="L98" s="614">
        <f>L97+0.1</f>
        <v>0.99999999999999989</v>
      </c>
      <c r="M98" s="705">
        <v>145800</v>
      </c>
    </row>
    <row r="99" spans="1:13" ht="15.75">
      <c r="A99" s="613" t="s">
        <v>324</v>
      </c>
      <c r="B99" s="618">
        <v>3</v>
      </c>
      <c r="C99" s="619">
        <v>0.9</v>
      </c>
      <c r="D99" s="731">
        <f>M97</f>
        <v>131220</v>
      </c>
      <c r="E99" s="705">
        <f t="shared" si="38"/>
        <v>3280</v>
      </c>
      <c r="F99" s="732">
        <f t="shared" si="39"/>
        <v>3136</v>
      </c>
      <c r="G99" s="733">
        <f t="shared" si="40"/>
        <v>3110</v>
      </c>
      <c r="H99" s="705">
        <f t="shared" si="41"/>
        <v>3247</v>
      </c>
      <c r="I99" s="705">
        <f t="shared" si="42"/>
        <v>3103</v>
      </c>
      <c r="J99" s="734"/>
      <c r="K99" s="613">
        <f t="shared" si="37"/>
        <v>5</v>
      </c>
      <c r="L99" s="614">
        <f>L98+0.08</f>
        <v>1.0799999999999998</v>
      </c>
      <c r="M99" s="705">
        <v>157500</v>
      </c>
    </row>
    <row r="100" spans="1:13" ht="15.75">
      <c r="A100" s="613" t="s">
        <v>326</v>
      </c>
      <c r="B100" s="618">
        <v>4.5</v>
      </c>
      <c r="C100" s="619">
        <v>1.04</v>
      </c>
      <c r="D100" s="731">
        <f>AVERAGE(M98:M99)</f>
        <v>151650</v>
      </c>
      <c r="E100" s="705">
        <f t="shared" si="38"/>
        <v>3791</v>
      </c>
      <c r="F100" s="732">
        <f t="shared" si="39"/>
        <v>3613</v>
      </c>
      <c r="G100" s="733">
        <f t="shared" si="40"/>
        <v>3579</v>
      </c>
      <c r="H100" s="705">
        <f t="shared" si="41"/>
        <v>3754</v>
      </c>
      <c r="I100" s="705">
        <f t="shared" si="42"/>
        <v>3576</v>
      </c>
      <c r="J100" s="734"/>
      <c r="K100" s="613">
        <f t="shared" si="37"/>
        <v>6</v>
      </c>
      <c r="L100" s="614">
        <f>L99+0.08</f>
        <v>1.1599999999999999</v>
      </c>
      <c r="M100" s="705">
        <v>169200</v>
      </c>
    </row>
    <row r="101" spans="1:13" ht="15.75">
      <c r="A101" s="613" t="s">
        <v>472</v>
      </c>
      <c r="B101" s="618">
        <v>6</v>
      </c>
      <c r="C101" s="619">
        <v>1.1599999999999999</v>
      </c>
      <c r="D101" s="731">
        <f>M100</f>
        <v>169200</v>
      </c>
      <c r="E101" s="705">
        <f t="shared" si="38"/>
        <v>4230</v>
      </c>
      <c r="F101" s="732">
        <f t="shared" si="39"/>
        <v>4017</v>
      </c>
      <c r="G101" s="733">
        <f t="shared" si="40"/>
        <v>3975</v>
      </c>
      <c r="H101" s="705">
        <f t="shared" si="41"/>
        <v>4189</v>
      </c>
      <c r="I101" s="705">
        <f t="shared" si="42"/>
        <v>3976</v>
      </c>
      <c r="J101" s="734"/>
      <c r="K101" s="613">
        <f>K102-1</f>
        <v>7</v>
      </c>
      <c r="L101" s="614">
        <f>L100+0.08</f>
        <v>1.24</v>
      </c>
      <c r="M101" s="705">
        <v>180810</v>
      </c>
    </row>
    <row r="102" spans="1:13" ht="15.75">
      <c r="A102" s="613" t="s">
        <v>473</v>
      </c>
      <c r="B102" s="618">
        <v>7.5</v>
      </c>
      <c r="C102" s="619">
        <f>1.28</f>
        <v>1.28</v>
      </c>
      <c r="D102" s="731">
        <f>AVERAGE(M101:M102)</f>
        <v>186660</v>
      </c>
      <c r="E102" s="705">
        <f t="shared" si="38"/>
        <v>4666</v>
      </c>
      <c r="F102" s="732">
        <f t="shared" si="39"/>
        <v>4418</v>
      </c>
      <c r="G102" s="733">
        <f t="shared" si="40"/>
        <v>4368</v>
      </c>
      <c r="H102" s="705">
        <f t="shared" si="41"/>
        <v>4621</v>
      </c>
      <c r="I102" s="705">
        <f t="shared" si="42"/>
        <v>4373</v>
      </c>
      <c r="J102" s="734"/>
      <c r="K102" s="613">
        <v>8</v>
      </c>
      <c r="L102" s="614">
        <f>L101+0.08</f>
        <v>1.32</v>
      </c>
      <c r="M102" s="705">
        <v>192510</v>
      </c>
    </row>
    <row r="104" spans="1:13" ht="15.75">
      <c r="A104" s="709">
        <v>1.1000000000000001</v>
      </c>
      <c r="B104" s="713" t="s">
        <v>479</v>
      </c>
      <c r="C104" s="705">
        <f>IF($A$104=50%,CEILING(MROUND(MROUND($A$5*50%,50)*$A$104/50%,50)*L110,50),CEILING(MROUND($A$5*50%,50)*L110,50)*$A$104/50%)*0+M110</f>
        <v>178200</v>
      </c>
      <c r="D104" s="714" t="s">
        <v>470</v>
      </c>
      <c r="E104" s="702"/>
      <c r="F104" s="702"/>
      <c r="G104" s="702"/>
      <c r="H104" s="702"/>
      <c r="I104" s="702"/>
      <c r="J104" s="702"/>
      <c r="K104" s="702"/>
      <c r="L104" s="702"/>
    </row>
    <row r="105" spans="1:13">
      <c r="E105" s="715" t="s">
        <v>480</v>
      </c>
      <c r="F105" s="715" t="s">
        <v>480</v>
      </c>
      <c r="G105" s="715" t="s">
        <v>480</v>
      </c>
      <c r="H105" s="715" t="s">
        <v>480</v>
      </c>
      <c r="I105" s="715" t="s">
        <v>480</v>
      </c>
      <c r="K105" s="716"/>
      <c r="L105" s="717"/>
      <c r="M105" s="718" t="s">
        <v>147</v>
      </c>
    </row>
    <row r="106" spans="1:13" ht="15.75" customHeight="1">
      <c r="A106" s="719"/>
      <c r="B106" s="720"/>
      <c r="C106" s="720"/>
      <c r="D106" s="720"/>
      <c r="E106" s="884" t="s">
        <v>455</v>
      </c>
      <c r="F106" s="887" t="s">
        <v>481</v>
      </c>
      <c r="G106" s="887" t="s">
        <v>467</v>
      </c>
      <c r="H106" s="888" t="s">
        <v>482</v>
      </c>
      <c r="I106" s="891" t="s">
        <v>483</v>
      </c>
      <c r="J106" s="700"/>
      <c r="K106" s="721" t="s">
        <v>484</v>
      </c>
      <c r="L106" s="722" t="s">
        <v>485</v>
      </c>
      <c r="M106" s="723" t="s">
        <v>486</v>
      </c>
    </row>
    <row r="107" spans="1:13" ht="15.75">
      <c r="A107" s="724"/>
      <c r="B107" s="725"/>
      <c r="C107" s="725"/>
      <c r="D107" s="726" t="s">
        <v>147</v>
      </c>
      <c r="E107" s="885"/>
      <c r="F107" s="887"/>
      <c r="G107" s="887"/>
      <c r="H107" s="889"/>
      <c r="I107" s="892"/>
      <c r="J107" s="727"/>
      <c r="K107" s="613">
        <f t="shared" ref="K107:K112" si="43">K108-1</f>
        <v>1</v>
      </c>
      <c r="L107" s="614">
        <v>0.7</v>
      </c>
      <c r="M107" s="705">
        <v>124740.00000000001</v>
      </c>
    </row>
    <row r="108" spans="1:13" ht="30" customHeight="1">
      <c r="A108" s="729"/>
      <c r="B108" s="615" t="s">
        <v>327</v>
      </c>
      <c r="C108" s="616" t="s">
        <v>328</v>
      </c>
      <c r="D108" s="730" t="s">
        <v>486</v>
      </c>
      <c r="E108" s="886"/>
      <c r="F108" s="887"/>
      <c r="G108" s="887"/>
      <c r="H108" s="890"/>
      <c r="I108" s="893"/>
      <c r="J108" s="617"/>
      <c r="K108" s="613">
        <f t="shared" si="43"/>
        <v>2</v>
      </c>
      <c r="L108" s="614">
        <f>L107+0.1</f>
        <v>0.79999999999999993</v>
      </c>
      <c r="M108" s="705">
        <v>142560</v>
      </c>
    </row>
    <row r="109" spans="1:13" ht="15.75">
      <c r="A109" s="613" t="s">
        <v>320</v>
      </c>
      <c r="B109" s="618">
        <v>1</v>
      </c>
      <c r="C109" s="619">
        <f>IF(AND(A104&lt;=60%,$A$14="New Construction/Special Needs"),0.6,(IF(AND(A104&lt;&gt;60%,$A$14="Preservation/Rehab"),0.7,(IF(AND(A104=60%,$A$14="Preservation/Rehab"),0.7,0.6)))))</f>
        <v>0.6</v>
      </c>
      <c r="D109" s="731">
        <f>IF($A$14="Preservation/Rehab",M107,CEILING(MROUND($A$5*50%,50)*C109,50)*$A$104/50%)</f>
        <v>106920.00000000001</v>
      </c>
      <c r="E109" s="705">
        <f t="shared" ref="E109:E114" si="44">ROUNDDOWN(D109*$A$7/12,0)</f>
        <v>2673</v>
      </c>
      <c r="F109" s="732">
        <f>E109-VLOOKUP(A109,$D$5:$H$10,3,FALSE)</f>
        <v>2577</v>
      </c>
      <c r="G109" s="733">
        <f>E109-VLOOKUP(A109,$D$5:$G$10,2,FALSE)</f>
        <v>2562</v>
      </c>
      <c r="H109" s="705">
        <f>E109-VLOOKUP(A109,$D$5:$H$10,4,FALSE)</f>
        <v>2647</v>
      </c>
      <c r="I109" s="705">
        <f>E109-VLOOKUP(A109,$D$5:$H$10,5,FALSE)</f>
        <v>2551</v>
      </c>
      <c r="J109" s="734"/>
      <c r="K109" s="613">
        <f t="shared" si="43"/>
        <v>3</v>
      </c>
      <c r="L109" s="614">
        <f>L108+0.1</f>
        <v>0.89999999999999991</v>
      </c>
      <c r="M109" s="705">
        <v>160380</v>
      </c>
    </row>
    <row r="110" spans="1:13" ht="15.75">
      <c r="A110" s="613" t="s">
        <v>322</v>
      </c>
      <c r="B110" s="618">
        <v>1.5</v>
      </c>
      <c r="C110" s="619">
        <v>0.75</v>
      </c>
      <c r="D110" s="731">
        <f>AVERAGE(M107:M108)</f>
        <v>133650</v>
      </c>
      <c r="E110" s="705">
        <f t="shared" si="44"/>
        <v>3341</v>
      </c>
      <c r="F110" s="732">
        <f t="shared" ref="F110:F114" si="45">E110-VLOOKUP(A110,$D$5:$H$10,3,FALSE)</f>
        <v>3232</v>
      </c>
      <c r="G110" s="733">
        <f t="shared" ref="G110:G114" si="46">E110-VLOOKUP(A110,$D$5:$G$10,2,FALSE)</f>
        <v>3214</v>
      </c>
      <c r="H110" s="705">
        <f t="shared" ref="H110:H114" si="47">E110-VLOOKUP(A110,$D$5:$H$10,4,FALSE)</f>
        <v>3312</v>
      </c>
      <c r="I110" s="705">
        <f t="shared" ref="I110:I114" si="48">E110-VLOOKUP(A110,$D$5:$H$10,5,FALSE)</f>
        <v>3203</v>
      </c>
      <c r="J110" s="734"/>
      <c r="K110" s="613">
        <f t="shared" si="43"/>
        <v>4</v>
      </c>
      <c r="L110" s="614">
        <f>L109+0.1</f>
        <v>0.99999999999999989</v>
      </c>
      <c r="M110" s="705">
        <v>178200</v>
      </c>
    </row>
    <row r="111" spans="1:13" ht="15.75">
      <c r="A111" s="613" t="s">
        <v>324</v>
      </c>
      <c r="B111" s="618">
        <v>3</v>
      </c>
      <c r="C111" s="619">
        <v>0.9</v>
      </c>
      <c r="D111" s="731">
        <f>M109</f>
        <v>160380</v>
      </c>
      <c r="E111" s="705">
        <f t="shared" si="44"/>
        <v>4009</v>
      </c>
      <c r="F111" s="732">
        <f t="shared" si="45"/>
        <v>3865</v>
      </c>
      <c r="G111" s="733">
        <f t="shared" si="46"/>
        <v>3839</v>
      </c>
      <c r="H111" s="705">
        <f t="shared" si="47"/>
        <v>3976</v>
      </c>
      <c r="I111" s="705">
        <f t="shared" si="48"/>
        <v>3832</v>
      </c>
      <c r="J111" s="734"/>
      <c r="K111" s="613">
        <f t="shared" si="43"/>
        <v>5</v>
      </c>
      <c r="L111" s="614">
        <f>L110+0.08</f>
        <v>1.0799999999999998</v>
      </c>
      <c r="M111" s="705">
        <v>192500.00000000003</v>
      </c>
    </row>
    <row r="112" spans="1:13" ht="15.75">
      <c r="A112" s="613" t="s">
        <v>326</v>
      </c>
      <c r="B112" s="618">
        <v>4.5</v>
      </c>
      <c r="C112" s="619">
        <v>1.04</v>
      </c>
      <c r="D112" s="731">
        <f>AVERAGE(M110:M111)</f>
        <v>185350</v>
      </c>
      <c r="E112" s="705">
        <f t="shared" si="44"/>
        <v>4633</v>
      </c>
      <c r="F112" s="732">
        <f t="shared" si="45"/>
        <v>4455</v>
      </c>
      <c r="G112" s="733">
        <f t="shared" si="46"/>
        <v>4421</v>
      </c>
      <c r="H112" s="705">
        <f t="shared" si="47"/>
        <v>4596</v>
      </c>
      <c r="I112" s="705">
        <f t="shared" si="48"/>
        <v>4418</v>
      </c>
      <c r="J112" s="734"/>
      <c r="K112" s="613">
        <f t="shared" si="43"/>
        <v>6</v>
      </c>
      <c r="L112" s="614">
        <f>L111+0.08</f>
        <v>1.1599999999999999</v>
      </c>
      <c r="M112" s="705">
        <v>206800.00000000003</v>
      </c>
    </row>
    <row r="113" spans="1:13" ht="15.75">
      <c r="A113" s="613" t="s">
        <v>472</v>
      </c>
      <c r="B113" s="618">
        <v>6</v>
      </c>
      <c r="C113" s="619">
        <v>1.1599999999999999</v>
      </c>
      <c r="D113" s="731">
        <f>M112</f>
        <v>206800.00000000003</v>
      </c>
      <c r="E113" s="705">
        <f t="shared" si="44"/>
        <v>5170</v>
      </c>
      <c r="F113" s="732">
        <f t="shared" si="45"/>
        <v>4957</v>
      </c>
      <c r="G113" s="733">
        <f t="shared" si="46"/>
        <v>4915</v>
      </c>
      <c r="H113" s="705">
        <f t="shared" si="47"/>
        <v>5129</v>
      </c>
      <c r="I113" s="705">
        <f t="shared" si="48"/>
        <v>4916</v>
      </c>
      <c r="J113" s="734"/>
      <c r="K113" s="613">
        <f>K114-1</f>
        <v>7</v>
      </c>
      <c r="L113" s="614">
        <f>L112+0.08</f>
        <v>1.24</v>
      </c>
      <c r="M113" s="705">
        <v>220990.00000000003</v>
      </c>
    </row>
    <row r="114" spans="1:13" ht="15.75">
      <c r="A114" s="613" t="s">
        <v>473</v>
      </c>
      <c r="B114" s="618">
        <v>7.5</v>
      </c>
      <c r="C114" s="619">
        <f>1.28</f>
        <v>1.28</v>
      </c>
      <c r="D114" s="731">
        <f>AVERAGE(M113:M114)</f>
        <v>228140.00000000003</v>
      </c>
      <c r="E114" s="705">
        <f t="shared" si="44"/>
        <v>5703</v>
      </c>
      <c r="F114" s="732">
        <f t="shared" si="45"/>
        <v>5455</v>
      </c>
      <c r="G114" s="733">
        <f t="shared" si="46"/>
        <v>5405</v>
      </c>
      <c r="H114" s="705">
        <f t="shared" si="47"/>
        <v>5658</v>
      </c>
      <c r="I114" s="705">
        <f t="shared" si="48"/>
        <v>5410</v>
      </c>
      <c r="J114" s="734"/>
      <c r="K114" s="613">
        <v>8</v>
      </c>
      <c r="L114" s="614">
        <f>L113+0.08</f>
        <v>1.32</v>
      </c>
      <c r="M114" s="705">
        <v>235290.00000000003</v>
      </c>
    </row>
  </sheetData>
  <mergeCells count="46">
    <mergeCell ref="A14:C14"/>
    <mergeCell ref="E3:E4"/>
    <mergeCell ref="F3:F4"/>
    <mergeCell ref="G3:G4"/>
    <mergeCell ref="H3:H4"/>
    <mergeCell ref="A13:C13"/>
    <mergeCell ref="E31:E33"/>
    <mergeCell ref="F31:F33"/>
    <mergeCell ref="G31:G33"/>
    <mergeCell ref="H31:H33"/>
    <mergeCell ref="I31:I33"/>
    <mergeCell ref="E19:E21"/>
    <mergeCell ref="F19:F21"/>
    <mergeCell ref="G19:G21"/>
    <mergeCell ref="H19:H21"/>
    <mergeCell ref="I19:I21"/>
    <mergeCell ref="E57:E59"/>
    <mergeCell ref="F57:F59"/>
    <mergeCell ref="G57:G59"/>
    <mergeCell ref="H57:H59"/>
    <mergeCell ref="I57:I59"/>
    <mergeCell ref="E44:E46"/>
    <mergeCell ref="F44:F46"/>
    <mergeCell ref="G44:G46"/>
    <mergeCell ref="H44:H46"/>
    <mergeCell ref="I44:I46"/>
    <mergeCell ref="E82:E84"/>
    <mergeCell ref="F82:F84"/>
    <mergeCell ref="G82:G84"/>
    <mergeCell ref="H82:H84"/>
    <mergeCell ref="I82:I84"/>
    <mergeCell ref="E70:E72"/>
    <mergeCell ref="F70:F72"/>
    <mergeCell ref="G70:G72"/>
    <mergeCell ref="H70:H72"/>
    <mergeCell ref="I70:I72"/>
    <mergeCell ref="E106:E108"/>
    <mergeCell ref="F106:F108"/>
    <mergeCell ref="G106:G108"/>
    <mergeCell ref="H106:H108"/>
    <mergeCell ref="I106:I108"/>
    <mergeCell ref="E94:E96"/>
    <mergeCell ref="F94:F96"/>
    <mergeCell ref="G94:G96"/>
    <mergeCell ref="H94:H96"/>
    <mergeCell ref="I94:I96"/>
  </mergeCells>
  <conditionalFormatting sqref="C22">
    <cfRule type="expression" dxfId="7" priority="8">
      <formula>C22&lt;0.7</formula>
    </cfRule>
  </conditionalFormatting>
  <conditionalFormatting sqref="C34">
    <cfRule type="expression" dxfId="6" priority="7">
      <formula>C34&lt;0.7</formula>
    </cfRule>
  </conditionalFormatting>
  <conditionalFormatting sqref="C47">
    <cfRule type="expression" dxfId="5" priority="6">
      <formula>C47&lt;0.7</formula>
    </cfRule>
  </conditionalFormatting>
  <conditionalFormatting sqref="C60">
    <cfRule type="expression" dxfId="4" priority="5">
      <formula>C60&lt;0.7</formula>
    </cfRule>
  </conditionalFormatting>
  <conditionalFormatting sqref="C73">
    <cfRule type="expression" dxfId="3" priority="4">
      <formula>C73&lt;0.7</formula>
    </cfRule>
  </conditionalFormatting>
  <conditionalFormatting sqref="C85">
    <cfRule type="expression" dxfId="2" priority="3">
      <formula>C85&lt;0.7</formula>
    </cfRule>
  </conditionalFormatting>
  <conditionalFormatting sqref="C97">
    <cfRule type="expression" dxfId="1" priority="2">
      <formula>C97&lt;0.7</formula>
    </cfRule>
  </conditionalFormatting>
  <conditionalFormatting sqref="C109">
    <cfRule type="expression" dxfId="0" priority="1">
      <formula>C109&lt;0.7</formula>
    </cfRule>
  </conditionalFormatting>
  <dataValidations count="1">
    <dataValidation type="list" allowBlank="1" showInputMessage="1" showErrorMessage="1" sqref="A14" xr:uid="{A4DFCBF8-4D22-492B-9BEB-DB8B1D390F1A}">
      <formula1>ProjectType</formula1>
    </dataValidation>
  </dataValidations>
  <pageMargins left="0.5" right="0.5" top="0.5" bottom="0.5" header="0.5" footer="0.5"/>
  <pageSetup paperSize="5" scale="49" orientation="portrait" r:id="rId1"/>
  <headerFooter alignWithMargins="0"/>
  <colBreaks count="1" manualBreakCount="1">
    <brk id="12" max="31"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D21F1-7A31-49FB-90B1-F7D2464B0D61}">
  <dimension ref="A2"/>
  <sheetViews>
    <sheetView workbookViewId="0"/>
  </sheetViews>
  <sheetFormatPr defaultColWidth="8.88671875" defaultRowHeight="15"/>
  <cols>
    <col min="1" max="16384" width="8.88671875" style="611"/>
  </cols>
  <sheetData>
    <row r="2" spans="1:1">
      <c r="A2" s="611" t="s">
        <v>551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V54"/>
  <sheetViews>
    <sheetView workbookViewId="0"/>
  </sheetViews>
  <sheetFormatPr defaultColWidth="7.109375" defaultRowHeight="12.75"/>
  <cols>
    <col min="1" max="1" width="17.5546875" style="332" customWidth="1"/>
    <col min="2" max="2" width="14.77734375" style="332" customWidth="1"/>
    <col min="3" max="3" width="13.5546875" style="332" customWidth="1"/>
    <col min="4" max="4" width="1.21875" style="332" customWidth="1"/>
    <col min="5" max="5" width="13.6640625" style="332" customWidth="1"/>
    <col min="6" max="6" width="1.21875" style="332" customWidth="1"/>
    <col min="7" max="7" width="13.88671875" style="332" customWidth="1"/>
    <col min="8" max="8" width="1.21875" style="332" customWidth="1"/>
    <col min="9" max="9" width="10.33203125" style="332" customWidth="1"/>
    <col min="10" max="16384" width="7.109375" style="332"/>
  </cols>
  <sheetData>
    <row r="1" spans="1:256" s="334" customFormat="1">
      <c r="A1" s="334" t="str">
        <f>'Sources and Use'!A1</f>
        <v xml:space="preserve">Project Name: </v>
      </c>
      <c r="G1" s="375" t="str">
        <f>'Sources and Use'!C3</f>
        <v>Units:</v>
      </c>
      <c r="I1" s="334">
        <f>'Units &amp; Income'!C24</f>
        <v>0</v>
      </c>
      <c r="BQ1" s="334" t="s">
        <v>237</v>
      </c>
      <c r="BR1" s="334" t="s">
        <v>237</v>
      </c>
      <c r="BS1" s="334" t="s">
        <v>237</v>
      </c>
      <c r="BT1" s="334" t="s">
        <v>237</v>
      </c>
      <c r="BU1" s="334" t="s">
        <v>237</v>
      </c>
      <c r="BV1" s="334" t="s">
        <v>237</v>
      </c>
      <c r="BW1" s="334" t="s">
        <v>237</v>
      </c>
      <c r="BX1" s="334" t="s">
        <v>237</v>
      </c>
      <c r="BY1" s="334" t="s">
        <v>237</v>
      </c>
      <c r="BZ1" s="334" t="s">
        <v>237</v>
      </c>
      <c r="CA1" s="334" t="s">
        <v>237</v>
      </c>
      <c r="CB1" s="334" t="s">
        <v>237</v>
      </c>
      <c r="CC1" s="334" t="s">
        <v>237</v>
      </c>
      <c r="CD1" s="334" t="s">
        <v>237</v>
      </c>
      <c r="CE1" s="334" t="s">
        <v>237</v>
      </c>
      <c r="CF1" s="334" t="s">
        <v>237</v>
      </c>
      <c r="CG1" s="334" t="s">
        <v>237</v>
      </c>
      <c r="CH1" s="334" t="s">
        <v>237</v>
      </c>
      <c r="CI1" s="334" t="s">
        <v>237</v>
      </c>
      <c r="CJ1" s="334" t="s">
        <v>237</v>
      </c>
      <c r="CK1" s="334" t="s">
        <v>237</v>
      </c>
      <c r="CL1" s="334" t="s">
        <v>237</v>
      </c>
      <c r="CM1" s="334" t="s">
        <v>237</v>
      </c>
      <c r="CN1" s="334" t="s">
        <v>237</v>
      </c>
      <c r="CO1" s="334" t="s">
        <v>237</v>
      </c>
      <c r="CP1" s="334" t="s">
        <v>237</v>
      </c>
      <c r="CQ1" s="334" t="s">
        <v>237</v>
      </c>
      <c r="CR1" s="334" t="s">
        <v>237</v>
      </c>
      <c r="CS1" s="334" t="s">
        <v>237</v>
      </c>
      <c r="CT1" s="334" t="s">
        <v>237</v>
      </c>
      <c r="CU1" s="334" t="s">
        <v>237</v>
      </c>
      <c r="CV1" s="334" t="s">
        <v>237</v>
      </c>
      <c r="CW1" s="334" t="s">
        <v>237</v>
      </c>
      <c r="CX1" s="334" t="s">
        <v>237</v>
      </c>
      <c r="CY1" s="334" t="s">
        <v>237</v>
      </c>
      <c r="CZ1" s="334" t="s">
        <v>237</v>
      </c>
      <c r="DA1" s="334" t="s">
        <v>237</v>
      </c>
      <c r="DB1" s="334" t="s">
        <v>237</v>
      </c>
      <c r="DC1" s="334" t="s">
        <v>237</v>
      </c>
      <c r="DD1" s="334" t="s">
        <v>237</v>
      </c>
      <c r="DE1" s="334" t="s">
        <v>237</v>
      </c>
      <c r="DF1" s="334" t="s">
        <v>237</v>
      </c>
      <c r="DG1" s="334" t="s">
        <v>237</v>
      </c>
      <c r="DH1" s="334" t="s">
        <v>237</v>
      </c>
      <c r="DI1" s="334" t="s">
        <v>237</v>
      </c>
      <c r="DJ1" s="334" t="s">
        <v>237</v>
      </c>
      <c r="DK1" s="334" t="s">
        <v>237</v>
      </c>
      <c r="DL1" s="334" t="s">
        <v>237</v>
      </c>
      <c r="DM1" s="334" t="s">
        <v>237</v>
      </c>
      <c r="DN1" s="334" t="s">
        <v>237</v>
      </c>
      <c r="DO1" s="334" t="s">
        <v>237</v>
      </c>
      <c r="DP1" s="334" t="s">
        <v>237</v>
      </c>
      <c r="DQ1" s="334" t="s">
        <v>237</v>
      </c>
      <c r="DR1" s="334" t="s">
        <v>237</v>
      </c>
      <c r="DS1" s="334" t="s">
        <v>237</v>
      </c>
      <c r="DT1" s="334" t="s">
        <v>237</v>
      </c>
      <c r="DU1" s="334" t="s">
        <v>237</v>
      </c>
      <c r="DV1" s="334" t="s">
        <v>237</v>
      </c>
      <c r="DW1" s="334" t="s">
        <v>237</v>
      </c>
      <c r="DX1" s="334" t="s">
        <v>237</v>
      </c>
      <c r="DY1" s="334" t="s">
        <v>237</v>
      </c>
      <c r="DZ1" s="334" t="s">
        <v>237</v>
      </c>
      <c r="EA1" s="334" t="s">
        <v>237</v>
      </c>
      <c r="EB1" s="334" t="s">
        <v>237</v>
      </c>
      <c r="EC1" s="334" t="s">
        <v>237</v>
      </c>
      <c r="ED1" s="334" t="s">
        <v>237</v>
      </c>
      <c r="EE1" s="334" t="s">
        <v>237</v>
      </c>
      <c r="EF1" s="334" t="s">
        <v>237</v>
      </c>
      <c r="EG1" s="334" t="s">
        <v>237</v>
      </c>
      <c r="EH1" s="334" t="s">
        <v>237</v>
      </c>
      <c r="EI1" s="334" t="s">
        <v>237</v>
      </c>
      <c r="EJ1" s="334" t="s">
        <v>237</v>
      </c>
      <c r="EK1" s="334" t="s">
        <v>237</v>
      </c>
      <c r="EL1" s="334" t="s">
        <v>237</v>
      </c>
      <c r="EM1" s="334" t="s">
        <v>237</v>
      </c>
      <c r="EN1" s="334" t="s">
        <v>237</v>
      </c>
      <c r="EO1" s="334" t="s">
        <v>237</v>
      </c>
      <c r="EP1" s="334" t="s">
        <v>237</v>
      </c>
      <c r="EQ1" s="334" t="s">
        <v>237</v>
      </c>
      <c r="ER1" s="334" t="s">
        <v>237</v>
      </c>
      <c r="ES1" s="334" t="s">
        <v>237</v>
      </c>
      <c r="ET1" s="334" t="s">
        <v>237</v>
      </c>
      <c r="EU1" s="334" t="s">
        <v>237</v>
      </c>
      <c r="EV1" s="334" t="s">
        <v>237</v>
      </c>
      <c r="EW1" s="334" t="s">
        <v>237</v>
      </c>
      <c r="EX1" s="334" t="s">
        <v>237</v>
      </c>
      <c r="EY1" s="334" t="s">
        <v>237</v>
      </c>
      <c r="EZ1" s="334" t="s">
        <v>237</v>
      </c>
      <c r="FA1" s="334" t="s">
        <v>237</v>
      </c>
      <c r="FB1" s="334" t="s">
        <v>237</v>
      </c>
      <c r="FC1" s="334" t="s">
        <v>237</v>
      </c>
      <c r="FD1" s="334" t="s">
        <v>237</v>
      </c>
      <c r="FE1" s="334" t="s">
        <v>237</v>
      </c>
      <c r="FF1" s="334" t="s">
        <v>237</v>
      </c>
      <c r="FG1" s="334" t="s">
        <v>237</v>
      </c>
      <c r="FH1" s="334" t="s">
        <v>237</v>
      </c>
      <c r="FI1" s="334" t="s">
        <v>237</v>
      </c>
      <c r="FJ1" s="334" t="s">
        <v>237</v>
      </c>
      <c r="FK1" s="334" t="s">
        <v>237</v>
      </c>
      <c r="FL1" s="334" t="s">
        <v>237</v>
      </c>
      <c r="FM1" s="334" t="s">
        <v>237</v>
      </c>
      <c r="FN1" s="334" t="s">
        <v>237</v>
      </c>
      <c r="FO1" s="334" t="s">
        <v>237</v>
      </c>
      <c r="FP1" s="334" t="s">
        <v>237</v>
      </c>
      <c r="FQ1" s="334" t="s">
        <v>237</v>
      </c>
      <c r="FR1" s="334" t="s">
        <v>237</v>
      </c>
      <c r="FS1" s="334" t="s">
        <v>237</v>
      </c>
      <c r="FT1" s="334" t="s">
        <v>237</v>
      </c>
      <c r="FU1" s="334" t="s">
        <v>237</v>
      </c>
      <c r="FV1" s="334" t="s">
        <v>237</v>
      </c>
      <c r="FW1" s="334" t="s">
        <v>237</v>
      </c>
      <c r="FX1" s="334" t="s">
        <v>237</v>
      </c>
      <c r="FY1" s="334" t="s">
        <v>237</v>
      </c>
      <c r="FZ1" s="334" t="s">
        <v>237</v>
      </c>
      <c r="GA1" s="334" t="s">
        <v>237</v>
      </c>
      <c r="GB1" s="334" t="s">
        <v>237</v>
      </c>
      <c r="GC1" s="334" t="s">
        <v>237</v>
      </c>
      <c r="GD1" s="334" t="s">
        <v>237</v>
      </c>
      <c r="GE1" s="334" t="s">
        <v>237</v>
      </c>
      <c r="GF1" s="334" t="s">
        <v>237</v>
      </c>
      <c r="GG1" s="334" t="s">
        <v>237</v>
      </c>
      <c r="GH1" s="334" t="s">
        <v>237</v>
      </c>
      <c r="GI1" s="334" t="s">
        <v>237</v>
      </c>
      <c r="GJ1" s="334" t="s">
        <v>237</v>
      </c>
      <c r="GK1" s="334" t="s">
        <v>237</v>
      </c>
      <c r="GL1" s="334" t="s">
        <v>237</v>
      </c>
      <c r="GM1" s="334" t="s">
        <v>237</v>
      </c>
      <c r="GN1" s="334" t="s">
        <v>237</v>
      </c>
      <c r="GO1" s="334" t="s">
        <v>237</v>
      </c>
      <c r="GP1" s="334" t="s">
        <v>237</v>
      </c>
      <c r="GQ1" s="334" t="s">
        <v>237</v>
      </c>
      <c r="GR1" s="334" t="s">
        <v>237</v>
      </c>
      <c r="GS1" s="334" t="s">
        <v>237</v>
      </c>
      <c r="GT1" s="334" t="s">
        <v>237</v>
      </c>
      <c r="GU1" s="334" t="s">
        <v>237</v>
      </c>
      <c r="GV1" s="334" t="s">
        <v>237</v>
      </c>
      <c r="GW1" s="334" t="s">
        <v>237</v>
      </c>
      <c r="GX1" s="334" t="s">
        <v>237</v>
      </c>
      <c r="GY1" s="334" t="s">
        <v>237</v>
      </c>
      <c r="GZ1" s="334" t="s">
        <v>237</v>
      </c>
      <c r="HA1" s="334" t="s">
        <v>237</v>
      </c>
      <c r="HB1" s="334" t="s">
        <v>237</v>
      </c>
      <c r="HC1" s="334" t="s">
        <v>237</v>
      </c>
      <c r="HD1" s="334" t="s">
        <v>237</v>
      </c>
      <c r="HE1" s="334" t="s">
        <v>237</v>
      </c>
      <c r="HF1" s="334" t="s">
        <v>237</v>
      </c>
      <c r="HG1" s="334" t="s">
        <v>237</v>
      </c>
      <c r="HH1" s="334" t="s">
        <v>237</v>
      </c>
      <c r="HI1" s="334" t="s">
        <v>237</v>
      </c>
      <c r="HJ1" s="334" t="s">
        <v>237</v>
      </c>
      <c r="HK1" s="334" t="s">
        <v>237</v>
      </c>
      <c r="HL1" s="334" t="s">
        <v>237</v>
      </c>
      <c r="HM1" s="334" t="s">
        <v>237</v>
      </c>
      <c r="HN1" s="334" t="s">
        <v>237</v>
      </c>
      <c r="HO1" s="334" t="s">
        <v>237</v>
      </c>
      <c r="HP1" s="334" t="s">
        <v>237</v>
      </c>
      <c r="HQ1" s="334" t="s">
        <v>237</v>
      </c>
      <c r="HR1" s="334" t="s">
        <v>237</v>
      </c>
      <c r="HS1" s="334" t="s">
        <v>237</v>
      </c>
      <c r="HT1" s="334" t="s">
        <v>237</v>
      </c>
      <c r="HU1" s="334" t="s">
        <v>237</v>
      </c>
      <c r="HV1" s="334" t="s">
        <v>237</v>
      </c>
      <c r="HW1" s="334" t="s">
        <v>237</v>
      </c>
      <c r="HX1" s="334" t="s">
        <v>237</v>
      </c>
      <c r="HY1" s="334" t="s">
        <v>237</v>
      </c>
      <c r="HZ1" s="334" t="s">
        <v>237</v>
      </c>
      <c r="IA1" s="334" t="s">
        <v>237</v>
      </c>
      <c r="IB1" s="334" t="s">
        <v>237</v>
      </c>
      <c r="IC1" s="334" t="s">
        <v>237</v>
      </c>
      <c r="ID1" s="334" t="s">
        <v>237</v>
      </c>
      <c r="IE1" s="334" t="s">
        <v>237</v>
      </c>
      <c r="IF1" s="334" t="s">
        <v>237</v>
      </c>
      <c r="IG1" s="334" t="s">
        <v>237</v>
      </c>
      <c r="IH1" s="334" t="s">
        <v>237</v>
      </c>
      <c r="II1" s="334" t="s">
        <v>237</v>
      </c>
      <c r="IJ1" s="334" t="s">
        <v>237</v>
      </c>
      <c r="IK1" s="334" t="s">
        <v>237</v>
      </c>
      <c r="IL1" s="334" t="s">
        <v>237</v>
      </c>
      <c r="IM1" s="334" t="s">
        <v>237</v>
      </c>
      <c r="IN1" s="334" t="s">
        <v>237</v>
      </c>
      <c r="IO1" s="334" t="s">
        <v>237</v>
      </c>
      <c r="IP1" s="334" t="s">
        <v>237</v>
      </c>
      <c r="IQ1" s="334" t="s">
        <v>237</v>
      </c>
      <c r="IR1" s="334" t="s">
        <v>237</v>
      </c>
      <c r="IS1" s="334" t="s">
        <v>237</v>
      </c>
      <c r="IT1" s="334" t="s">
        <v>237</v>
      </c>
      <c r="IU1" s="334" t="s">
        <v>237</v>
      </c>
      <c r="IV1" s="334" t="s">
        <v>237</v>
      </c>
    </row>
    <row r="2" spans="1:256" s="376" customFormat="1" ht="20.25" customHeight="1">
      <c r="A2" s="334" t="str">
        <f>'Sources and Use'!A3</f>
        <v>Site:</v>
      </c>
      <c r="B2" s="374"/>
      <c r="C2" s="334"/>
      <c r="D2" s="334"/>
      <c r="E2" s="334"/>
      <c r="F2" s="334"/>
      <c r="G2" s="334"/>
      <c r="H2" s="334"/>
      <c r="I2" s="334"/>
    </row>
    <row r="3" spans="1:256" ht="36.75" customHeight="1">
      <c r="A3" s="882" t="s">
        <v>304</v>
      </c>
      <c r="B3" s="882"/>
      <c r="C3" s="883"/>
      <c r="D3" s="883"/>
      <c r="E3" s="883"/>
      <c r="F3" s="883"/>
      <c r="G3" s="883"/>
      <c r="H3" s="883"/>
      <c r="I3" s="883"/>
    </row>
    <row r="4" spans="1:256" ht="7.5" customHeight="1">
      <c r="A4" s="343"/>
      <c r="B4" s="343"/>
      <c r="C4" s="344"/>
      <c r="D4" s="344"/>
      <c r="E4" s="344"/>
      <c r="F4" s="344"/>
      <c r="G4" s="344"/>
      <c r="H4" s="344"/>
      <c r="I4" s="344"/>
    </row>
    <row r="5" spans="1:256" ht="20.25" customHeight="1">
      <c r="C5" s="345" t="s">
        <v>278</v>
      </c>
      <c r="D5" s="345"/>
      <c r="E5" s="345" t="s">
        <v>279</v>
      </c>
      <c r="F5" s="345"/>
      <c r="G5" s="345" t="s">
        <v>280</v>
      </c>
      <c r="H5" s="346"/>
      <c r="I5" s="347" t="s">
        <v>281</v>
      </c>
    </row>
    <row r="6" spans="1:256" ht="18" customHeight="1">
      <c r="A6" s="348" t="s">
        <v>282</v>
      </c>
      <c r="B6" s="349"/>
      <c r="C6" s="350" t="s">
        <v>283</v>
      </c>
      <c r="D6" s="339"/>
      <c r="E6" s="350" t="s">
        <v>283</v>
      </c>
      <c r="F6" s="339"/>
      <c r="G6" s="350" t="s">
        <v>283</v>
      </c>
      <c r="H6" s="339"/>
      <c r="I6" s="351" t="s">
        <v>284</v>
      </c>
    </row>
    <row r="7" spans="1:256" ht="18" customHeight="1">
      <c r="A7" s="901" t="s">
        <v>285</v>
      </c>
      <c r="B7" s="901"/>
      <c r="C7" s="352"/>
      <c r="D7" s="331"/>
      <c r="E7" s="352"/>
      <c r="F7" s="331"/>
      <c r="G7" s="352"/>
      <c r="H7" s="331"/>
      <c r="I7" s="353">
        <f>SUM(C7:G7)</f>
        <v>0</v>
      </c>
    </row>
    <row r="8" spans="1:256" ht="18" customHeight="1">
      <c r="A8" s="901" t="s">
        <v>170</v>
      </c>
      <c r="B8" s="901"/>
      <c r="C8" s="352"/>
      <c r="D8" s="331"/>
      <c r="E8" s="352"/>
      <c r="F8" s="331"/>
      <c r="G8" s="352"/>
      <c r="H8" s="331"/>
      <c r="I8" s="353">
        <f>SUM(C8:G8)</f>
        <v>0</v>
      </c>
    </row>
    <row r="9" spans="1:256" ht="18" customHeight="1">
      <c r="A9" s="901" t="s">
        <v>286</v>
      </c>
      <c r="B9" s="901"/>
      <c r="C9" s="352"/>
      <c r="D9" s="331"/>
      <c r="E9" s="352"/>
      <c r="F9" s="331"/>
      <c r="G9" s="352"/>
      <c r="H9" s="331"/>
      <c r="I9" s="353">
        <f>SUM(C9:G9)</f>
        <v>0</v>
      </c>
    </row>
    <row r="10" spans="1:256" ht="18" customHeight="1">
      <c r="A10" s="901" t="s">
        <v>287</v>
      </c>
      <c r="B10" s="901"/>
      <c r="C10" s="352"/>
      <c r="D10" s="331"/>
      <c r="E10" s="352"/>
      <c r="F10" s="331"/>
      <c r="G10" s="352"/>
      <c r="H10" s="331"/>
      <c r="I10" s="353">
        <f>SUM(C10:G10)</f>
        <v>0</v>
      </c>
    </row>
    <row r="11" spans="1:256" ht="20.25" customHeight="1">
      <c r="A11" s="332" t="s">
        <v>282</v>
      </c>
      <c r="C11" s="354">
        <f>SUM(C7:C10)</f>
        <v>0</v>
      </c>
      <c r="D11" s="355"/>
      <c r="E11" s="354">
        <f>SUM(E7:E10)</f>
        <v>0</v>
      </c>
      <c r="F11" s="355"/>
      <c r="G11" s="354">
        <f>SUM(G7:G10)</f>
        <v>0</v>
      </c>
      <c r="H11" s="355"/>
      <c r="I11" s="354">
        <f>SUM(I7:I10)</f>
        <v>0</v>
      </c>
    </row>
    <row r="12" spans="1:256" ht="16.5" customHeight="1">
      <c r="C12" s="331"/>
      <c r="D12" s="331"/>
      <c r="E12" s="331"/>
      <c r="F12" s="331"/>
      <c r="G12" s="331"/>
      <c r="H12" s="331"/>
      <c r="I12" s="355"/>
    </row>
    <row r="13" spans="1:256">
      <c r="A13" s="900" t="s">
        <v>288</v>
      </c>
      <c r="B13" s="900"/>
      <c r="C13" s="331"/>
      <c r="D13" s="331"/>
      <c r="E13" s="331"/>
      <c r="F13" s="331"/>
      <c r="G13" s="331"/>
      <c r="H13" s="331"/>
      <c r="I13" s="355"/>
    </row>
    <row r="14" spans="1:256" ht="18" customHeight="1">
      <c r="A14" s="334" t="s">
        <v>289</v>
      </c>
      <c r="B14" s="335" t="s">
        <v>290</v>
      </c>
      <c r="C14" s="356"/>
      <c r="D14" s="331"/>
      <c r="E14" s="356"/>
      <c r="F14" s="331"/>
      <c r="G14" s="356"/>
      <c r="H14" s="331"/>
      <c r="I14" s="355"/>
    </row>
    <row r="15" spans="1:256" ht="18" customHeight="1">
      <c r="A15" s="357" t="s">
        <v>291</v>
      </c>
      <c r="B15" s="358"/>
      <c r="C15" s="359"/>
      <c r="D15" s="331"/>
      <c r="E15" s="359"/>
      <c r="F15" s="331"/>
      <c r="G15" s="359"/>
      <c r="H15" s="331"/>
      <c r="I15" s="353">
        <f>SUM(C15:G15)</f>
        <v>0</v>
      </c>
    </row>
    <row r="16" spans="1:256" ht="18" customHeight="1">
      <c r="A16" s="357" t="s">
        <v>292</v>
      </c>
      <c r="B16" s="358"/>
      <c r="C16" s="352"/>
      <c r="D16" s="331"/>
      <c r="E16" s="352"/>
      <c r="F16" s="331"/>
      <c r="G16" s="352"/>
      <c r="H16" s="331"/>
      <c r="I16" s="353">
        <f>SUM(C16:G16)</f>
        <v>0</v>
      </c>
    </row>
    <row r="17" spans="1:9" ht="18" customHeight="1">
      <c r="A17" s="357" t="s">
        <v>292</v>
      </c>
      <c r="B17" s="358"/>
      <c r="C17" s="352"/>
      <c r="D17" s="331"/>
      <c r="E17" s="352"/>
      <c r="F17" s="331"/>
      <c r="G17" s="352"/>
      <c r="H17" s="331"/>
      <c r="I17" s="353">
        <f>SUM(C17:G17)</f>
        <v>0</v>
      </c>
    </row>
    <row r="18" spans="1:9" ht="18" customHeight="1">
      <c r="A18" s="357" t="s">
        <v>292</v>
      </c>
      <c r="B18" s="358"/>
      <c r="C18" s="352"/>
      <c r="D18" s="331"/>
      <c r="E18" s="352"/>
      <c r="F18" s="331"/>
      <c r="G18" s="352"/>
      <c r="H18" s="331"/>
      <c r="I18" s="353">
        <f>SUM(C18:G18)</f>
        <v>0</v>
      </c>
    </row>
    <row r="19" spans="1:9" ht="18" customHeight="1">
      <c r="A19" s="357" t="s">
        <v>292</v>
      </c>
      <c r="B19" s="358"/>
      <c r="C19" s="352"/>
      <c r="D19" s="331"/>
      <c r="E19" s="352"/>
      <c r="F19" s="331"/>
      <c r="G19" s="352"/>
      <c r="H19" s="331"/>
      <c r="I19" s="353">
        <f>SUM(C19:G19)</f>
        <v>0</v>
      </c>
    </row>
    <row r="20" spans="1:9" ht="18" customHeight="1">
      <c r="A20" s="899" t="s">
        <v>293</v>
      </c>
      <c r="B20" s="899"/>
      <c r="C20" s="354">
        <f>SUM(C15:C19)</f>
        <v>0</v>
      </c>
      <c r="D20" s="354"/>
      <c r="E20" s="354">
        <f>SUM(E15:E19)</f>
        <v>0</v>
      </c>
      <c r="F20" s="354"/>
      <c r="G20" s="354">
        <f>SUM(G15:G19)</f>
        <v>0</v>
      </c>
      <c r="H20" s="354"/>
      <c r="I20" s="354">
        <f>SUM(I15:I19)</f>
        <v>0</v>
      </c>
    </row>
    <row r="21" spans="1:9" ht="18" customHeight="1">
      <c r="A21" s="899"/>
      <c r="B21" s="899"/>
    </row>
    <row r="22" spans="1:9" ht="18" customHeight="1">
      <c r="A22" s="334" t="s">
        <v>294</v>
      </c>
      <c r="B22" s="335" t="s">
        <v>290</v>
      </c>
    </row>
    <row r="23" spans="1:9" ht="18" customHeight="1">
      <c r="A23" s="357" t="s">
        <v>295</v>
      </c>
      <c r="B23" s="358"/>
      <c r="C23" s="359"/>
      <c r="D23" s="331"/>
      <c r="E23" s="359"/>
      <c r="F23" s="331"/>
      <c r="G23" s="359"/>
      <c r="I23" s="353">
        <f t="shared" ref="I23:I28" si="0">SUM(C23:G23)</f>
        <v>0</v>
      </c>
    </row>
    <row r="24" spans="1:9" ht="18" customHeight="1">
      <c r="A24" s="357" t="s">
        <v>296</v>
      </c>
      <c r="B24" s="358"/>
      <c r="C24" s="359"/>
      <c r="D24" s="331"/>
      <c r="E24" s="359"/>
      <c r="F24" s="331"/>
      <c r="G24" s="359"/>
      <c r="H24" s="331"/>
      <c r="I24" s="353">
        <f t="shared" si="0"/>
        <v>0</v>
      </c>
    </row>
    <row r="25" spans="1:9" ht="18" customHeight="1">
      <c r="A25" s="357" t="s">
        <v>296</v>
      </c>
      <c r="B25" s="358"/>
      <c r="C25" s="359"/>
      <c r="D25" s="331"/>
      <c r="E25" s="359"/>
      <c r="F25" s="331"/>
      <c r="G25" s="359"/>
      <c r="H25" s="331"/>
      <c r="I25" s="353">
        <f t="shared" si="0"/>
        <v>0</v>
      </c>
    </row>
    <row r="26" spans="1:9" ht="18" customHeight="1">
      <c r="A26" s="357" t="s">
        <v>292</v>
      </c>
      <c r="B26" s="358"/>
      <c r="C26" s="359"/>
      <c r="D26" s="331"/>
      <c r="E26" s="359"/>
      <c r="F26" s="331"/>
      <c r="G26" s="359"/>
      <c r="H26" s="331"/>
      <c r="I26" s="353">
        <f t="shared" si="0"/>
        <v>0</v>
      </c>
    </row>
    <row r="27" spans="1:9" ht="18" customHeight="1">
      <c r="A27" s="357" t="s">
        <v>292</v>
      </c>
      <c r="B27" s="358"/>
      <c r="C27" s="359"/>
      <c r="D27" s="331"/>
      <c r="E27" s="359"/>
      <c r="F27" s="331"/>
      <c r="G27" s="359"/>
      <c r="H27" s="331"/>
      <c r="I27" s="353">
        <f t="shared" si="0"/>
        <v>0</v>
      </c>
    </row>
    <row r="28" spans="1:9" ht="18" customHeight="1">
      <c r="A28" s="899" t="s">
        <v>297</v>
      </c>
      <c r="B28" s="899"/>
      <c r="C28" s="354">
        <f>SUM(C23:C27)</f>
        <v>0</v>
      </c>
      <c r="D28" s="354"/>
      <c r="E28" s="354">
        <f>SUM(E23:E27)</f>
        <v>0</v>
      </c>
      <c r="F28" s="354"/>
      <c r="G28" s="354">
        <f>SUM(G23:G27)</f>
        <v>0</v>
      </c>
      <c r="H28" s="331"/>
      <c r="I28" s="353">
        <f t="shared" si="0"/>
        <v>0</v>
      </c>
    </row>
    <row r="29" spans="1:9" ht="18" customHeight="1">
      <c r="A29" s="899"/>
      <c r="B29" s="899"/>
      <c r="C29" s="331"/>
      <c r="D29" s="331"/>
      <c r="E29" s="331"/>
      <c r="F29" s="331"/>
      <c r="G29" s="331"/>
      <c r="H29" s="331"/>
      <c r="I29" s="331"/>
    </row>
    <row r="30" spans="1:9" ht="18" customHeight="1">
      <c r="A30" s="899" t="s">
        <v>298</v>
      </c>
      <c r="B30" s="899"/>
      <c r="C30" s="360">
        <f>C20+C28</f>
        <v>0</v>
      </c>
      <c r="D30" s="355"/>
      <c r="E30" s="360">
        <f>E20+E28</f>
        <v>0</v>
      </c>
      <c r="F30" s="355"/>
      <c r="G30" s="360">
        <f>G20+G28</f>
        <v>0</v>
      </c>
      <c r="H30" s="334"/>
      <c r="I30" s="353">
        <f>I20+I28</f>
        <v>0</v>
      </c>
    </row>
    <row r="31" spans="1:9" ht="18" customHeight="1">
      <c r="A31" s="901"/>
      <c r="B31" s="901"/>
      <c r="C31" s="331"/>
      <c r="D31" s="331"/>
      <c r="E31" s="331"/>
      <c r="F31" s="331"/>
      <c r="G31" s="331"/>
      <c r="H31" s="331"/>
      <c r="I31" s="331"/>
    </row>
    <row r="32" spans="1:9" ht="18" customHeight="1">
      <c r="A32" s="900" t="s">
        <v>299</v>
      </c>
      <c r="B32" s="900"/>
      <c r="C32" s="331"/>
      <c r="D32" s="331"/>
      <c r="E32" s="331"/>
      <c r="F32" s="331"/>
      <c r="G32" s="331"/>
      <c r="H32" s="331"/>
      <c r="I32" s="331"/>
    </row>
    <row r="33" spans="1:9" ht="18" customHeight="1">
      <c r="A33" s="899" t="s">
        <v>300</v>
      </c>
      <c r="B33" s="899"/>
      <c r="C33" s="359"/>
      <c r="D33" s="331"/>
      <c r="E33" s="359"/>
      <c r="F33" s="331"/>
      <c r="G33" s="359"/>
      <c r="H33" s="331"/>
      <c r="I33" s="353">
        <f>SUM(C33:G33)</f>
        <v>0</v>
      </c>
    </row>
    <row r="34" spans="1:9" ht="18" customHeight="1">
      <c r="A34" s="334" t="s">
        <v>289</v>
      </c>
      <c r="B34" s="335" t="s">
        <v>290</v>
      </c>
      <c r="C34" s="356"/>
      <c r="D34" s="331"/>
      <c r="E34" s="356"/>
      <c r="F34" s="331"/>
      <c r="G34" s="356"/>
      <c r="H34" s="331"/>
      <c r="I34" s="355"/>
    </row>
    <row r="35" spans="1:9" ht="18" customHeight="1">
      <c r="A35" s="357" t="s">
        <v>291</v>
      </c>
      <c r="B35" s="358"/>
      <c r="C35" s="359"/>
      <c r="D35" s="331"/>
      <c r="E35" s="359"/>
      <c r="F35" s="331"/>
      <c r="G35" s="359"/>
      <c r="H35" s="331"/>
      <c r="I35" s="353">
        <f>SUM(C35:G35)</f>
        <v>0</v>
      </c>
    </row>
    <row r="36" spans="1:9" ht="18" customHeight="1">
      <c r="A36" s="357" t="s">
        <v>292</v>
      </c>
      <c r="B36" s="358"/>
      <c r="C36" s="352"/>
      <c r="D36" s="331"/>
      <c r="E36" s="352"/>
      <c r="F36" s="331"/>
      <c r="G36" s="352"/>
      <c r="H36" s="331"/>
      <c r="I36" s="353">
        <f>SUM(C36:G36)</f>
        <v>0</v>
      </c>
    </row>
    <row r="37" spans="1:9" ht="18" customHeight="1">
      <c r="A37" s="357" t="s">
        <v>292</v>
      </c>
      <c r="B37" s="358"/>
      <c r="C37" s="352"/>
      <c r="D37" s="331"/>
      <c r="E37" s="352"/>
      <c r="F37" s="331"/>
      <c r="G37" s="352"/>
      <c r="H37" s="331"/>
      <c r="I37" s="353">
        <f>SUM(C37:G37)</f>
        <v>0</v>
      </c>
    </row>
    <row r="38" spans="1:9" ht="18" customHeight="1">
      <c r="A38" s="357" t="s">
        <v>292</v>
      </c>
      <c r="B38" s="358"/>
      <c r="C38" s="352"/>
      <c r="D38" s="331"/>
      <c r="E38" s="352"/>
      <c r="F38" s="331"/>
      <c r="G38" s="352"/>
      <c r="H38" s="331"/>
      <c r="I38" s="353">
        <f>SUM(C38:G38)</f>
        <v>0</v>
      </c>
    </row>
    <row r="39" spans="1:9" ht="18" customHeight="1">
      <c r="A39" s="357" t="s">
        <v>292</v>
      </c>
      <c r="B39" s="358"/>
      <c r="C39" s="352"/>
      <c r="D39" s="331"/>
      <c r="E39" s="352"/>
      <c r="F39" s="331"/>
      <c r="G39" s="352"/>
      <c r="H39" s="331"/>
      <c r="I39" s="353">
        <f>SUM(C39:G39)</f>
        <v>0</v>
      </c>
    </row>
    <row r="40" spans="1:9" ht="18" customHeight="1">
      <c r="A40" s="899" t="s">
        <v>293</v>
      </c>
      <c r="B40" s="899"/>
      <c r="C40" s="354">
        <f>SUM(C33:C39)</f>
        <v>0</v>
      </c>
      <c r="D40" s="355"/>
      <c r="E40" s="354">
        <f>SUM(E33:E39)</f>
        <v>0</v>
      </c>
      <c r="F40" s="355"/>
      <c r="G40" s="354">
        <f>SUM(G33:G39)</f>
        <v>0</v>
      </c>
      <c r="H40" s="355"/>
      <c r="I40" s="354">
        <f>SUM(I33:I39)</f>
        <v>0</v>
      </c>
    </row>
    <row r="41" spans="1:9" ht="18" customHeight="1">
      <c r="A41" s="899"/>
      <c r="B41" s="899"/>
    </row>
    <row r="42" spans="1:9" ht="18" customHeight="1">
      <c r="A42" s="334" t="s">
        <v>294</v>
      </c>
      <c r="B42" s="335" t="s">
        <v>290</v>
      </c>
    </row>
    <row r="43" spans="1:9" ht="18" customHeight="1">
      <c r="A43" s="357" t="s">
        <v>305</v>
      </c>
      <c r="B43" s="358"/>
      <c r="C43" s="359"/>
      <c r="D43" s="331"/>
      <c r="E43" s="359"/>
      <c r="F43" s="331"/>
      <c r="G43" s="359"/>
      <c r="I43" s="360">
        <f t="shared" ref="I43:I48" si="1">SUM(C43:G43)</f>
        <v>0</v>
      </c>
    </row>
    <row r="44" spans="1:9" ht="18" customHeight="1">
      <c r="A44" s="357" t="s">
        <v>306</v>
      </c>
      <c r="B44" s="358"/>
      <c r="C44" s="359"/>
      <c r="D44" s="331"/>
      <c r="E44" s="359"/>
      <c r="F44" s="331"/>
      <c r="G44" s="359"/>
      <c r="I44" s="360">
        <f t="shared" si="1"/>
        <v>0</v>
      </c>
    </row>
    <row r="45" spans="1:9" ht="18" customHeight="1">
      <c r="A45" s="357" t="s">
        <v>296</v>
      </c>
      <c r="B45" s="358"/>
      <c r="C45" s="359"/>
      <c r="D45" s="331"/>
      <c r="E45" s="359"/>
      <c r="F45" s="331"/>
      <c r="G45" s="359"/>
      <c r="H45" s="361"/>
      <c r="I45" s="360">
        <f t="shared" si="1"/>
        <v>0</v>
      </c>
    </row>
    <row r="46" spans="1:9" ht="18" customHeight="1">
      <c r="A46" s="357" t="s">
        <v>292</v>
      </c>
      <c r="B46" s="358"/>
      <c r="C46" s="359"/>
      <c r="D46" s="331"/>
      <c r="E46" s="359"/>
      <c r="F46" s="331"/>
      <c r="G46" s="359"/>
      <c r="H46" s="361"/>
      <c r="I46" s="360">
        <f t="shared" si="1"/>
        <v>0</v>
      </c>
    </row>
    <row r="47" spans="1:9" ht="18" customHeight="1">
      <c r="A47" s="357" t="s">
        <v>292</v>
      </c>
      <c r="B47" s="358"/>
      <c r="C47" s="359"/>
      <c r="D47" s="331"/>
      <c r="E47" s="359"/>
      <c r="F47" s="331"/>
      <c r="G47" s="359"/>
      <c r="I47" s="360">
        <f t="shared" si="1"/>
        <v>0</v>
      </c>
    </row>
    <row r="48" spans="1:9" ht="18" customHeight="1">
      <c r="A48" s="898" t="s">
        <v>297</v>
      </c>
      <c r="B48" s="898"/>
      <c r="C48" s="360">
        <f>SUM(C43:C47)</f>
        <v>0</v>
      </c>
      <c r="D48" s="355"/>
      <c r="E48" s="360">
        <f>SUM(E43:E47)</f>
        <v>0</v>
      </c>
      <c r="F48" s="355"/>
      <c r="G48" s="360">
        <f>SUM(G43:G47)</f>
        <v>0</v>
      </c>
      <c r="H48" s="334"/>
      <c r="I48" s="360">
        <f t="shared" si="1"/>
        <v>0</v>
      </c>
    </row>
    <row r="49" spans="1:9" ht="18" customHeight="1">
      <c r="A49" s="362"/>
      <c r="B49" s="362"/>
    </row>
    <row r="50" spans="1:9" ht="18" customHeight="1">
      <c r="A50" s="898" t="s">
        <v>301</v>
      </c>
      <c r="B50" s="898"/>
      <c r="C50" s="353">
        <f>C33+C40+C48</f>
        <v>0</v>
      </c>
      <c r="D50" s="355"/>
      <c r="E50" s="353">
        <f>E33+E40+E48</f>
        <v>0</v>
      </c>
      <c r="F50" s="355"/>
      <c r="G50" s="353">
        <f>G33+G40+G48</f>
        <v>0</v>
      </c>
      <c r="H50" s="334"/>
      <c r="I50" s="353">
        <f>C50+E50+G50</f>
        <v>0</v>
      </c>
    </row>
    <row r="51" spans="1:9" ht="18" customHeight="1"/>
    <row r="52" spans="1:9" ht="18" customHeight="1">
      <c r="A52" s="898" t="s">
        <v>302</v>
      </c>
      <c r="B52" s="898"/>
      <c r="C52" s="363"/>
      <c r="E52" s="363"/>
      <c r="G52" s="363"/>
      <c r="H52" s="361"/>
      <c r="I52" s="364">
        <f>SUM(C52:G52)</f>
        <v>0</v>
      </c>
    </row>
    <row r="53" spans="1:9" ht="18" customHeight="1">
      <c r="A53" s="898" t="s">
        <v>303</v>
      </c>
      <c r="B53" s="898"/>
      <c r="C53" s="363"/>
      <c r="E53" s="363"/>
      <c r="G53" s="363"/>
      <c r="H53" s="361"/>
      <c r="I53" s="364">
        <f>SUM(C53:G53)</f>
        <v>0</v>
      </c>
    </row>
    <row r="54" spans="1:9" ht="18" customHeight="1">
      <c r="A54" s="449"/>
      <c r="B54" s="449"/>
      <c r="C54" s="363"/>
      <c r="E54" s="363"/>
      <c r="G54" s="363"/>
      <c r="H54" s="361"/>
      <c r="I54" s="364"/>
    </row>
  </sheetData>
  <mergeCells count="20">
    <mergeCell ref="A3:I3"/>
    <mergeCell ref="A13:B13"/>
    <mergeCell ref="A20:B20"/>
    <mergeCell ref="A33:B33"/>
    <mergeCell ref="A31:B31"/>
    <mergeCell ref="A29:B29"/>
    <mergeCell ref="A21:B21"/>
    <mergeCell ref="A28:B28"/>
    <mergeCell ref="A30:B30"/>
    <mergeCell ref="A32:B32"/>
    <mergeCell ref="A7:B7"/>
    <mergeCell ref="A8:B8"/>
    <mergeCell ref="A9:B9"/>
    <mergeCell ref="A10:B10"/>
    <mergeCell ref="A53:B53"/>
    <mergeCell ref="A52:B52"/>
    <mergeCell ref="A50:B50"/>
    <mergeCell ref="A48:B48"/>
    <mergeCell ref="A40:B40"/>
    <mergeCell ref="A41:B41"/>
  </mergeCells>
  <phoneticPr fontId="34" type="noConversion"/>
  <printOptions horizontalCentered="1"/>
  <pageMargins left="0.5" right="0.5" top="0.5" bottom="0.5" header="0.5" footer="0.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
  <sheetViews>
    <sheetView workbookViewId="0"/>
  </sheetViews>
  <sheetFormatPr defaultRowHeight="15"/>
  <sheetData>
    <row r="1" spans="1:11" ht="15.75">
      <c r="A1" s="422"/>
      <c r="B1" s="416"/>
      <c r="C1" s="416"/>
      <c r="D1" s="416"/>
      <c r="E1" s="416"/>
      <c r="F1" s="416"/>
      <c r="G1" s="416"/>
      <c r="H1" s="416"/>
    </row>
    <row r="2" spans="1:11" ht="15.75">
      <c r="A2" s="422" t="s">
        <v>545</v>
      </c>
      <c r="B2" s="416"/>
      <c r="C2" s="416"/>
      <c r="D2" s="416"/>
      <c r="E2" s="416"/>
      <c r="F2" s="416"/>
      <c r="G2" s="416"/>
      <c r="H2" s="416"/>
    </row>
    <row r="4" spans="1:11" ht="15.75">
      <c r="A4" s="419" t="s">
        <v>355</v>
      </c>
      <c r="B4" s="40"/>
      <c r="C4" s="40"/>
      <c r="D4" s="40"/>
      <c r="E4" s="40"/>
      <c r="F4" s="40"/>
      <c r="G4" s="40"/>
      <c r="H4" s="40"/>
      <c r="I4" s="40"/>
      <c r="J4" s="40"/>
    </row>
    <row r="5" spans="1:11" ht="15.75">
      <c r="A5" s="419"/>
      <c r="B5" s="40"/>
      <c r="C5" s="40"/>
      <c r="D5" s="40"/>
      <c r="E5" s="40"/>
      <c r="F5" s="40"/>
      <c r="G5" s="40"/>
      <c r="H5" s="40"/>
      <c r="I5" s="40"/>
      <c r="J5" s="40"/>
    </row>
    <row r="6" spans="1:11" ht="45" customHeight="1">
      <c r="A6" s="863" t="s">
        <v>357</v>
      </c>
      <c r="B6" s="863"/>
      <c r="C6" s="863"/>
      <c r="D6" s="863"/>
      <c r="E6" s="863"/>
      <c r="F6" s="863"/>
      <c r="G6" s="863"/>
      <c r="H6" s="863"/>
      <c r="I6" s="420"/>
      <c r="J6" s="420"/>
      <c r="K6" s="111"/>
    </row>
    <row r="7" spans="1:11">
      <c r="A7" s="40"/>
      <c r="B7" s="40"/>
      <c r="C7" s="40"/>
      <c r="D7" s="40"/>
      <c r="E7" s="40"/>
      <c r="F7" s="40"/>
      <c r="G7" s="40"/>
      <c r="H7" s="40"/>
      <c r="I7" s="40"/>
      <c r="J7" s="40"/>
    </row>
    <row r="8" spans="1:11" ht="30.75" customHeight="1">
      <c r="A8" s="863" t="s">
        <v>356</v>
      </c>
      <c r="B8" s="863"/>
      <c r="C8" s="863"/>
      <c r="D8" s="863"/>
      <c r="E8" s="863"/>
      <c r="F8" s="863"/>
      <c r="G8" s="863"/>
      <c r="H8" s="863"/>
      <c r="I8" s="417"/>
      <c r="J8" s="417"/>
      <c r="K8" s="418"/>
    </row>
    <row r="10" spans="1:11">
      <c r="A10" s="864" t="s">
        <v>526</v>
      </c>
      <c r="B10" s="865"/>
      <c r="C10" s="865"/>
      <c r="D10" s="865"/>
      <c r="E10" s="865"/>
      <c r="F10" s="865"/>
      <c r="G10" s="865"/>
      <c r="H10" s="865"/>
    </row>
    <row r="12" spans="1:11" ht="15.75">
      <c r="A12" s="432"/>
    </row>
  </sheetData>
  <mergeCells count="3">
    <mergeCell ref="A6:H6"/>
    <mergeCell ref="A8:H8"/>
    <mergeCell ref="A10:H10"/>
  </mergeCells>
  <phoneticPr fontId="34" type="noConversion"/>
  <pageMargins left="0.75" right="0.75" top="1" bottom="1" header="0.5" footer="0.5"/>
  <pageSetup firstPageNumber="205" fitToHeight="0" orientation="portrait" useFirstPageNumber="1"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H47"/>
  <sheetViews>
    <sheetView workbookViewId="0"/>
  </sheetViews>
  <sheetFormatPr defaultColWidth="9.77734375" defaultRowHeight="15"/>
  <cols>
    <col min="1" max="1" width="41.5546875" style="40" customWidth="1"/>
    <col min="2" max="2" width="15.88671875" style="40" customWidth="1"/>
    <col min="3" max="3" width="14" style="40" customWidth="1"/>
    <col min="4" max="4" width="10.77734375" style="56" customWidth="1"/>
    <col min="5" max="16384" width="9.77734375" style="40"/>
  </cols>
  <sheetData>
    <row r="1" spans="1:8" ht="15.75">
      <c r="A1" s="695" t="s">
        <v>466</v>
      </c>
      <c r="B1" s="47"/>
      <c r="C1" s="27"/>
      <c r="D1" s="694"/>
      <c r="E1" s="17"/>
      <c r="F1" s="17"/>
      <c r="G1" s="17"/>
      <c r="H1" s="17"/>
    </row>
    <row r="2" spans="1:8" ht="15.75">
      <c r="A2" s="695" t="s">
        <v>525</v>
      </c>
      <c r="B2" s="47"/>
      <c r="C2" s="27"/>
      <c r="D2" s="694"/>
      <c r="E2" s="17"/>
      <c r="F2" s="17"/>
      <c r="G2" s="17"/>
      <c r="H2" s="17"/>
    </row>
    <row r="3" spans="1:8" ht="15.75">
      <c r="A3" s="696" t="s">
        <v>366</v>
      </c>
      <c r="B3" s="17"/>
      <c r="C3" s="94" t="s">
        <v>215</v>
      </c>
      <c r="D3" s="843">
        <f>'Units &amp; Income'!C24</f>
        <v>0</v>
      </c>
      <c r="E3" s="17"/>
      <c r="F3" s="17"/>
      <c r="G3" s="17"/>
      <c r="H3" s="17"/>
    </row>
    <row r="4" spans="1:8" ht="23.25">
      <c r="A4" s="8"/>
      <c r="B4" s="47"/>
      <c r="D4" s="55"/>
      <c r="E4" s="17"/>
      <c r="F4" s="17"/>
      <c r="G4" s="17"/>
      <c r="H4" s="17"/>
    </row>
    <row r="5" spans="1:8" ht="15.75">
      <c r="A5" s="24" t="s">
        <v>9</v>
      </c>
      <c r="B5" s="17"/>
      <c r="C5" s="57"/>
      <c r="D5" s="49"/>
      <c r="E5" s="11"/>
      <c r="H5" s="17"/>
    </row>
    <row r="6" spans="1:8" ht="16.5" thickBot="1">
      <c r="A6" s="170"/>
      <c r="B6" s="171"/>
      <c r="C6" s="172"/>
      <c r="D6" s="173"/>
      <c r="E6" s="11"/>
      <c r="F6" s="11"/>
      <c r="G6" s="11"/>
      <c r="H6" s="17"/>
    </row>
    <row r="7" spans="1:8" ht="16.5" thickTop="1">
      <c r="A7" s="180" t="s">
        <v>75</v>
      </c>
      <c r="B7" s="17"/>
      <c r="C7" s="59" t="s">
        <v>103</v>
      </c>
      <c r="D7" s="183" t="s">
        <v>104</v>
      </c>
      <c r="E7" s="11"/>
      <c r="F7" s="11"/>
      <c r="G7" s="20"/>
      <c r="H7" s="17"/>
    </row>
    <row r="8" spans="1:8">
      <c r="A8" s="330" t="str">
        <f>'Devel. Bud'!A82</f>
        <v>First Mortgage (Lender:                                )</v>
      </c>
      <c r="B8" s="20">
        <f>'Devel. Bud'!D82</f>
        <v>0</v>
      </c>
      <c r="C8" s="58" t="e">
        <f>B8/'Units &amp; Income'!$C$24</f>
        <v>#DIV/0!</v>
      </c>
      <c r="D8" s="35" t="e">
        <f t="shared" ref="D8:D18" ca="1" si="0">B8/$B$19</f>
        <v>#DIV/0!</v>
      </c>
      <c r="E8" s="50" t="s">
        <v>100</v>
      </c>
      <c r="F8" s="11"/>
      <c r="G8" s="16"/>
      <c r="H8" s="17"/>
    </row>
    <row r="9" spans="1:8">
      <c r="A9" s="330" t="str">
        <f>'Devel. Bud'!A83</f>
        <v>Second Mortgage (Lender:                                )</v>
      </c>
      <c r="B9" s="20">
        <f>'Devel. Bud'!D83</f>
        <v>0</v>
      </c>
      <c r="C9" s="58" t="e">
        <f>B9/'Units &amp; Income'!$C$24</f>
        <v>#DIV/0!</v>
      </c>
      <c r="D9" s="35" t="e">
        <f t="shared" ca="1" si="0"/>
        <v>#DIV/0!</v>
      </c>
      <c r="E9" s="11"/>
      <c r="F9" s="11"/>
      <c r="G9" s="16"/>
      <c r="H9" s="17"/>
    </row>
    <row r="10" spans="1:8">
      <c r="A10" s="330" t="str">
        <f>'Devel. Bud'!A84</f>
        <v>Third Mortgage (Lender:                                )</v>
      </c>
      <c r="B10" s="20">
        <f>'Devel. Bud'!D84</f>
        <v>0</v>
      </c>
      <c r="C10" s="58" t="e">
        <f>B10/'Units &amp; Income'!$C$24</f>
        <v>#DIV/0!</v>
      </c>
      <c r="D10" s="35" t="e">
        <f t="shared" ca="1" si="0"/>
        <v>#DIV/0!</v>
      </c>
      <c r="E10" s="11"/>
      <c r="F10" s="11"/>
      <c r="G10" s="16"/>
      <c r="H10" s="17"/>
    </row>
    <row r="11" spans="1:8">
      <c r="A11" s="330" t="str">
        <f>'Devel. Bud'!A85</f>
        <v>Fourth Mortgage (Lender:                                )</v>
      </c>
      <c r="B11" s="20">
        <f>'Devel. Bud'!D85</f>
        <v>0</v>
      </c>
      <c r="C11" s="58" t="e">
        <f>B11/'Units &amp; Income'!$C$24</f>
        <v>#DIV/0!</v>
      </c>
      <c r="D11" s="35" t="e">
        <f t="shared" ca="1" si="0"/>
        <v>#DIV/0!</v>
      </c>
      <c r="E11" s="11"/>
      <c r="F11" s="11"/>
      <c r="G11" s="16"/>
      <c r="H11" s="17"/>
    </row>
    <row r="12" spans="1:8">
      <c r="A12" s="330" t="str">
        <f>'Devel. Bud'!A86</f>
        <v>LIHTC Equity</v>
      </c>
      <c r="B12" s="20">
        <f>'Devel. Bud'!D86</f>
        <v>0</v>
      </c>
      <c r="C12" s="58" t="e">
        <f>B12/'Units &amp; Income'!$C$24</f>
        <v>#DIV/0!</v>
      </c>
      <c r="D12" s="35" t="e">
        <f t="shared" ref="D12:D13" ca="1" si="1">B12/$B$19</f>
        <v>#DIV/0!</v>
      </c>
      <c r="E12" s="11"/>
      <c r="F12" s="11"/>
      <c r="G12" s="16"/>
      <c r="H12" s="17"/>
    </row>
    <row r="13" spans="1:8">
      <c r="A13" s="330" t="str">
        <f>'Devel. Bud'!A87</f>
        <v>Deferred Reserves</v>
      </c>
      <c r="B13" s="20">
        <f>'Devel. Bud'!D87</f>
        <v>0</v>
      </c>
      <c r="C13" s="58" t="e">
        <f>B13/'Units &amp; Income'!$C$24</f>
        <v>#DIV/0!</v>
      </c>
      <c r="D13" s="35" t="e">
        <f t="shared" ca="1" si="1"/>
        <v>#DIV/0!</v>
      </c>
      <c r="E13" s="11"/>
      <c r="F13" s="11"/>
      <c r="G13" s="16"/>
      <c r="H13" s="17"/>
    </row>
    <row r="14" spans="1:8">
      <c r="A14" s="330" t="str">
        <f>'Devel. Bud'!A88</f>
        <v>Deferred Interest</v>
      </c>
      <c r="B14" s="20" t="e">
        <f ca="1">'Devel. Bud'!D88</f>
        <v>#DIV/0!</v>
      </c>
      <c r="C14" s="58" t="e">
        <f ca="1">B14/'Units &amp; Income'!$C$24</f>
        <v>#DIV/0!</v>
      </c>
      <c r="D14" s="35" t="e">
        <f t="shared" ca="1" si="0"/>
        <v>#DIV/0!</v>
      </c>
      <c r="E14" s="11"/>
      <c r="F14" s="11"/>
      <c r="G14" s="16"/>
      <c r="H14" s="17"/>
    </row>
    <row r="15" spans="1:8">
      <c r="A15" s="330" t="str">
        <f>'Devel. Bud'!A89</f>
        <v>Deferred Developer's Fee</v>
      </c>
      <c r="B15" s="20">
        <f>'Devel. Bud'!D89</f>
        <v>0</v>
      </c>
      <c r="C15" s="58" t="e">
        <f>B15/'Units &amp; Income'!$C$24</f>
        <v>#DIV/0!</v>
      </c>
      <c r="D15" s="35" t="e">
        <f t="shared" ca="1" si="0"/>
        <v>#DIV/0!</v>
      </c>
      <c r="E15" s="11"/>
      <c r="F15" s="11"/>
      <c r="G15" s="16"/>
      <c r="H15" s="17"/>
    </row>
    <row r="16" spans="1:8">
      <c r="A16" s="330" t="str">
        <f>'Devel. Bud'!A90</f>
        <v>Developer Equity</v>
      </c>
      <c r="B16" s="134">
        <f>'Devel. Bud'!D90</f>
        <v>0</v>
      </c>
      <c r="C16" s="58" t="e">
        <f>B16/'Units &amp; Income'!$C$24</f>
        <v>#DIV/0!</v>
      </c>
      <c r="D16" s="35" t="e">
        <f t="shared" ca="1" si="0"/>
        <v>#DIV/0!</v>
      </c>
      <c r="E16" s="11"/>
      <c r="F16" s="11"/>
      <c r="G16" s="16"/>
      <c r="H16" s="17"/>
    </row>
    <row r="17" spans="1:8">
      <c r="A17" s="330" t="str">
        <f>'Devel. Bud'!A91</f>
        <v>Other source (Specify:                                )</v>
      </c>
      <c r="B17" s="134">
        <f>'Devel. Bud'!D91</f>
        <v>0</v>
      </c>
      <c r="C17" s="58" t="e">
        <f>B17/'Units &amp; Income'!$C$24</f>
        <v>#DIV/0!</v>
      </c>
      <c r="D17" s="35" t="e">
        <f t="shared" ca="1" si="0"/>
        <v>#DIV/0!</v>
      </c>
      <c r="E17" s="11"/>
      <c r="F17" s="11"/>
      <c r="G17" s="16"/>
      <c r="H17" s="17"/>
    </row>
    <row r="18" spans="1:8">
      <c r="A18" s="838" t="str">
        <f>'Devel. Bud'!A92</f>
        <v>Gap/(Surplus)</v>
      </c>
      <c r="B18" s="839" t="e">
        <f ca="1">'Devel. Bud'!D92</f>
        <v>#DIV/0!</v>
      </c>
      <c r="C18" s="840" t="e">
        <f ca="1">B18/'Units &amp; Income'!$C$24</f>
        <v>#DIV/0!</v>
      </c>
      <c r="D18" s="841" t="e">
        <f t="shared" ca="1" si="0"/>
        <v>#DIV/0!</v>
      </c>
      <c r="E18" s="17"/>
      <c r="F18" s="21"/>
      <c r="G18" s="16"/>
      <c r="H18" s="51"/>
    </row>
    <row r="19" spans="1:8" ht="15.75">
      <c r="A19" s="818" t="s">
        <v>675</v>
      </c>
      <c r="B19" s="835" t="e">
        <f ca="1">'Devel. Bud'!D93</f>
        <v>#DIV/0!</v>
      </c>
      <c r="C19" s="836" t="e">
        <f ca="1">B19/'Units &amp; Income'!$C$24</f>
        <v>#DIV/0!</v>
      </c>
      <c r="D19" s="837" t="e">
        <f ca="1">SUM(D8:D17)</f>
        <v>#DIV/0!</v>
      </c>
      <c r="E19" s="11"/>
      <c r="F19" s="52"/>
      <c r="G19" s="16"/>
      <c r="H19" s="17"/>
    </row>
    <row r="20" spans="1:8" ht="15.75" thickBot="1">
      <c r="A20" s="171"/>
      <c r="B20" s="171"/>
      <c r="C20" s="174"/>
      <c r="D20" s="175"/>
      <c r="E20" s="11"/>
      <c r="F20" s="11"/>
      <c r="G20" s="11"/>
      <c r="H20" s="17"/>
    </row>
    <row r="21" spans="1:8" ht="16.5" thickTop="1">
      <c r="A21" s="180" t="s">
        <v>71</v>
      </c>
      <c r="B21" s="17"/>
      <c r="C21" s="58"/>
      <c r="D21" s="178"/>
      <c r="E21" s="11"/>
      <c r="F21" s="11"/>
      <c r="G21" s="20"/>
      <c r="H21" s="17"/>
    </row>
    <row r="22" spans="1:8">
      <c r="A22" s="330" t="str">
        <f>A8</f>
        <v>First Mortgage (Lender:                                )</v>
      </c>
      <c r="B22" s="20" t="e">
        <f ca="1">'Devel. Bud'!D96</f>
        <v>#DIV/0!</v>
      </c>
      <c r="C22" s="58" t="e">
        <f ca="1">B22/'Units &amp; Income'!$C$24</f>
        <v>#DIV/0!</v>
      </c>
      <c r="D22" s="35" t="e">
        <f ca="1">B22/B33</f>
        <v>#DIV/0!</v>
      </c>
      <c r="E22" s="11"/>
      <c r="F22" s="11"/>
      <c r="G22" s="16"/>
      <c r="H22" s="17"/>
    </row>
    <row r="23" spans="1:8">
      <c r="A23" s="330" t="str">
        <f>A9</f>
        <v>Second Mortgage (Lender:                                )</v>
      </c>
      <c r="B23" s="20">
        <f>'Devel. Bud'!D97</f>
        <v>0</v>
      </c>
      <c r="C23" s="58" t="e">
        <f>B23/'Units &amp; Income'!$C$24</f>
        <v>#DIV/0!</v>
      </c>
      <c r="D23" s="35" t="e">
        <f ca="1">B23/$B$33</f>
        <v>#DIV/0!</v>
      </c>
      <c r="E23" s="11"/>
      <c r="F23" s="11"/>
      <c r="G23" s="16"/>
      <c r="H23" s="17"/>
    </row>
    <row r="24" spans="1:8">
      <c r="A24" s="330" t="str">
        <f>A10</f>
        <v>Third Mortgage (Lender:                                )</v>
      </c>
      <c r="B24" s="20">
        <f>'Devel. Bud'!D98</f>
        <v>0</v>
      </c>
      <c r="C24" s="58" t="e">
        <f>B24/'Units &amp; Income'!$C$24</f>
        <v>#DIV/0!</v>
      </c>
      <c r="D24" s="35" t="e">
        <f ca="1">B24/$B$33</f>
        <v>#DIV/0!</v>
      </c>
      <c r="E24" s="11"/>
      <c r="F24" s="11"/>
      <c r="G24" s="16"/>
      <c r="H24" s="17"/>
    </row>
    <row r="25" spans="1:8">
      <c r="A25" s="330" t="str">
        <f>A11</f>
        <v>Fourth Mortgage (Lender:                                )</v>
      </c>
      <c r="B25" s="20">
        <f>'Devel. Bud'!D99</f>
        <v>0</v>
      </c>
      <c r="C25" s="58" t="e">
        <f>B25/'Units &amp; Income'!$C$24</f>
        <v>#DIV/0!</v>
      </c>
      <c r="D25" s="35" t="e">
        <f ca="1">B25/$B$33</f>
        <v>#DIV/0!</v>
      </c>
      <c r="E25" s="11"/>
      <c r="F25" s="11"/>
      <c r="G25" s="16"/>
      <c r="H25" s="17"/>
    </row>
    <row r="26" spans="1:8">
      <c r="A26" s="330" t="str">
        <f t="shared" ref="A26:A30" si="2">A12</f>
        <v>LIHTC Equity</v>
      </c>
      <c r="B26" s="20">
        <f>'Devel. Bud'!D100</f>
        <v>0</v>
      </c>
      <c r="C26" s="58" t="e">
        <f>B26/'Units &amp; Income'!$C$24</f>
        <v>#DIV/0!</v>
      </c>
      <c r="D26" s="35" t="e">
        <f ca="1">B26/$B$33</f>
        <v>#DIV/0!</v>
      </c>
      <c r="E26" s="11"/>
      <c r="F26" s="11"/>
      <c r="G26" s="16"/>
      <c r="H26" s="17"/>
    </row>
    <row r="27" spans="1:8">
      <c r="A27" s="330" t="str">
        <f t="shared" si="2"/>
        <v>Deferred Reserves</v>
      </c>
      <c r="B27" s="20">
        <f>'Devel. Bud'!D101</f>
        <v>0</v>
      </c>
      <c r="C27" s="58"/>
      <c r="D27" s="693"/>
      <c r="E27" s="11"/>
      <c r="F27" s="11"/>
      <c r="G27" s="16"/>
      <c r="H27" s="17"/>
    </row>
    <row r="28" spans="1:8">
      <c r="A28" s="330" t="str">
        <f t="shared" si="2"/>
        <v>Deferred Interest</v>
      </c>
      <c r="B28" s="20" t="e">
        <f ca="1">'Devel. Bud'!D102</f>
        <v>#DIV/0!</v>
      </c>
      <c r="C28" s="58"/>
      <c r="D28" s="693"/>
      <c r="E28" s="11"/>
      <c r="F28" s="11"/>
      <c r="G28" s="16"/>
      <c r="H28" s="17"/>
    </row>
    <row r="29" spans="1:8">
      <c r="A29" s="330" t="str">
        <f t="shared" si="2"/>
        <v>Deferred Developer's Fee</v>
      </c>
      <c r="B29" s="134">
        <f>'Devel. Bud'!D103</f>
        <v>0</v>
      </c>
      <c r="C29" s="58" t="e">
        <f>B29/'Units &amp; Income'!$C$24</f>
        <v>#DIV/0!</v>
      </c>
      <c r="D29" s="35" t="e">
        <f ca="1">B29/$B$33</f>
        <v>#DIV/0!</v>
      </c>
      <c r="E29" s="11"/>
      <c r="F29" s="11"/>
      <c r="G29" s="16"/>
      <c r="H29" s="17"/>
    </row>
    <row r="30" spans="1:8">
      <c r="A30" s="330" t="str">
        <f t="shared" si="2"/>
        <v>Developer Equity</v>
      </c>
      <c r="B30" s="20">
        <f>'Devel. Bud'!D104</f>
        <v>0</v>
      </c>
      <c r="C30" s="58" t="e">
        <f>B30/'Units &amp; Income'!$C$24</f>
        <v>#DIV/0!</v>
      </c>
      <c r="D30" s="35" t="e">
        <f ca="1">B30/$B$33</f>
        <v>#DIV/0!</v>
      </c>
      <c r="E30" s="11"/>
      <c r="F30" s="11"/>
      <c r="G30" s="16"/>
      <c r="H30" s="17"/>
    </row>
    <row r="31" spans="1:8">
      <c r="A31" s="330" t="str">
        <f>A17</f>
        <v>Other source (Specify:                                )</v>
      </c>
      <c r="B31" s="134">
        <f>'Devel. Bud'!D105</f>
        <v>0</v>
      </c>
      <c r="C31" s="58" t="e">
        <f>B31/'Units &amp; Income'!$C$24</f>
        <v>#DIV/0!</v>
      </c>
      <c r="D31" s="35" t="e">
        <f ca="1">B31/$B$33</f>
        <v>#DIV/0!</v>
      </c>
      <c r="E31" s="11"/>
      <c r="F31" s="11"/>
      <c r="G31" s="16"/>
      <c r="H31" s="17"/>
    </row>
    <row r="32" spans="1:8">
      <c r="A32" s="838" t="str">
        <f>A18</f>
        <v>Gap/(Surplus)</v>
      </c>
      <c r="B32" s="839" t="e">
        <f ca="1">'Devel. Bud'!D106</f>
        <v>#DIV/0!</v>
      </c>
      <c r="C32" s="840" t="e">
        <f ca="1">B32/'Units &amp; Income'!$C$24</f>
        <v>#DIV/0!</v>
      </c>
      <c r="D32" s="841" t="e">
        <f ca="1">B32/$B$33</f>
        <v>#DIV/0!</v>
      </c>
      <c r="E32" s="17"/>
      <c r="F32" s="21"/>
      <c r="G32" s="16"/>
      <c r="H32" s="51"/>
    </row>
    <row r="33" spans="1:8" ht="15.75">
      <c r="A33" s="818" t="s">
        <v>675</v>
      </c>
      <c r="B33" s="842" t="e">
        <f ca="1">'Devel. Bud'!D107</f>
        <v>#DIV/0!</v>
      </c>
      <c r="C33" s="836" t="e">
        <f ca="1">B33/'Units &amp; Income'!$C$24</f>
        <v>#DIV/0!</v>
      </c>
      <c r="D33" s="837" t="e">
        <f ca="1">SUM(D22:D31)</f>
        <v>#DIV/0!</v>
      </c>
      <c r="E33" s="11"/>
      <c r="F33" s="52"/>
      <c r="G33" s="16"/>
      <c r="H33" s="17"/>
    </row>
    <row r="34" spans="1:8" ht="15.75" thickBot="1">
      <c r="A34" s="17"/>
      <c r="B34" s="171"/>
      <c r="C34" s="174"/>
      <c r="D34" s="49"/>
      <c r="E34" s="11"/>
      <c r="F34" s="52"/>
      <c r="G34" s="16"/>
      <c r="H34" s="17"/>
    </row>
    <row r="35" spans="1:8" ht="16.5" thickTop="1">
      <c r="A35" s="180" t="s">
        <v>184</v>
      </c>
      <c r="B35" s="16"/>
      <c r="C35" s="58"/>
      <c r="D35" s="178"/>
      <c r="E35" s="11"/>
      <c r="F35" s="11"/>
      <c r="G35" s="16"/>
    </row>
    <row r="36" spans="1:8">
      <c r="A36" s="31" t="s">
        <v>10</v>
      </c>
      <c r="B36" s="145">
        <f>'Devel. Bud'!D7</f>
        <v>0</v>
      </c>
      <c r="C36" s="58" t="e">
        <f>B36/'Units &amp; Income'!$C$24</f>
        <v>#DIV/0!</v>
      </c>
      <c r="D36" s="35" t="e">
        <f ca="1">B36/$B$41</f>
        <v>#DIV/0!</v>
      </c>
      <c r="E36" s="11"/>
      <c r="F36" s="53"/>
      <c r="G36" s="16"/>
    </row>
    <row r="37" spans="1:8">
      <c r="A37" s="31" t="s">
        <v>11</v>
      </c>
      <c r="B37" s="20">
        <f>'Devel. Bud'!D17</f>
        <v>0</v>
      </c>
      <c r="C37" s="58" t="e">
        <f>B37/'Units &amp; Income'!$C$24</f>
        <v>#DIV/0!</v>
      </c>
      <c r="D37" s="35" t="e">
        <f ca="1">B37/$B$41</f>
        <v>#DIV/0!</v>
      </c>
      <c r="E37" s="11"/>
      <c r="F37" s="11"/>
      <c r="G37" s="54"/>
    </row>
    <row r="38" spans="1:8">
      <c r="A38" s="75" t="s">
        <v>12</v>
      </c>
      <c r="B38" s="134" t="e">
        <f ca="1">'Devel. Bud'!D74</f>
        <v>#DIV/0!</v>
      </c>
      <c r="C38" s="58" t="e">
        <f ca="1">B38/'Units &amp; Income'!$C$24</f>
        <v>#DIV/0!</v>
      </c>
      <c r="D38" s="35" t="e">
        <f ca="1">B38/$B$41</f>
        <v>#DIV/0!</v>
      </c>
      <c r="E38" s="11"/>
      <c r="F38" s="11"/>
      <c r="G38" s="54"/>
    </row>
    <row r="39" spans="1:8">
      <c r="A39" s="75" t="s">
        <v>13</v>
      </c>
      <c r="B39" s="20">
        <f>'Devel. Bud'!D76</f>
        <v>0</v>
      </c>
      <c r="C39" s="58" t="e">
        <f>B39/'Units &amp; Income'!$C$24</f>
        <v>#DIV/0!</v>
      </c>
      <c r="D39" s="35" t="e">
        <f ca="1">B39/$B$41</f>
        <v>#DIV/0!</v>
      </c>
      <c r="E39" s="11"/>
      <c r="F39" s="11"/>
      <c r="G39" s="54"/>
    </row>
    <row r="40" spans="1:8">
      <c r="A40" s="181"/>
      <c r="B40" s="323"/>
      <c r="C40" s="58"/>
      <c r="D40" s="182"/>
      <c r="E40" s="11"/>
      <c r="F40" s="11"/>
      <c r="G40" s="54"/>
    </row>
    <row r="41" spans="1:8">
      <c r="A41" s="60" t="s">
        <v>14</v>
      </c>
      <c r="B41" s="176" t="e">
        <f ca="1">B33</f>
        <v>#DIV/0!</v>
      </c>
      <c r="C41" s="177" t="e">
        <f ca="1">B41/'Units &amp; Income'!$C$24</f>
        <v>#DIV/0!</v>
      </c>
      <c r="D41" s="179" t="e">
        <f ca="1">SUM(D36:D39)</f>
        <v>#DIV/0!</v>
      </c>
      <c r="E41" s="11"/>
      <c r="F41" s="11"/>
      <c r="G41" s="54"/>
    </row>
    <row r="42" spans="1:8">
      <c r="A42" s="17"/>
      <c r="B42" s="17"/>
      <c r="C42" s="57"/>
      <c r="D42" s="51"/>
      <c r="E42" s="11"/>
      <c r="F42" s="11"/>
      <c r="G42" s="54"/>
    </row>
    <row r="43" spans="1:8">
      <c r="A43" s="17"/>
      <c r="B43" s="50"/>
      <c r="C43" s="57"/>
      <c r="D43" s="51"/>
      <c r="E43" s="11"/>
      <c r="F43" s="11"/>
      <c r="G43" s="11"/>
    </row>
    <row r="44" spans="1:8">
      <c r="A44" s="22"/>
      <c r="B44" s="12"/>
      <c r="C44" s="57"/>
      <c r="D44" s="49"/>
      <c r="E44" s="11"/>
      <c r="F44" s="11"/>
      <c r="G44" s="11"/>
    </row>
    <row r="45" spans="1:8">
      <c r="A45" s="17"/>
      <c r="B45" s="17"/>
      <c r="D45" s="49"/>
      <c r="E45" s="17"/>
      <c r="F45" s="17"/>
      <c r="G45" s="17"/>
    </row>
    <row r="46" spans="1:8">
      <c r="A46" s="17"/>
      <c r="B46" s="17"/>
      <c r="D46" s="49"/>
      <c r="E46" s="17"/>
      <c r="F46" s="17"/>
      <c r="G46" s="17"/>
    </row>
    <row r="47" spans="1:8">
      <c r="A47" s="17"/>
      <c r="B47" s="17"/>
      <c r="D47" s="49"/>
      <c r="E47" s="17"/>
      <c r="F47" s="17"/>
      <c r="G47" s="17"/>
    </row>
  </sheetData>
  <customSheetViews>
    <customSheetView guid="{560D4AFA-61E5-46C3-B0CD-D0EB3053A033}" scale="75" colorId="22" showPageBreaks="1" printArea="1" hiddenRows="1" showRuler="0">
      <selection activeCell="B7" sqref="B7:B14"/>
      <pageMargins left="0.75" right="0.5" top="0.75" bottom="0.5" header="0.5" footer="0.5"/>
      <pageSetup scale="90" orientation="landscape" r:id="rId1"/>
      <headerFooter alignWithMargins="0"/>
    </customSheetView>
    <customSheetView guid="{1ECE83C7-A3CE-4F97-BFD3-498FF783C0D9}" scale="75" colorId="22" showPageBreaks="1" printArea="1" showRuler="0" topLeftCell="A17">
      <selection activeCell="H29" sqref="H29"/>
      <pageMargins left="0.75" right="0.5" top="0.75" bottom="0.5" header="0.5" footer="0.5"/>
      <pageSetup scale="90" orientation="landscape" r:id="rId2"/>
      <headerFooter alignWithMargins="0"/>
    </customSheetView>
    <customSheetView guid="{6EF643BE-69F3-424E-8A44-3890161370D4}" scale="87" colorId="22" showPageBreaks="1" printArea="1" showRuler="0" topLeftCell="A4">
      <selection activeCell="H13" sqref="H13"/>
      <pageMargins left="0.5" right="0.5" top="0.5" bottom="0.5" header="0.5" footer="0.5"/>
      <pageSetup scale="96" orientation="landscape" r:id="rId3"/>
      <headerFooter alignWithMargins="0"/>
    </customSheetView>
    <customSheetView guid="{FBB4BF8E-8A9F-4E98-A6F9-5F9BF4C55C67}" scale="87" colorId="22" showPageBreaks="1" showRuler="0" topLeftCell="C5">
      <selection activeCell="I16" sqref="I16"/>
      <pageMargins left="0.5" right="0.5" top="0.5" bottom="0.5" header="0.5" footer="0.5"/>
      <pageSetup orientation="landscape" r:id="rId4"/>
      <headerFooter alignWithMargins="0"/>
    </customSheetView>
    <customSheetView guid="{EB776EFC-3589-4DB5-BEAF-1E83D9703F9E}" scale="87" colorId="22" showRuler="0" topLeftCell="A8">
      <selection activeCell="H21" sqref="H21"/>
      <pageMargins left="0.5" right="0.5" top="0.5" bottom="0.5" header="0.5" footer="0.5"/>
      <pageSetup orientation="landscape" r:id="rId5"/>
      <headerFooter alignWithMargins="0"/>
    </customSheetView>
    <customSheetView guid="{AEA5979F-5357-4ED6-A6CA-1BB80F5C7A74}" scale="87" colorId="22" showPageBreaks="1" printArea="1" showRuler="0">
      <selection activeCell="A21" sqref="A21"/>
      <pageMargins left="0.5" right="0.5" top="0.5" bottom="0.5" header="0.5" footer="0.5"/>
      <pageSetup scale="96" orientation="landscape" r:id="rId6"/>
      <headerFooter alignWithMargins="0"/>
    </customSheetView>
    <customSheetView guid="{28F81D13-D146-4D67-8981-BA5D7A496326}" scale="87" colorId="22" showPageBreaks="1" printArea="1" showRuler="0" topLeftCell="A7">
      <selection activeCell="H12" sqref="H12"/>
      <pageMargins left="0.5" right="0.5" top="0.5" bottom="0.5" header="0.5" footer="0.5"/>
      <pageSetup scale="96" orientation="landscape" r:id="rId7"/>
      <headerFooter alignWithMargins="0"/>
    </customSheetView>
    <customSheetView guid="{25C4E7E7-1006-4A2D-BC83-AEE4ADF8A914}" scale="75" colorId="22" showPageBreaks="1" printArea="1" hiddenRows="1" showRuler="0">
      <selection activeCell="A33" sqref="A33"/>
      <pageMargins left="0.75" right="0.5" top="0.75" bottom="0.5" header="0.5" footer="0.5"/>
      <pageSetup scale="90" orientation="landscape" r:id="rId8"/>
      <headerFooter alignWithMargins="0"/>
    </customSheetView>
  </customSheetViews>
  <phoneticPr fontId="0" type="noConversion"/>
  <pageMargins left="0.75" right="0.5" top="0.75" bottom="0.5" header="0.5" footer="0.5"/>
  <pageSetup scale="90" firstPageNumber="206" orientation="portrait" useFirstPageNumber="1"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P116"/>
  <sheetViews>
    <sheetView workbookViewId="0"/>
  </sheetViews>
  <sheetFormatPr defaultColWidth="9.77734375" defaultRowHeight="15"/>
  <cols>
    <col min="1" max="1" width="41" style="40" customWidth="1"/>
    <col min="2" max="2" width="8.5546875" style="40" customWidth="1"/>
    <col min="3" max="3" width="12" style="40" bestFit="1" customWidth="1"/>
    <col min="4" max="4" width="16" style="77" customWidth="1"/>
    <col min="5" max="5" width="16.109375" style="40" customWidth="1"/>
    <col min="6" max="6" width="15.6640625" style="40" customWidth="1"/>
    <col min="7" max="7" width="10.44140625" style="40" customWidth="1"/>
    <col min="8" max="8" width="11.109375" style="40" customWidth="1"/>
    <col min="9" max="9" width="12.77734375" style="40" customWidth="1"/>
    <col min="10" max="10" width="12.44140625" style="40" customWidth="1"/>
    <col min="11" max="12" width="9.77734375" style="40"/>
    <col min="13" max="13" width="12.44140625" style="40" customWidth="1"/>
    <col min="14" max="14" width="10.6640625" style="40" bestFit="1" customWidth="1"/>
    <col min="15" max="16384" width="9.77734375" style="40"/>
  </cols>
  <sheetData>
    <row r="1" spans="1:10" ht="16.5" customHeight="1">
      <c r="A1" s="1" t="str">
        <f>'Sources and Use'!A1</f>
        <v xml:space="preserve">Project Name: </v>
      </c>
      <c r="C1" s="23"/>
      <c r="E1" s="1"/>
      <c r="F1" s="24"/>
    </row>
    <row r="2" spans="1:10" ht="16.5" customHeight="1">
      <c r="A2" s="1" t="str">
        <f>'Sources and Use'!A2</f>
        <v>Development Team:</v>
      </c>
      <c r="C2" s="23"/>
      <c r="E2" s="1"/>
      <c r="F2" s="24"/>
    </row>
    <row r="3" spans="1:10" ht="16.5" customHeight="1">
      <c r="A3" s="1" t="str">
        <f>'Units &amp; Income'!B3</f>
        <v>Site:</v>
      </c>
      <c r="C3" s="23"/>
      <c r="E3" s="1" t="str">
        <f>'Sources and Use'!C3</f>
        <v>Units:</v>
      </c>
      <c r="F3" s="24">
        <f>'Units &amp; Income'!C24</f>
        <v>0</v>
      </c>
    </row>
    <row r="4" spans="1:10" ht="15" customHeight="1">
      <c r="A4" s="23"/>
      <c r="B4" s="1"/>
      <c r="C4" s="23"/>
    </row>
    <row r="5" spans="1:10" ht="15.75" customHeight="1">
      <c r="A5" s="1" t="s">
        <v>112</v>
      </c>
      <c r="B5" s="45"/>
      <c r="C5" s="23"/>
      <c r="D5" s="46"/>
      <c r="E5" s="70"/>
      <c r="F5" s="24"/>
    </row>
    <row r="6" spans="1:10">
      <c r="A6" s="17"/>
      <c r="B6" s="17"/>
      <c r="C6" s="17"/>
      <c r="D6" s="71" t="s">
        <v>314</v>
      </c>
      <c r="E6" s="17"/>
      <c r="F6" s="17"/>
      <c r="G6" s="17"/>
    </row>
    <row r="7" spans="1:10" ht="15.75">
      <c r="A7" s="545" t="s">
        <v>164</v>
      </c>
      <c r="B7" s="546"/>
      <c r="C7" s="547"/>
      <c r="D7" s="548">
        <v>0</v>
      </c>
      <c r="E7" s="549"/>
      <c r="F7" s="550"/>
      <c r="G7" s="17"/>
    </row>
    <row r="8" spans="1:10" ht="15.75">
      <c r="A8" s="551"/>
      <c r="B8" s="31"/>
      <c r="C8" s="32"/>
      <c r="D8" s="133"/>
      <c r="E8" s="31"/>
      <c r="F8" s="552"/>
      <c r="G8" s="17"/>
      <c r="J8" s="40" t="s">
        <v>100</v>
      </c>
    </row>
    <row r="9" spans="1:10">
      <c r="A9" s="553" t="s">
        <v>165</v>
      </c>
      <c r="B9" s="72"/>
      <c r="C9" s="73"/>
      <c r="D9" s="133"/>
      <c r="E9" s="17"/>
      <c r="F9" s="552"/>
      <c r="G9" s="17" t="s">
        <v>100</v>
      </c>
      <c r="H9" s="40" t="s">
        <v>100</v>
      </c>
      <c r="I9" s="40" t="s">
        <v>100</v>
      </c>
      <c r="J9" s="40" t="s">
        <v>100</v>
      </c>
    </row>
    <row r="10" spans="1:10">
      <c r="A10" s="554" t="s">
        <v>158</v>
      </c>
      <c r="B10" s="72"/>
      <c r="C10" s="66"/>
      <c r="D10" s="133"/>
      <c r="E10" s="17"/>
      <c r="F10" s="552"/>
      <c r="G10" s="17"/>
    </row>
    <row r="11" spans="1:10">
      <c r="A11" s="555" t="s">
        <v>160</v>
      </c>
      <c r="B11" s="154" t="e">
        <f>D11/'Units &amp; Income'!C24</f>
        <v>#DIV/0!</v>
      </c>
      <c r="C11" s="17" t="s">
        <v>41</v>
      </c>
      <c r="D11" s="584"/>
      <c r="E11" s="137" t="e">
        <f>D11/'Units &amp; Income'!C6</f>
        <v>#DIV/0!</v>
      </c>
      <c r="F11" s="552" t="s">
        <v>97</v>
      </c>
      <c r="G11" s="17" t="s">
        <v>100</v>
      </c>
      <c r="H11" s="40" t="s">
        <v>101</v>
      </c>
      <c r="I11" s="40" t="s">
        <v>100</v>
      </c>
      <c r="J11" s="40" t="s">
        <v>100</v>
      </c>
    </row>
    <row r="12" spans="1:10">
      <c r="A12" s="556" t="s">
        <v>465</v>
      </c>
      <c r="B12" s="154"/>
      <c r="C12" s="17"/>
      <c r="D12" s="584"/>
      <c r="E12" s="40" t="e">
        <f>D12/'Units &amp; Income'!C7</f>
        <v>#DIV/0!</v>
      </c>
      <c r="F12" s="552" t="s">
        <v>97</v>
      </c>
      <c r="G12" s="17"/>
    </row>
    <row r="13" spans="1:10">
      <c r="A13" s="557" t="s">
        <v>230</v>
      </c>
      <c r="B13" s="74"/>
      <c r="C13" s="17"/>
      <c r="D13" s="584"/>
      <c r="E13" s="137" t="e">
        <f>D13/'Units &amp; Income'!C8</f>
        <v>#DIV/0!</v>
      </c>
      <c r="F13" s="552" t="s">
        <v>97</v>
      </c>
      <c r="G13" s="17" t="s">
        <v>100</v>
      </c>
      <c r="H13" s="40" t="s">
        <v>100</v>
      </c>
      <c r="I13" s="40" t="s">
        <v>100</v>
      </c>
      <c r="J13" s="40" t="s">
        <v>100</v>
      </c>
    </row>
    <row r="14" spans="1:10">
      <c r="A14" s="555" t="s">
        <v>159</v>
      </c>
      <c r="B14" s="74"/>
      <c r="C14" s="17"/>
      <c r="D14" s="584"/>
      <c r="E14" s="137" t="e">
        <f>D14/'Units &amp; Income'!C9</f>
        <v>#DIV/0!</v>
      </c>
      <c r="F14" s="552" t="s">
        <v>97</v>
      </c>
      <c r="G14" s="17"/>
    </row>
    <row r="15" spans="1:10">
      <c r="A15" s="555" t="s">
        <v>96</v>
      </c>
      <c r="B15" s="31"/>
      <c r="C15" s="17"/>
      <c r="D15" s="584"/>
      <c r="E15" s="137" t="e">
        <f>D15/'Units &amp; Income'!C10</f>
        <v>#DIV/0!</v>
      </c>
      <c r="F15" s="552" t="s">
        <v>97</v>
      </c>
      <c r="G15" s="17" t="s">
        <v>100</v>
      </c>
      <c r="H15" s="40" t="s">
        <v>100</v>
      </c>
      <c r="I15" s="40" t="s">
        <v>100</v>
      </c>
      <c r="J15" s="40" t="s">
        <v>100</v>
      </c>
    </row>
    <row r="16" spans="1:10" ht="17.25">
      <c r="A16" s="558" t="s">
        <v>65</v>
      </c>
      <c r="B16" s="578"/>
      <c r="C16" s="76"/>
      <c r="D16" s="583">
        <f>B16*($D$11+$D$13+$D$14+$D$15)</f>
        <v>0</v>
      </c>
      <c r="E16" s="62"/>
      <c r="F16" s="552"/>
      <c r="G16" s="17" t="s">
        <v>100</v>
      </c>
      <c r="H16" s="40" t="s">
        <v>100</v>
      </c>
      <c r="I16" s="40" t="s">
        <v>100</v>
      </c>
      <c r="J16" s="40" t="s">
        <v>100</v>
      </c>
    </row>
    <row r="17" spans="1:16" ht="15.75">
      <c r="A17" s="559" t="s">
        <v>163</v>
      </c>
      <c r="B17" s="74" t="e">
        <f>D17/'Units &amp; Income'!C24</f>
        <v>#DIV/0!</v>
      </c>
      <c r="C17" s="17" t="s">
        <v>41</v>
      </c>
      <c r="D17" s="135">
        <f>SUM(D11:D16)</f>
        <v>0</v>
      </c>
      <c r="E17" s="62" t="e">
        <f>D17/'Units &amp; Income'!C11</f>
        <v>#DIV/0!</v>
      </c>
      <c r="F17" s="560" t="s">
        <v>93</v>
      </c>
      <c r="G17" s="17"/>
    </row>
    <row r="18" spans="1:16">
      <c r="A18" s="554"/>
      <c r="B18" s="31"/>
      <c r="C18" s="32"/>
      <c r="D18" s="133"/>
      <c r="E18" s="31"/>
      <c r="F18" s="552"/>
      <c r="G18" s="17"/>
    </row>
    <row r="19" spans="1:16">
      <c r="A19" s="554"/>
      <c r="B19" s="31"/>
      <c r="C19" s="32"/>
      <c r="D19" s="133"/>
      <c r="E19" s="31"/>
      <c r="F19" s="552"/>
      <c r="G19" s="17"/>
    </row>
    <row r="20" spans="1:16">
      <c r="A20" s="553" t="s">
        <v>166</v>
      </c>
      <c r="B20" s="72"/>
      <c r="C20" s="73"/>
      <c r="D20" s="133"/>
      <c r="E20" s="31"/>
      <c r="F20" s="552"/>
      <c r="G20" s="17"/>
      <c r="H20" s="17"/>
      <c r="I20" s="17"/>
      <c r="J20" s="17"/>
      <c r="K20" s="17"/>
      <c r="L20" s="17"/>
      <c r="M20" s="17"/>
      <c r="N20" s="17"/>
      <c r="O20" s="17"/>
      <c r="P20" s="17"/>
    </row>
    <row r="21" spans="1:16">
      <c r="A21" s="561"/>
      <c r="B21" s="72"/>
      <c r="C21" s="73"/>
      <c r="D21" s="134"/>
      <c r="E21" s="31"/>
      <c r="F21" s="552"/>
      <c r="G21" s="17"/>
      <c r="H21" s="17"/>
      <c r="I21" s="17"/>
      <c r="J21" s="17"/>
      <c r="K21" s="17"/>
      <c r="L21" s="17"/>
      <c r="M21" s="17"/>
      <c r="N21" s="17"/>
      <c r="O21" s="17"/>
      <c r="P21" s="17"/>
    </row>
    <row r="22" spans="1:16">
      <c r="A22" s="554" t="s">
        <v>42</v>
      </c>
      <c r="B22" s="31"/>
      <c r="C22" s="32"/>
      <c r="D22" s="365"/>
      <c r="E22" s="140"/>
      <c r="F22" s="552"/>
      <c r="G22" s="17"/>
      <c r="H22" s="17"/>
      <c r="I22" s="17"/>
      <c r="J22" s="17"/>
      <c r="K22" s="17"/>
      <c r="L22" s="17"/>
      <c r="M22" s="17"/>
      <c r="N22" s="17"/>
      <c r="O22" s="17"/>
      <c r="P22" s="17"/>
    </row>
    <row r="23" spans="1:16">
      <c r="A23" s="554" t="s">
        <v>44</v>
      </c>
      <c r="B23" s="31"/>
      <c r="C23" s="155"/>
      <c r="D23" s="365"/>
      <c r="E23" s="154"/>
      <c r="F23" s="552"/>
      <c r="G23" s="17"/>
      <c r="H23" s="17"/>
      <c r="I23" s="17"/>
      <c r="J23" s="17"/>
      <c r="K23" s="17"/>
      <c r="L23" s="17"/>
      <c r="M23" s="17"/>
      <c r="N23" s="17"/>
      <c r="O23" s="17"/>
      <c r="P23" s="17"/>
    </row>
    <row r="24" spans="1:16">
      <c r="A24" s="554" t="s">
        <v>227</v>
      </c>
      <c r="B24" s="31"/>
      <c r="C24" s="32"/>
      <c r="D24" s="365"/>
      <c r="E24" s="142"/>
      <c r="F24" s="552"/>
      <c r="G24" s="17"/>
      <c r="H24" s="17"/>
      <c r="I24" s="17"/>
      <c r="J24" s="17"/>
      <c r="K24" s="17"/>
      <c r="L24" s="17"/>
      <c r="M24" s="17"/>
      <c r="N24" s="17"/>
      <c r="O24" s="17"/>
      <c r="P24" s="17"/>
    </row>
    <row r="25" spans="1:16">
      <c r="A25" s="554" t="s">
        <v>161</v>
      </c>
      <c r="B25" s="31"/>
      <c r="C25" s="32"/>
      <c r="D25" s="365"/>
      <c r="E25" s="142"/>
      <c r="F25" s="552"/>
      <c r="G25" s="17"/>
      <c r="H25" s="17"/>
      <c r="I25" s="17"/>
      <c r="J25" s="17"/>
      <c r="K25" s="17"/>
      <c r="L25" s="17"/>
      <c r="M25" s="17"/>
      <c r="N25" s="17"/>
      <c r="O25" s="17"/>
      <c r="P25" s="17"/>
    </row>
    <row r="26" spans="1:16">
      <c r="A26" s="554" t="s">
        <v>68</v>
      </c>
      <c r="B26" s="31"/>
      <c r="C26" s="32"/>
      <c r="D26" s="365"/>
      <c r="E26" s="142"/>
      <c r="F26" s="552"/>
      <c r="G26" s="17"/>
      <c r="H26" s="17"/>
      <c r="I26" s="17"/>
      <c r="J26" s="17"/>
      <c r="K26" s="17"/>
      <c r="L26" s="17"/>
      <c r="M26" s="17"/>
      <c r="N26" s="17"/>
      <c r="O26" s="17"/>
      <c r="P26" s="17"/>
    </row>
    <row r="27" spans="1:16">
      <c r="A27" s="554" t="s">
        <v>48</v>
      </c>
      <c r="B27" s="31"/>
      <c r="C27" s="32"/>
      <c r="D27" s="365"/>
      <c r="E27" s="142"/>
      <c r="F27" s="552"/>
      <c r="G27" s="17"/>
      <c r="H27" s="17"/>
      <c r="I27" s="17"/>
      <c r="J27" s="17"/>
      <c r="K27" s="17"/>
      <c r="L27" s="17"/>
      <c r="M27" s="20"/>
      <c r="N27" s="20"/>
      <c r="O27" s="20"/>
      <c r="P27" s="16"/>
    </row>
    <row r="28" spans="1:16">
      <c r="A28" s="554" t="s">
        <v>168</v>
      </c>
      <c r="B28" s="80"/>
      <c r="C28" s="32"/>
      <c r="D28" s="365"/>
      <c r="E28" s="33"/>
      <c r="F28" s="552"/>
      <c r="G28" s="17"/>
      <c r="H28" s="17"/>
      <c r="I28" s="17"/>
      <c r="J28" s="17"/>
      <c r="K28" s="17"/>
      <c r="L28" s="17"/>
      <c r="M28" s="17"/>
      <c r="N28" s="21"/>
      <c r="O28" s="20"/>
      <c r="P28" s="16"/>
    </row>
    <row r="29" spans="1:16">
      <c r="A29" s="554" t="s">
        <v>174</v>
      </c>
      <c r="C29" s="32"/>
      <c r="D29" s="365"/>
      <c r="E29" s="142"/>
      <c r="F29" s="552"/>
      <c r="G29" s="17"/>
      <c r="H29" s="17"/>
      <c r="I29" s="17"/>
      <c r="J29" s="17"/>
      <c r="K29" s="17"/>
      <c r="L29" s="17"/>
      <c r="M29" s="17"/>
      <c r="N29" s="16"/>
      <c r="O29" s="16"/>
      <c r="P29" s="17"/>
    </row>
    <row r="30" spans="1:16">
      <c r="A30" s="554" t="s">
        <v>178</v>
      </c>
      <c r="C30" s="32"/>
      <c r="D30" s="365"/>
      <c r="E30" s="142"/>
      <c r="F30" s="552"/>
      <c r="G30" s="17"/>
      <c r="H30" s="17"/>
      <c r="I30" s="17"/>
      <c r="J30" s="17"/>
      <c r="K30" s="17"/>
      <c r="L30" s="17"/>
      <c r="M30" s="17"/>
      <c r="N30" s="16"/>
      <c r="O30" s="16"/>
      <c r="P30" s="17"/>
    </row>
    <row r="31" spans="1:16">
      <c r="A31" s="554" t="s">
        <v>99</v>
      </c>
      <c r="B31" s="31"/>
      <c r="C31" s="32"/>
      <c r="D31" s="365"/>
      <c r="E31" s="142"/>
      <c r="F31" s="552"/>
      <c r="G31" s="17"/>
      <c r="H31" s="17"/>
      <c r="I31" s="17"/>
      <c r="J31" s="17"/>
      <c r="K31" s="17"/>
      <c r="L31" s="17"/>
      <c r="M31" s="20"/>
      <c r="N31" s="20"/>
      <c r="O31" s="20"/>
      <c r="P31" s="16"/>
    </row>
    <row r="32" spans="1:16">
      <c r="A32" s="554" t="s">
        <v>49</v>
      </c>
      <c r="B32" s="31"/>
      <c r="C32" s="32"/>
      <c r="D32" s="365"/>
      <c r="E32" s="142"/>
      <c r="F32" s="552"/>
      <c r="G32" s="17"/>
      <c r="H32" s="17"/>
      <c r="I32" s="17"/>
      <c r="J32" s="17"/>
      <c r="K32" s="17"/>
      <c r="L32" s="17"/>
      <c r="M32" s="17"/>
      <c r="N32" s="17"/>
      <c r="O32" s="17"/>
      <c r="P32" s="16"/>
    </row>
    <row r="33" spans="1:16">
      <c r="A33" s="554" t="s">
        <v>176</v>
      </c>
      <c r="B33" s="31"/>
      <c r="C33" s="32"/>
      <c r="D33" s="365"/>
      <c r="E33" s="142"/>
      <c r="F33" s="552"/>
      <c r="G33" s="17"/>
      <c r="H33" s="17"/>
      <c r="I33" s="17"/>
      <c r="J33" s="17"/>
      <c r="K33" s="17"/>
      <c r="L33" s="17"/>
      <c r="M33" s="17"/>
      <c r="N33" s="17"/>
      <c r="O33" s="17"/>
      <c r="P33" s="16"/>
    </row>
    <row r="34" spans="1:16">
      <c r="A34" s="554" t="s">
        <v>66</v>
      </c>
      <c r="B34" s="75"/>
      <c r="C34" s="32"/>
      <c r="D34" s="365"/>
      <c r="E34" s="142"/>
      <c r="F34" s="552"/>
      <c r="G34" s="17"/>
      <c r="H34" s="17"/>
      <c r="I34" s="17"/>
      <c r="J34" s="17"/>
      <c r="K34" s="17"/>
      <c r="L34" s="17"/>
      <c r="M34" s="17"/>
      <c r="N34" s="17"/>
      <c r="O34" s="17"/>
      <c r="P34" s="17"/>
    </row>
    <row r="35" spans="1:16">
      <c r="A35" s="554" t="s">
        <v>162</v>
      </c>
      <c r="B35" s="75"/>
      <c r="C35" s="32"/>
      <c r="D35" s="365"/>
      <c r="E35" s="142"/>
      <c r="F35" s="552"/>
      <c r="G35" s="17"/>
      <c r="H35" s="17"/>
      <c r="I35" s="17"/>
      <c r="J35" s="17"/>
      <c r="K35" s="17"/>
      <c r="L35" s="17"/>
      <c r="M35" s="17"/>
      <c r="N35" s="17"/>
      <c r="O35" s="17"/>
      <c r="P35" s="17"/>
    </row>
    <row r="36" spans="1:16" ht="17.25">
      <c r="A36" s="554" t="s">
        <v>350</v>
      </c>
      <c r="B36" s="72"/>
      <c r="C36" s="32"/>
      <c r="D36" s="580"/>
      <c r="E36" s="142"/>
      <c r="F36" s="552"/>
      <c r="G36" s="17"/>
      <c r="H36" s="17"/>
      <c r="I36" s="17"/>
      <c r="J36" s="17"/>
      <c r="K36" s="17"/>
      <c r="L36" s="17"/>
      <c r="M36" s="78"/>
      <c r="N36" s="64"/>
      <c r="O36" s="21"/>
      <c r="P36" s="79"/>
    </row>
    <row r="37" spans="1:16" ht="15.75">
      <c r="A37" s="559" t="s">
        <v>45</v>
      </c>
      <c r="B37" s="119"/>
      <c r="C37" s="120"/>
      <c r="D37" s="399">
        <f>SUM(D22:D36)</f>
        <v>0</v>
      </c>
      <c r="E37" s="31"/>
      <c r="F37" s="552"/>
      <c r="G37" s="17"/>
      <c r="H37" s="17"/>
      <c r="I37" s="17"/>
      <c r="J37" s="17"/>
      <c r="K37" s="17"/>
      <c r="L37" s="17"/>
      <c r="M37" s="20"/>
      <c r="N37" s="17"/>
      <c r="O37" s="17"/>
      <c r="P37" s="16"/>
    </row>
    <row r="38" spans="1:16">
      <c r="A38" s="554"/>
      <c r="B38" s="36"/>
      <c r="D38" s="133"/>
      <c r="E38" s="31"/>
      <c r="F38" s="552"/>
      <c r="G38" s="17"/>
      <c r="H38" s="17"/>
      <c r="I38" s="17"/>
      <c r="J38" s="17"/>
      <c r="K38" s="17"/>
      <c r="L38" s="17"/>
      <c r="M38" s="17"/>
      <c r="N38" s="17"/>
      <c r="O38" s="17"/>
      <c r="P38" s="16"/>
    </row>
    <row r="39" spans="1:16">
      <c r="A39" s="562" t="s">
        <v>346</v>
      </c>
      <c r="B39" s="36"/>
      <c r="D39" s="134"/>
      <c r="E39" s="31"/>
      <c r="F39" s="552"/>
      <c r="G39" s="17"/>
      <c r="H39" s="17"/>
      <c r="I39" s="17"/>
      <c r="J39" s="17"/>
      <c r="K39" s="17"/>
      <c r="L39" s="17"/>
      <c r="M39" s="17"/>
      <c r="N39" s="17"/>
      <c r="O39" s="17"/>
      <c r="P39" s="16"/>
    </row>
    <row r="40" spans="1:16">
      <c r="A40" s="554" t="s">
        <v>72</v>
      </c>
      <c r="B40" s="400"/>
      <c r="C40" s="34" t="s">
        <v>363</v>
      </c>
      <c r="D40" s="137">
        <f>'Devel. Bud'!B40*'Cons Int &amp; Neg Arb'!C75</f>
        <v>0</v>
      </c>
      <c r="E40" s="33"/>
      <c r="F40" s="563"/>
      <c r="G40" s="17"/>
      <c r="H40" s="17"/>
      <c r="J40" s="17"/>
      <c r="K40" s="17"/>
      <c r="L40" s="17"/>
      <c r="M40" s="17"/>
      <c r="N40" s="17"/>
      <c r="O40" s="61"/>
      <c r="P40" s="63"/>
    </row>
    <row r="41" spans="1:16">
      <c r="A41" s="554" t="s">
        <v>73</v>
      </c>
      <c r="B41" s="400"/>
      <c r="C41" s="34" t="s">
        <v>364</v>
      </c>
      <c r="D41" s="137">
        <f>B41*'Cons Int &amp; Neg Arb'!C75*'Cons Int &amp; Neg Arb'!C17</f>
        <v>0</v>
      </c>
      <c r="E41" s="37"/>
      <c r="F41" s="564"/>
      <c r="G41" s="17"/>
      <c r="H41" s="17"/>
      <c r="I41" s="17"/>
      <c r="J41" s="17"/>
      <c r="K41" s="17"/>
      <c r="L41" s="17"/>
      <c r="M41" s="62"/>
      <c r="N41" s="64"/>
      <c r="O41" s="21"/>
      <c r="P41" s="16"/>
    </row>
    <row r="42" spans="1:16">
      <c r="A42" s="554" t="s">
        <v>347</v>
      </c>
      <c r="B42" s="400"/>
      <c r="C42" s="34" t="s">
        <v>365</v>
      </c>
      <c r="D42" s="137">
        <f>B42*$D$82</f>
        <v>0</v>
      </c>
      <c r="E42" s="37"/>
      <c r="F42" s="564"/>
      <c r="G42" s="17"/>
      <c r="H42" s="17"/>
      <c r="I42" s="17"/>
      <c r="J42" s="17"/>
      <c r="K42" s="17"/>
      <c r="L42" s="17"/>
      <c r="M42" s="20"/>
      <c r="N42" s="20"/>
      <c r="O42" s="20"/>
      <c r="P42" s="16"/>
    </row>
    <row r="43" spans="1:16">
      <c r="A43" s="565" t="s">
        <v>437</v>
      </c>
      <c r="B43" s="400"/>
      <c r="C43" s="34" t="s">
        <v>365</v>
      </c>
      <c r="D43" s="137">
        <f>B43*$D$82</f>
        <v>0</v>
      </c>
      <c r="E43" s="37"/>
      <c r="F43" s="564"/>
      <c r="G43" s="17"/>
      <c r="H43" s="17"/>
      <c r="I43" s="17"/>
      <c r="J43" s="17"/>
      <c r="K43" s="17"/>
      <c r="L43" s="17"/>
      <c r="M43" s="20"/>
      <c r="N43" s="20"/>
      <c r="O43" s="20"/>
      <c r="P43" s="16"/>
    </row>
    <row r="44" spans="1:16">
      <c r="A44" s="554" t="s">
        <v>69</v>
      </c>
      <c r="B44" s="400"/>
      <c r="C44" s="34" t="s">
        <v>365</v>
      </c>
      <c r="D44" s="137">
        <f>B44*$D$82</f>
        <v>0</v>
      </c>
      <c r="E44" s="33"/>
      <c r="F44" s="552"/>
      <c r="G44" s="17"/>
      <c r="H44" s="17"/>
      <c r="I44" s="17"/>
      <c r="J44" s="17"/>
      <c r="K44" s="17"/>
      <c r="L44" s="17"/>
      <c r="M44" s="17"/>
      <c r="N44" s="21"/>
      <c r="O44" s="20"/>
      <c r="P44" s="16"/>
    </row>
    <row r="45" spans="1:16">
      <c r="A45" s="554" t="s">
        <v>225</v>
      </c>
      <c r="B45" s="75"/>
      <c r="C45" s="32"/>
      <c r="D45" s="365"/>
      <c r="E45" s="33"/>
      <c r="F45" s="552"/>
      <c r="G45" s="17"/>
      <c r="H45" s="17"/>
      <c r="I45" s="17"/>
      <c r="J45" s="17"/>
      <c r="K45" s="17"/>
      <c r="L45" s="17"/>
      <c r="M45" s="17"/>
      <c r="N45" s="21"/>
      <c r="O45" s="20"/>
      <c r="P45" s="16"/>
    </row>
    <row r="46" spans="1:16">
      <c r="A46" s="554" t="s">
        <v>102</v>
      </c>
      <c r="B46" s="75"/>
      <c r="C46" s="32"/>
      <c r="D46" s="369"/>
      <c r="E46" s="31"/>
      <c r="F46" s="552"/>
      <c r="G46" s="17"/>
      <c r="H46" s="17"/>
      <c r="I46" s="17"/>
      <c r="J46" s="17"/>
      <c r="K46" s="17"/>
      <c r="L46" s="17"/>
      <c r="M46" s="17"/>
      <c r="N46" s="17"/>
      <c r="O46" s="17"/>
      <c r="P46" s="17"/>
    </row>
    <row r="47" spans="1:16">
      <c r="A47" s="565" t="s">
        <v>442</v>
      </c>
      <c r="B47" s="75"/>
      <c r="C47" s="32"/>
      <c r="D47" s="370"/>
      <c r="E47" s="131" t="s">
        <v>100</v>
      </c>
      <c r="F47" s="552"/>
      <c r="G47" s="17"/>
      <c r="H47" s="17"/>
      <c r="I47" s="17"/>
      <c r="J47" s="17"/>
      <c r="K47" s="17"/>
      <c r="L47" s="17"/>
      <c r="M47" s="17"/>
      <c r="N47" s="17"/>
      <c r="O47" s="17"/>
      <c r="P47" s="17"/>
    </row>
    <row r="48" spans="1:16" ht="14.25" customHeight="1">
      <c r="A48" s="554" t="s">
        <v>218</v>
      </c>
      <c r="B48" s="75"/>
      <c r="C48" s="32"/>
      <c r="D48" s="370"/>
      <c r="E48" s="131"/>
      <c r="F48" s="552"/>
      <c r="G48" s="17"/>
      <c r="H48" s="17"/>
      <c r="I48" s="17"/>
      <c r="J48" s="17"/>
      <c r="K48" s="17"/>
      <c r="L48" s="17"/>
      <c r="M48" s="17"/>
      <c r="N48" s="17"/>
      <c r="O48" s="17"/>
      <c r="P48" s="17"/>
    </row>
    <row r="49" spans="1:16" ht="17.25">
      <c r="A49" s="554" t="s">
        <v>177</v>
      </c>
      <c r="B49" s="75"/>
      <c r="C49" s="32"/>
      <c r="D49" s="371"/>
      <c r="E49" s="131"/>
      <c r="F49" s="552"/>
      <c r="G49" s="17"/>
      <c r="H49" s="17"/>
      <c r="I49" s="17"/>
      <c r="J49" s="17"/>
      <c r="K49" s="17"/>
      <c r="L49" s="17"/>
      <c r="M49" s="17"/>
      <c r="N49" s="17"/>
      <c r="O49" s="17"/>
      <c r="P49" s="17"/>
    </row>
    <row r="50" spans="1:16" ht="17.25">
      <c r="A50" s="554" t="s">
        <v>350</v>
      </c>
      <c r="B50" s="72"/>
      <c r="C50" s="32"/>
      <c r="D50" s="582"/>
      <c r="E50" s="142"/>
      <c r="F50" s="552"/>
      <c r="G50" s="17"/>
      <c r="H50" s="17"/>
      <c r="I50" s="17"/>
      <c r="J50" s="17"/>
      <c r="K50" s="17"/>
      <c r="L50" s="17"/>
      <c r="M50" s="78"/>
      <c r="N50" s="64"/>
      <c r="O50" s="21"/>
      <c r="P50" s="79"/>
    </row>
    <row r="51" spans="1:16" ht="15.75">
      <c r="A51" s="559" t="s">
        <v>45</v>
      </c>
      <c r="B51" s="119"/>
      <c r="C51" s="120"/>
      <c r="D51" s="135">
        <f>SUM(D40:D50)</f>
        <v>0</v>
      </c>
      <c r="E51" s="31"/>
      <c r="F51" s="552"/>
      <c r="G51" s="17"/>
      <c r="H51" s="17"/>
      <c r="I51" s="17"/>
      <c r="J51" s="17"/>
      <c r="K51" s="17"/>
      <c r="L51" s="17"/>
      <c r="M51" s="17"/>
      <c r="N51" s="17"/>
      <c r="O51" s="17"/>
      <c r="P51" s="17"/>
    </row>
    <row r="52" spans="1:16">
      <c r="A52" s="566"/>
      <c r="B52" s="122"/>
      <c r="C52" s="32"/>
      <c r="D52" s="167"/>
      <c r="E52" s="31"/>
      <c r="F52" s="552"/>
      <c r="G52" s="17"/>
      <c r="H52" s="17"/>
      <c r="I52" s="17"/>
      <c r="J52" s="17"/>
      <c r="K52" s="17"/>
      <c r="L52" s="17"/>
      <c r="M52" s="17"/>
      <c r="N52" s="17"/>
      <c r="O52" s="17"/>
      <c r="P52" s="17"/>
    </row>
    <row r="53" spans="1:16">
      <c r="A53" s="562" t="s">
        <v>344</v>
      </c>
      <c r="B53" s="31"/>
      <c r="C53" s="32"/>
      <c r="D53" s="168"/>
      <c r="E53" s="31"/>
      <c r="F53" s="552"/>
      <c r="G53" s="17"/>
      <c r="H53" s="17"/>
      <c r="I53" s="17"/>
      <c r="J53" s="17"/>
      <c r="K53" s="17"/>
      <c r="L53" s="17"/>
      <c r="M53" s="17"/>
      <c r="N53" s="17"/>
      <c r="O53" s="17"/>
      <c r="P53" s="17"/>
    </row>
    <row r="54" spans="1:16">
      <c r="A54" s="565" t="s">
        <v>515</v>
      </c>
      <c r="B54" s="31"/>
      <c r="C54" s="76"/>
      <c r="D54" s="403" t="e">
        <f ca="1">'Cons Int &amp; Neg Arb'!F43</f>
        <v>#DIV/0!</v>
      </c>
      <c r="E54" s="33" t="s">
        <v>345</v>
      </c>
      <c r="F54" s="552"/>
      <c r="G54" s="17"/>
      <c r="H54" s="17"/>
      <c r="I54" s="17"/>
      <c r="J54" s="17"/>
      <c r="K54" s="17"/>
      <c r="L54" s="17"/>
      <c r="M54" s="78"/>
      <c r="N54" s="17"/>
      <c r="O54" s="17"/>
      <c r="P54" s="17"/>
    </row>
    <row r="55" spans="1:16">
      <c r="A55" s="565" t="s">
        <v>516</v>
      </c>
      <c r="B55" s="678"/>
      <c r="C55" s="679"/>
      <c r="D55" s="41" t="e">
        <f ca="1">'Cons Int &amp; Neg Arb'!H43</f>
        <v>#DIV/0!</v>
      </c>
      <c r="E55" s="680"/>
      <c r="F55" s="552"/>
      <c r="G55" s="17"/>
      <c r="H55" s="17"/>
      <c r="I55" s="17"/>
      <c r="J55" s="17"/>
      <c r="K55" s="17"/>
      <c r="L55" s="17"/>
      <c r="M55" s="78"/>
      <c r="N55" s="17"/>
      <c r="O55" s="17"/>
      <c r="P55" s="17"/>
    </row>
    <row r="56" spans="1:16">
      <c r="A56" s="554" t="s">
        <v>46</v>
      </c>
      <c r="B56" s="31"/>
      <c r="C56" s="32"/>
      <c r="D56" s="41" t="e">
        <f ca="1">'Cons Int &amp; Neg Arb'!B68</f>
        <v>#DIV/0!</v>
      </c>
      <c r="E56" s="33"/>
      <c r="F56" s="567"/>
      <c r="G56" s="17"/>
      <c r="H56" s="17"/>
      <c r="I56" s="17"/>
      <c r="J56" s="17"/>
      <c r="K56" s="17"/>
      <c r="L56" s="17"/>
      <c r="M56" s="17"/>
      <c r="N56" s="17"/>
      <c r="O56" s="17"/>
      <c r="P56" s="17"/>
    </row>
    <row r="57" spans="1:16">
      <c r="A57" s="554" t="s">
        <v>223</v>
      </c>
      <c r="B57" s="75"/>
      <c r="C57" s="17"/>
      <c r="D57" s="469"/>
      <c r="E57" s="33"/>
      <c r="F57" s="552"/>
      <c r="G57" s="17"/>
      <c r="H57" s="17"/>
      <c r="I57" s="17"/>
      <c r="J57" s="17"/>
      <c r="K57" s="17"/>
      <c r="L57" s="17"/>
      <c r="M57" s="17"/>
      <c r="N57" s="17"/>
      <c r="O57" s="17"/>
      <c r="P57" s="17"/>
    </row>
    <row r="58" spans="1:16">
      <c r="A58" s="554" t="s">
        <v>179</v>
      </c>
      <c r="B58" s="31"/>
      <c r="C58" s="17"/>
      <c r="D58" s="470"/>
      <c r="E58" s="31"/>
      <c r="F58" s="552"/>
      <c r="G58" s="17"/>
      <c r="H58" s="17"/>
      <c r="I58" s="17"/>
      <c r="J58" s="17"/>
      <c r="K58" s="17"/>
      <c r="L58" s="17"/>
      <c r="M58" s="17"/>
      <c r="N58" s="17"/>
      <c r="O58" s="17"/>
      <c r="P58" s="17"/>
    </row>
    <row r="59" spans="1:16">
      <c r="A59" s="554" t="s">
        <v>51</v>
      </c>
      <c r="B59" s="31"/>
      <c r="C59" s="17"/>
      <c r="D59" s="470"/>
      <c r="E59" s="31"/>
      <c r="F59" s="552"/>
      <c r="G59" s="17"/>
      <c r="H59" s="17"/>
      <c r="I59" s="17"/>
      <c r="J59" s="17"/>
      <c r="K59" s="17"/>
      <c r="L59" s="17"/>
      <c r="M59" s="17"/>
      <c r="N59" s="17"/>
      <c r="O59" s="17"/>
      <c r="P59" s="17"/>
    </row>
    <row r="60" spans="1:16">
      <c r="A60" s="554" t="s">
        <v>50</v>
      </c>
      <c r="B60" s="139"/>
      <c r="C60" s="17"/>
      <c r="D60" s="469"/>
      <c r="E60" s="141"/>
      <c r="F60" s="552"/>
      <c r="G60" s="17"/>
      <c r="H60" s="17"/>
      <c r="I60" s="17"/>
      <c r="J60" s="17"/>
      <c r="K60" s="17"/>
      <c r="L60" s="17"/>
      <c r="M60" s="17"/>
      <c r="N60" s="17"/>
      <c r="O60" s="17"/>
      <c r="P60" s="16"/>
    </row>
    <row r="61" spans="1:16">
      <c r="A61" s="554" t="s">
        <v>167</v>
      </c>
      <c r="B61" s="17"/>
      <c r="C61" s="17"/>
      <c r="D61" s="470"/>
      <c r="E61" s="17"/>
      <c r="F61" s="552"/>
      <c r="G61" s="17"/>
      <c r="H61" s="17"/>
      <c r="I61" s="17"/>
      <c r="J61" s="17"/>
      <c r="K61" s="17"/>
      <c r="L61" s="17"/>
      <c r="M61" s="17"/>
      <c r="N61" s="17"/>
      <c r="O61" s="17"/>
      <c r="P61" s="16"/>
    </row>
    <row r="62" spans="1:16">
      <c r="A62" s="554" t="s">
        <v>52</v>
      </c>
      <c r="B62" s="154"/>
      <c r="C62" s="468"/>
      <c r="D62" s="469"/>
      <c r="E62" s="31"/>
      <c r="F62" s="552"/>
      <c r="G62" s="17"/>
      <c r="H62" s="17"/>
      <c r="I62" s="17"/>
      <c r="J62" s="17"/>
      <c r="K62" s="17"/>
      <c r="L62" s="17"/>
      <c r="M62" s="17"/>
      <c r="N62" s="17"/>
      <c r="O62" s="17"/>
      <c r="P62" s="17"/>
    </row>
    <row r="63" spans="1:16" ht="15.75">
      <c r="A63" s="554" t="s">
        <v>77</v>
      </c>
      <c r="B63" s="94"/>
      <c r="C63" s="94"/>
      <c r="D63" s="471"/>
      <c r="E63" s="121"/>
      <c r="F63" s="568"/>
    </row>
    <row r="64" spans="1:16" ht="17.25">
      <c r="A64" s="554" t="s">
        <v>350</v>
      </c>
      <c r="B64" s="72"/>
      <c r="C64" s="17"/>
      <c r="D64" s="581"/>
      <c r="E64" s="579"/>
      <c r="F64" s="552"/>
      <c r="G64" s="17"/>
      <c r="H64" s="17"/>
      <c r="I64" s="17"/>
      <c r="J64" s="17"/>
      <c r="K64" s="17"/>
      <c r="L64" s="17"/>
      <c r="M64" s="78"/>
      <c r="N64" s="64"/>
      <c r="O64" s="21"/>
      <c r="P64" s="79"/>
    </row>
    <row r="65" spans="1:16" ht="15.75">
      <c r="A65" s="559" t="s">
        <v>45</v>
      </c>
      <c r="B65" s="94"/>
      <c r="C65" s="94"/>
      <c r="D65" s="585" t="e">
        <f ca="1">SUM(D54:D64)</f>
        <v>#DIV/0!</v>
      </c>
      <c r="E65" s="121"/>
      <c r="F65" s="568"/>
    </row>
    <row r="66" spans="1:16">
      <c r="A66" s="554"/>
      <c r="B66" s="31"/>
      <c r="C66" s="32"/>
      <c r="D66" s="136"/>
      <c r="E66" s="31"/>
      <c r="F66" s="552"/>
      <c r="G66" s="17"/>
      <c r="H66" s="17"/>
      <c r="I66" s="17"/>
      <c r="J66" s="17"/>
      <c r="K66" s="17"/>
      <c r="L66" s="17"/>
      <c r="M66" s="17"/>
      <c r="N66" s="17"/>
      <c r="O66" s="17"/>
      <c r="P66" s="17"/>
    </row>
    <row r="67" spans="1:16">
      <c r="A67" s="562" t="s">
        <v>201</v>
      </c>
      <c r="B67" s="31"/>
      <c r="C67" s="32"/>
      <c r="D67" s="136"/>
      <c r="E67" s="31"/>
      <c r="F67" s="552"/>
      <c r="G67" s="17"/>
      <c r="H67" s="17"/>
      <c r="I67" s="17"/>
      <c r="J67" s="17"/>
      <c r="K67" s="17"/>
      <c r="L67" s="17"/>
      <c r="M67" s="17"/>
      <c r="N67" s="17"/>
      <c r="O67" s="17"/>
      <c r="P67" s="17"/>
    </row>
    <row r="68" spans="1:16">
      <c r="A68" s="554" t="s">
        <v>224</v>
      </c>
      <c r="B68" s="31"/>
      <c r="C68" s="32"/>
      <c r="D68" s="372"/>
      <c r="E68" s="31"/>
      <c r="F68" s="552"/>
      <c r="G68" s="17"/>
      <c r="H68" s="17"/>
      <c r="I68" s="17"/>
      <c r="J68" s="17"/>
      <c r="K68" s="17"/>
      <c r="L68" s="17"/>
      <c r="M68" s="17"/>
      <c r="N68" s="17"/>
      <c r="O68" s="17"/>
      <c r="P68" s="17"/>
    </row>
    <row r="69" spans="1:16">
      <c r="A69" s="554" t="s">
        <v>175</v>
      </c>
      <c r="B69" s="472"/>
      <c r="C69" s="81" t="s">
        <v>89</v>
      </c>
      <c r="D69" s="136">
        <f>B69*'Units &amp; Income'!C24</f>
        <v>0</v>
      </c>
      <c r="E69" s="33"/>
      <c r="F69" s="552"/>
      <c r="G69" s="17"/>
      <c r="H69" s="17"/>
      <c r="I69" s="17"/>
      <c r="J69" s="17"/>
      <c r="K69" s="17"/>
      <c r="L69" s="17"/>
      <c r="M69" s="17"/>
      <c r="N69" s="17"/>
      <c r="O69" s="17"/>
      <c r="P69" s="17"/>
    </row>
    <row r="70" spans="1:16">
      <c r="A70" s="554" t="s">
        <v>228</v>
      </c>
      <c r="B70" s="31"/>
      <c r="C70" s="81"/>
      <c r="D70" s="372"/>
      <c r="E70" s="33"/>
      <c r="F70" s="552"/>
      <c r="G70" s="17"/>
      <c r="H70" s="17"/>
      <c r="I70" s="17"/>
      <c r="J70" s="17"/>
      <c r="K70" s="17"/>
      <c r="L70" s="17"/>
      <c r="M70" s="17"/>
      <c r="N70" s="17"/>
      <c r="O70" s="17"/>
      <c r="P70" s="17"/>
    </row>
    <row r="71" spans="1:16">
      <c r="A71" s="554" t="s">
        <v>76</v>
      </c>
      <c r="B71" s="31"/>
      <c r="C71" s="32"/>
      <c r="D71" s="410"/>
      <c r="E71" s="44" t="e">
        <f ca="1">D71/D74</f>
        <v>#DIV/0!</v>
      </c>
      <c r="F71" s="552" t="s">
        <v>95</v>
      </c>
      <c r="G71" s="17"/>
      <c r="H71" s="17"/>
      <c r="I71" s="17"/>
      <c r="J71" s="17"/>
      <c r="K71" s="17"/>
      <c r="L71" s="17"/>
      <c r="M71" s="17"/>
      <c r="N71" s="17"/>
      <c r="O71" s="17"/>
      <c r="P71" s="17"/>
    </row>
    <row r="72" spans="1:16" ht="15.75">
      <c r="A72" s="569" t="s">
        <v>45</v>
      </c>
      <c r="B72" s="31"/>
      <c r="C72" s="32"/>
      <c r="D72" s="135">
        <f>SUM(D67:D71)</f>
        <v>0</v>
      </c>
      <c r="E72" s="37"/>
      <c r="F72" s="552"/>
      <c r="G72" s="20"/>
      <c r="H72" s="17"/>
      <c r="I72" s="17"/>
      <c r="J72" s="17"/>
      <c r="K72" s="17"/>
      <c r="L72" s="17"/>
      <c r="M72" s="17"/>
      <c r="N72" s="17"/>
      <c r="O72" s="17"/>
      <c r="P72" s="17"/>
    </row>
    <row r="73" spans="1:16">
      <c r="A73" s="554"/>
      <c r="B73" s="31"/>
      <c r="C73" s="32"/>
      <c r="D73" s="133"/>
      <c r="E73" s="37"/>
      <c r="F73" s="552"/>
      <c r="G73" s="20"/>
      <c r="H73" s="17"/>
      <c r="I73" s="17"/>
      <c r="J73" s="17"/>
      <c r="K73" s="17"/>
      <c r="L73" s="17"/>
      <c r="M73" s="17"/>
      <c r="N73" s="17"/>
      <c r="O73" s="17"/>
      <c r="P73" s="17"/>
    </row>
    <row r="74" spans="1:16" ht="15.75">
      <c r="A74" s="562" t="s">
        <v>94</v>
      </c>
      <c r="B74" s="31"/>
      <c r="C74" s="32"/>
      <c r="D74" s="399" t="e">
        <f ca="1">D37+D51+D65+D72</f>
        <v>#DIV/0!</v>
      </c>
      <c r="E74" s="37"/>
      <c r="F74" s="552"/>
      <c r="G74" s="20"/>
      <c r="H74" s="17"/>
      <c r="I74" s="17"/>
      <c r="J74" s="17"/>
      <c r="K74" s="17"/>
      <c r="L74" s="17"/>
      <c r="M74" s="17"/>
      <c r="N74" s="17"/>
      <c r="O74" s="17"/>
      <c r="P74" s="17"/>
    </row>
    <row r="75" spans="1:16">
      <c r="A75" s="554"/>
      <c r="B75" s="31"/>
      <c r="C75" s="32"/>
      <c r="D75" s="133"/>
      <c r="E75" s="25"/>
      <c r="F75" s="570"/>
      <c r="G75" s="17"/>
      <c r="H75" s="17"/>
      <c r="I75" s="17"/>
      <c r="J75" s="17"/>
      <c r="K75" s="17"/>
      <c r="L75" s="17"/>
      <c r="M75" s="17"/>
      <c r="N75" s="17"/>
      <c r="O75" s="17"/>
      <c r="P75" s="17"/>
    </row>
    <row r="76" spans="1:16" ht="15.75">
      <c r="A76" s="562" t="s">
        <v>53</v>
      </c>
      <c r="B76" s="117"/>
      <c r="C76" s="118"/>
      <c r="D76" s="373"/>
      <c r="E76" s="82" t="e">
        <f ca="1">D76/(D79-D76)</f>
        <v>#DIV/0!</v>
      </c>
      <c r="F76" s="571" t="s">
        <v>362</v>
      </c>
      <c r="G76" s="17"/>
    </row>
    <row r="77" spans="1:16">
      <c r="A77" s="554"/>
      <c r="B77" s="31"/>
      <c r="C77" s="32"/>
      <c r="D77" s="133"/>
      <c r="E77" s="31"/>
      <c r="F77" s="552"/>
    </row>
    <row r="78" spans="1:16">
      <c r="A78" s="554"/>
      <c r="B78" s="31"/>
      <c r="C78" s="32"/>
      <c r="D78" s="133"/>
      <c r="E78" s="31"/>
      <c r="F78" s="552"/>
      <c r="J78" s="153"/>
    </row>
    <row r="79" spans="1:16" ht="15.75">
      <c r="A79" s="572" t="s">
        <v>54</v>
      </c>
      <c r="B79" s="573"/>
      <c r="C79" s="574"/>
      <c r="D79" s="575" t="e">
        <f ca="1">D7+D17+D74+D76</f>
        <v>#DIV/0!</v>
      </c>
      <c r="E79" s="576"/>
      <c r="F79" s="577"/>
    </row>
    <row r="80" spans="1:16" ht="12.75" customHeight="1">
      <c r="A80" s="17"/>
      <c r="B80" s="17"/>
      <c r="C80" s="17"/>
      <c r="D80" s="137"/>
      <c r="F80" s="20"/>
    </row>
    <row r="81" spans="1:8" ht="15.75">
      <c r="A81" s="149" t="s">
        <v>75</v>
      </c>
      <c r="B81" s="17"/>
      <c r="C81" s="156"/>
      <c r="D81" s="134"/>
      <c r="E81" s="83"/>
      <c r="F81" s="48"/>
      <c r="G81" s="17"/>
    </row>
    <row r="82" spans="1:8">
      <c r="A82" s="804" t="str">
        <f t="shared" ref="A82:A86" si="0">A96</f>
        <v>First Mortgage (Lender:                                )</v>
      </c>
      <c r="B82" s="805"/>
      <c r="C82" s="806"/>
      <c r="D82" s="807"/>
      <c r="E82" s="808" t="e">
        <f ca="1">D82/$D$79</f>
        <v>#DIV/0!</v>
      </c>
    </row>
    <row r="83" spans="1:8">
      <c r="A83" s="809" t="str">
        <f t="shared" si="0"/>
        <v>Second Mortgage (Lender:                                )</v>
      </c>
      <c r="B83" s="810"/>
      <c r="C83" s="468"/>
      <c r="D83" s="811">
        <f>D97</f>
        <v>0</v>
      </c>
      <c r="E83" s="812" t="e">
        <f t="shared" ref="E83:E91" ca="1" si="1">D83/$D$79</f>
        <v>#DIV/0!</v>
      </c>
      <c r="F83" s="20"/>
    </row>
    <row r="84" spans="1:8">
      <c r="A84" s="809" t="str">
        <f t="shared" si="0"/>
        <v>Third Mortgage (Lender:                                )</v>
      </c>
      <c r="B84" s="813"/>
      <c r="C84" s="814"/>
      <c r="D84" s="811">
        <f>D98</f>
        <v>0</v>
      </c>
      <c r="E84" s="812" t="e">
        <f t="shared" ca="1" si="1"/>
        <v>#DIV/0!</v>
      </c>
      <c r="H84" s="153"/>
    </row>
    <row r="85" spans="1:8">
      <c r="A85" s="809" t="str">
        <f t="shared" si="0"/>
        <v>Fourth Mortgage (Lender:                                )</v>
      </c>
      <c r="B85" s="813"/>
      <c r="C85" s="814"/>
      <c r="D85" s="811">
        <f>D99</f>
        <v>0</v>
      </c>
      <c r="E85" s="812" t="e">
        <f t="shared" ca="1" si="1"/>
        <v>#DIV/0!</v>
      </c>
      <c r="H85" s="153"/>
    </row>
    <row r="86" spans="1:8">
      <c r="A86" s="809" t="str">
        <f t="shared" si="0"/>
        <v>LIHTC Equity</v>
      </c>
      <c r="B86" s="813"/>
      <c r="C86" s="814"/>
      <c r="D86" s="815"/>
      <c r="E86" s="812" t="e">
        <f t="shared" ca="1" si="1"/>
        <v>#DIV/0!</v>
      </c>
      <c r="G86" s="17"/>
      <c r="H86" s="153"/>
    </row>
    <row r="87" spans="1:8">
      <c r="A87" s="816" t="s">
        <v>524</v>
      </c>
      <c r="B87" s="813"/>
      <c r="C87" s="814"/>
      <c r="D87" s="834">
        <f>SUM(D69:D70)</f>
        <v>0</v>
      </c>
      <c r="E87" s="812" t="e">
        <f t="shared" ca="1" si="1"/>
        <v>#DIV/0!</v>
      </c>
      <c r="G87" s="17"/>
      <c r="H87" s="153"/>
    </row>
    <row r="88" spans="1:8">
      <c r="A88" s="816" t="s">
        <v>519</v>
      </c>
      <c r="B88" s="813"/>
      <c r="C88" s="814"/>
      <c r="D88" s="834" t="e">
        <f ca="1">D55</f>
        <v>#DIV/0!</v>
      </c>
      <c r="E88" s="812" t="e">
        <f t="shared" ca="1" si="1"/>
        <v>#DIV/0!</v>
      </c>
      <c r="G88" s="17"/>
      <c r="H88" s="153"/>
    </row>
    <row r="89" spans="1:8">
      <c r="A89" s="809" t="str">
        <f>A103</f>
        <v>Deferred Developer's Fee</v>
      </c>
      <c r="B89" s="813"/>
      <c r="C89" s="814"/>
      <c r="D89" s="817"/>
      <c r="E89" s="812" t="e">
        <f t="shared" ca="1" si="1"/>
        <v>#DIV/0!</v>
      </c>
      <c r="G89" s="17"/>
      <c r="H89" s="153"/>
    </row>
    <row r="90" spans="1:8">
      <c r="A90" s="809" t="str">
        <f>A104</f>
        <v>Developer Equity</v>
      </c>
      <c r="B90" s="813"/>
      <c r="C90" s="814"/>
      <c r="D90" s="815"/>
      <c r="E90" s="812" t="e">
        <f ca="1">D90/$D$79</f>
        <v>#DIV/0!</v>
      </c>
      <c r="G90" s="17"/>
      <c r="H90" s="153"/>
    </row>
    <row r="91" spans="1:8">
      <c r="A91" s="809" t="str">
        <f>A105</f>
        <v>Other source (Specify:                                )</v>
      </c>
      <c r="B91" s="813"/>
      <c r="C91" s="814"/>
      <c r="D91" s="817"/>
      <c r="E91" s="812" t="e">
        <f t="shared" ca="1" si="1"/>
        <v>#DIV/0!</v>
      </c>
      <c r="G91" s="17"/>
      <c r="H91" s="153"/>
    </row>
    <row r="92" spans="1:8">
      <c r="A92" s="829" t="s">
        <v>445</v>
      </c>
      <c r="B92" s="819"/>
      <c r="C92" s="820"/>
      <c r="D92" s="832" t="e">
        <f ca="1">D79-SUM(D82:D91)</f>
        <v>#DIV/0!</v>
      </c>
      <c r="E92" s="831" t="e">
        <f ca="1">D92/$D$79</f>
        <v>#DIV/0!</v>
      </c>
      <c r="G92" s="17"/>
      <c r="H92" s="153"/>
    </row>
    <row r="93" spans="1:8" ht="15.75">
      <c r="A93" s="818" t="s">
        <v>1</v>
      </c>
      <c r="B93" s="819"/>
      <c r="C93" s="820"/>
      <c r="D93" s="821" t="e">
        <f ca="1">SUM(D82:D91)</f>
        <v>#DIV/0!</v>
      </c>
      <c r="E93" s="822" t="e">
        <f ca="1">SUM(E82:E91)</f>
        <v>#DIV/0!</v>
      </c>
      <c r="G93" s="17"/>
      <c r="H93" s="153"/>
    </row>
    <row r="94" spans="1:8">
      <c r="C94" s="153"/>
      <c r="D94" s="137" t="s">
        <v>100</v>
      </c>
      <c r="F94"/>
      <c r="G94" s="17"/>
    </row>
    <row r="95" spans="1:8" ht="15.75">
      <c r="A95" s="149" t="s">
        <v>71</v>
      </c>
      <c r="B95" s="17"/>
      <c r="C95" s="156"/>
      <c r="D95" s="134"/>
      <c r="E95" s="20"/>
      <c r="F95" s="20"/>
      <c r="G95" s="17"/>
    </row>
    <row r="96" spans="1:8">
      <c r="A96" s="804" t="s">
        <v>232</v>
      </c>
      <c r="B96" s="823"/>
      <c r="C96" s="824"/>
      <c r="D96" s="833" t="e">
        <f ca="1">FIRST</f>
        <v>#DIV/0!</v>
      </c>
      <c r="E96" s="808" t="e">
        <f ca="1">D96/$D$79</f>
        <v>#DIV/0!</v>
      </c>
      <c r="F96" s="20"/>
      <c r="G96" s="17"/>
    </row>
    <row r="97" spans="1:8">
      <c r="A97" s="809" t="s">
        <v>233</v>
      </c>
      <c r="B97" s="810"/>
      <c r="C97" s="468"/>
      <c r="D97" s="825">
        <f>Mort!I31</f>
        <v>0</v>
      </c>
      <c r="E97" s="812" t="e">
        <f t="shared" ref="E97:E105" ca="1" si="2">D97/$D$79</f>
        <v>#DIV/0!</v>
      </c>
      <c r="F97" s="17"/>
      <c r="G97" s="10"/>
      <c r="H97" s="10"/>
    </row>
    <row r="98" spans="1:8">
      <c r="A98" s="809" t="s">
        <v>234</v>
      </c>
      <c r="B98" s="810"/>
      <c r="C98" s="468"/>
      <c r="D98" s="825">
        <f>Mort!J31</f>
        <v>0</v>
      </c>
      <c r="E98" s="812" t="e">
        <f t="shared" ca="1" si="2"/>
        <v>#DIV/0!</v>
      </c>
      <c r="F98" s="134"/>
      <c r="G98" s="10"/>
      <c r="H98" s="42"/>
    </row>
    <row r="99" spans="1:8">
      <c r="A99" s="809" t="s">
        <v>235</v>
      </c>
      <c r="B99" s="810"/>
      <c r="C99" s="468"/>
      <c r="D99" s="825">
        <f>Mort!K31</f>
        <v>0</v>
      </c>
      <c r="E99" s="812" t="e">
        <f t="shared" ca="1" si="2"/>
        <v>#DIV/0!</v>
      </c>
      <c r="F99" s="17"/>
      <c r="G99" s="49"/>
      <c r="H99" s="42"/>
    </row>
    <row r="100" spans="1:8" ht="15.75">
      <c r="A100" s="809" t="s">
        <v>226</v>
      </c>
      <c r="B100" s="810"/>
      <c r="C100" s="468"/>
      <c r="D100" s="815"/>
      <c r="E100" s="812" t="e">
        <f t="shared" ca="1" si="2"/>
        <v>#DIV/0!</v>
      </c>
      <c r="F100" s="7"/>
      <c r="G100" s="185"/>
      <c r="H100" s="42"/>
    </row>
    <row r="101" spans="1:8" ht="15.75">
      <c r="A101" s="816" t="s">
        <v>524</v>
      </c>
      <c r="B101" s="810"/>
      <c r="C101" s="468"/>
      <c r="D101" s="834">
        <v>0</v>
      </c>
      <c r="E101" s="812" t="e">
        <f t="shared" ca="1" si="2"/>
        <v>#DIV/0!</v>
      </c>
      <c r="F101" s="7"/>
      <c r="G101" s="185"/>
      <c r="H101" s="42"/>
    </row>
    <row r="102" spans="1:8" ht="15.75">
      <c r="A102" s="816" t="s">
        <v>519</v>
      </c>
      <c r="B102" s="810"/>
      <c r="C102" s="468"/>
      <c r="D102" s="834" t="e">
        <f ca="1">D88</f>
        <v>#DIV/0!</v>
      </c>
      <c r="E102" s="812" t="e">
        <f t="shared" ca="1" si="2"/>
        <v>#DIV/0!</v>
      </c>
      <c r="F102" s="7"/>
      <c r="G102" s="185"/>
      <c r="H102" s="42"/>
    </row>
    <row r="103" spans="1:8" ht="15.75">
      <c r="A103" s="809" t="s">
        <v>63</v>
      </c>
      <c r="B103" s="810"/>
      <c r="C103" s="468"/>
      <c r="D103" s="817">
        <f>'Cash Flow'!C29</f>
        <v>0</v>
      </c>
      <c r="E103" s="812" t="e">
        <f t="shared" ca="1" si="2"/>
        <v>#DIV/0!</v>
      </c>
      <c r="F103" s="7"/>
      <c r="G103" s="185"/>
      <c r="H103" s="42"/>
    </row>
    <row r="104" spans="1:8" ht="15.75">
      <c r="A104" s="809" t="s">
        <v>236</v>
      </c>
      <c r="B104" s="810"/>
      <c r="C104" s="468"/>
      <c r="D104" s="815"/>
      <c r="E104" s="812" t="e">
        <f ca="1">D104/$D$79</f>
        <v>#DIV/0!</v>
      </c>
      <c r="F104" s="7"/>
      <c r="G104" s="185"/>
      <c r="H104" s="42"/>
    </row>
    <row r="105" spans="1:8" ht="15" customHeight="1">
      <c r="A105" s="816" t="s">
        <v>674</v>
      </c>
      <c r="B105" s="810"/>
      <c r="C105" s="468"/>
      <c r="D105" s="817"/>
      <c r="E105" s="812" t="e">
        <f t="shared" ca="1" si="2"/>
        <v>#DIV/0!</v>
      </c>
      <c r="F105" s="20"/>
      <c r="G105" s="17"/>
    </row>
    <row r="106" spans="1:8" ht="15.75">
      <c r="A106" s="829" t="s">
        <v>445</v>
      </c>
      <c r="B106" s="830"/>
      <c r="C106" s="827"/>
      <c r="D106" s="832" t="e">
        <f ca="1">D79-SUM(D96:D105)</f>
        <v>#DIV/0!</v>
      </c>
      <c r="E106" s="831" t="e">
        <f ca="1">D106/$D$79</f>
        <v>#DIV/0!</v>
      </c>
      <c r="F106" s="7"/>
      <c r="G106" s="185"/>
      <c r="H106" s="42"/>
    </row>
    <row r="107" spans="1:8" ht="15.75">
      <c r="A107" s="818" t="str">
        <f>A93</f>
        <v>Total</v>
      </c>
      <c r="B107" s="826"/>
      <c r="C107" s="827"/>
      <c r="D107" s="828" t="e">
        <f ca="1">SUM(D96:D105)</f>
        <v>#DIV/0!</v>
      </c>
      <c r="E107" s="822" t="e">
        <f ca="1">SUM(E96:E105)</f>
        <v>#DIV/0!</v>
      </c>
      <c r="F107" s="20"/>
    </row>
    <row r="108" spans="1:8" ht="15.75">
      <c r="A108" s="17"/>
      <c r="B108" s="66"/>
      <c r="C108" s="157"/>
      <c r="D108" s="144"/>
      <c r="E108" s="21"/>
      <c r="F108" s="7"/>
      <c r="G108" s="17"/>
    </row>
    <row r="109" spans="1:8">
      <c r="A109" s="17"/>
      <c r="B109" s="17"/>
      <c r="C109" s="156"/>
      <c r="D109" s="134"/>
      <c r="E109" s="21"/>
      <c r="F109" s="20"/>
    </row>
    <row r="110" spans="1:8">
      <c r="A110" s="17"/>
      <c r="B110" s="17"/>
      <c r="C110" s="156"/>
      <c r="D110" s="134"/>
      <c r="E110" s="20"/>
      <c r="F110" s="20"/>
    </row>
    <row r="111" spans="1:8">
      <c r="A111" s="10"/>
      <c r="B111" s="10"/>
      <c r="C111" s="158"/>
      <c r="D111" s="138"/>
      <c r="E111" s="17"/>
      <c r="F111" s="186"/>
    </row>
    <row r="112" spans="1:8">
      <c r="A112" s="22"/>
      <c r="B112" s="12"/>
      <c r="C112" s="153"/>
    </row>
    <row r="113" spans="3:3">
      <c r="C113" s="153"/>
    </row>
    <row r="114" spans="3:3">
      <c r="C114" s="153"/>
    </row>
    <row r="115" spans="3:3">
      <c r="C115" s="153"/>
    </row>
    <row r="116" spans="3:3">
      <c r="C116" s="153"/>
    </row>
  </sheetData>
  <customSheetViews>
    <customSheetView guid="{560D4AFA-61E5-46C3-B0CD-D0EB3053A033}" scale="70" colorId="22" showPageBreaks="1" fitToPage="1" printArea="1" hiddenRows="1" showRuler="0">
      <selection activeCell="I23" sqref="I23"/>
      <pageMargins left="0.75" right="0.5" top="0.75" bottom="0.5" header="0.5" footer="0.5"/>
      <pageSetup scale="49" orientation="portrait" r:id="rId1"/>
      <headerFooter alignWithMargins="0"/>
    </customSheetView>
    <customSheetView guid="{1ECE83C7-A3CE-4F97-BFD3-498FF783C0D9}" scale="70" colorId="22" showPageBreaks="1" fitToPage="1" printArea="1" showRuler="0" topLeftCell="A34">
      <selection activeCell="A60" sqref="A60"/>
      <pageMargins left="0.75" right="0.5" top="0.75" bottom="0.5" header="0.5" footer="0.5"/>
      <pageSetup scale="53" orientation="portrait" r:id="rId2"/>
      <headerFooter alignWithMargins="0"/>
    </customSheetView>
    <customSheetView guid="{6EF643BE-69F3-424E-8A44-3890161370D4}" scale="75" colorId="22" showPageBreaks="1" fitToPage="1" printArea="1" showRuler="0">
      <selection activeCell="E77" sqref="E77"/>
      <pageMargins left="0.5" right="0.5" top="0.5" bottom="0.5" header="0.5" footer="0.5"/>
      <pageSetup scale="67" orientation="portrait" r:id="rId3"/>
      <headerFooter alignWithMargins="0"/>
    </customSheetView>
    <customSheetView guid="{FBB4BF8E-8A9F-4E98-A6F9-5F9BF4C55C67}" scale="75" colorId="22" showPageBreaks="1" fitToPage="1" printArea="1" hiddenColumns="1" showRuler="0" topLeftCell="B49">
      <selection activeCell="F54" sqref="F54"/>
      <pageMargins left="0.5" right="0.5" top="0.5" bottom="0.5" header="0.5" footer="0.5"/>
      <pageSetup scale="64" orientation="portrait" r:id="rId4"/>
      <headerFooter alignWithMargins="0"/>
    </customSheetView>
    <customSheetView guid="{EB776EFC-3589-4DB5-BEAF-1E83D9703F9E}" scale="75" colorId="22" fitToPage="1" hiddenColumns="1" showRuler="0" topLeftCell="A52">
      <selection activeCell="F56" sqref="F56"/>
      <pageMargins left="0.5" right="0.5" top="0.5" bottom="0.5" header="0.5" footer="0.5"/>
      <pageSetup scale="63" orientation="portrait" r:id="rId5"/>
      <headerFooter alignWithMargins="0"/>
    </customSheetView>
    <customSheetView guid="{AEA5979F-5357-4ED6-A6CA-1BB80F5C7A74}" scale="75" colorId="22" showPageBreaks="1" fitToPage="1" printArea="1" showRuler="0" topLeftCell="A49">
      <selection activeCell="C83" sqref="C83"/>
      <pageMargins left="0.5" right="0.5" top="0.5" bottom="0.5" header="0.5" footer="0.5"/>
      <pageSetup scale="61" orientation="portrait" r:id="rId6"/>
      <headerFooter alignWithMargins="0"/>
    </customSheetView>
    <customSheetView guid="{28F81D13-D146-4D67-8981-BA5D7A496326}" scale="75" colorId="22" showPageBreaks="1" fitToPage="1" printArea="1" showRuler="0" topLeftCell="C1">
      <selection activeCell="G77" sqref="A1:G77"/>
      <pageMargins left="0.5" right="0.5" top="0.5" bottom="0.5" header="0.5" footer="0.5"/>
      <pageSetup scale="61" orientation="portrait" r:id="rId7"/>
      <headerFooter alignWithMargins="0"/>
    </customSheetView>
    <customSheetView guid="{25C4E7E7-1006-4A2D-BC83-AEE4ADF8A914}" scale="70" colorId="22" showPageBreaks="1" fitToPage="1" printArea="1" hiddenRows="1" showRuler="0" topLeftCell="A31">
      <selection activeCell="A42" sqref="A42"/>
      <pageMargins left="0.75" right="0.5" top="0.75" bottom="0.5" header="0.5" footer="0.5"/>
      <pageSetup scale="49" orientation="portrait" r:id="rId8"/>
      <headerFooter alignWithMargins="0"/>
    </customSheetView>
  </customSheetViews>
  <phoneticPr fontId="0" type="noConversion"/>
  <pageMargins left="0.75" right="0.5" top="0.75" bottom="0.5" header="0.5" footer="0.5"/>
  <pageSetup scale="46" firstPageNumber="207" orientation="portrait" useFirstPageNumber="1"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97"/>
  <sheetViews>
    <sheetView workbookViewId="0"/>
  </sheetViews>
  <sheetFormatPr defaultColWidth="8.88671875" defaultRowHeight="15"/>
  <cols>
    <col min="1" max="1" width="27.109375" style="40" bestFit="1" customWidth="1"/>
    <col min="2" max="2" width="15" style="40" customWidth="1"/>
    <col min="3" max="3" width="14.6640625" style="40" customWidth="1"/>
    <col min="4" max="5" width="15.109375" style="40" customWidth="1"/>
    <col min="6" max="6" width="15.88671875" style="40" customWidth="1"/>
    <col min="7" max="7" width="14.88671875" style="40" customWidth="1"/>
    <col min="8" max="8" width="16.33203125" style="40" customWidth="1"/>
    <col min="9" max="9" width="11.33203125" style="40" customWidth="1"/>
    <col min="10" max="16384" width="8.88671875" style="40"/>
  </cols>
  <sheetData>
    <row r="1" spans="1:6" ht="15.75">
      <c r="A1" s="1" t="str">
        <f>'Devel. Bud'!A1</f>
        <v xml:space="preserve">Project Name: </v>
      </c>
      <c r="E1" s="98"/>
      <c r="F1" s="98"/>
    </row>
    <row r="2" spans="1:6" ht="15.75">
      <c r="A2" s="1" t="str">
        <f>'Devel. Bud'!A2</f>
        <v>Development Team:</v>
      </c>
      <c r="E2" s="98"/>
      <c r="F2" s="98"/>
    </row>
    <row r="3" spans="1:6" ht="15.75">
      <c r="A3" s="1" t="str">
        <f>'Devel. Bud'!A3</f>
        <v>Site:</v>
      </c>
      <c r="E3" s="98" t="str">
        <f>'Sources and Use'!C3</f>
        <v>Units:</v>
      </c>
      <c r="F3" s="98">
        <f>'Units &amp; Income'!C24</f>
        <v>0</v>
      </c>
    </row>
    <row r="4" spans="1:6" ht="15.75">
      <c r="A4" s="27"/>
      <c r="E4" s="41"/>
    </row>
    <row r="5" spans="1:6" ht="15.75">
      <c r="A5" s="27" t="s">
        <v>185</v>
      </c>
      <c r="E5" s="41"/>
    </row>
    <row r="6" spans="1:6" ht="15.75">
      <c r="A6" s="27"/>
      <c r="E6" s="41"/>
    </row>
    <row r="7" spans="1:6" ht="15.75">
      <c r="A7" s="27"/>
      <c r="E7" s="41"/>
    </row>
    <row r="8" spans="1:6" ht="15.75">
      <c r="A8" s="27" t="s">
        <v>119</v>
      </c>
      <c r="B8" s="85"/>
      <c r="C8" s="85" t="s">
        <v>118</v>
      </c>
    </row>
    <row r="9" spans="1:6">
      <c r="A9" s="85" t="s">
        <v>85</v>
      </c>
      <c r="B9" s="137" t="e">
        <f ca="1">'Devel. Bud'!D96</f>
        <v>#DIV/0!</v>
      </c>
      <c r="C9" s="69" t="e">
        <f ca="1">B9/B11</f>
        <v>#DIV/0!</v>
      </c>
    </row>
    <row r="10" spans="1:6">
      <c r="A10" s="85" t="s">
        <v>86</v>
      </c>
      <c r="B10" s="41" t="e">
        <f ca="1">B11-B9</f>
        <v>#DIV/0!</v>
      </c>
      <c r="C10" s="69" t="e">
        <f ca="1">B10/B11</f>
        <v>#DIV/0!</v>
      </c>
    </row>
    <row r="11" spans="1:6" ht="15.75">
      <c r="A11" s="85" t="s">
        <v>84</v>
      </c>
      <c r="B11" s="188">
        <f>'Devel. Bud'!D82</f>
        <v>0</v>
      </c>
    </row>
    <row r="12" spans="1:6" ht="15.75">
      <c r="A12" s="94"/>
    </row>
    <row r="13" spans="1:6" ht="15.75">
      <c r="A13" s="94"/>
    </row>
    <row r="14" spans="1:6" ht="15.75">
      <c r="A14" s="98" t="s">
        <v>36</v>
      </c>
      <c r="B14" s="85" t="s">
        <v>120</v>
      </c>
      <c r="C14" s="85" t="s">
        <v>121</v>
      </c>
    </row>
    <row r="15" spans="1:6">
      <c r="A15" s="85" t="s">
        <v>122</v>
      </c>
      <c r="B15" s="97"/>
      <c r="C15" s="404">
        <f>B15/12</f>
        <v>0</v>
      </c>
      <c r="E15" s="41"/>
    </row>
    <row r="16" spans="1:6">
      <c r="A16" s="85" t="s">
        <v>123</v>
      </c>
      <c r="B16" s="97"/>
      <c r="C16" s="404">
        <f>B16/12</f>
        <v>0</v>
      </c>
      <c r="E16" s="41"/>
    </row>
    <row r="17" spans="1:8">
      <c r="A17" s="85" t="s">
        <v>124</v>
      </c>
      <c r="B17" s="40">
        <f>B15+B16</f>
        <v>0</v>
      </c>
      <c r="C17" s="404">
        <f>B17/12</f>
        <v>0</v>
      </c>
      <c r="E17" s="41"/>
    </row>
    <row r="18" spans="1:8">
      <c r="A18" s="85"/>
      <c r="E18" s="41"/>
    </row>
    <row r="19" spans="1:8">
      <c r="A19" s="85"/>
      <c r="E19" s="41"/>
    </row>
    <row r="20" spans="1:8" ht="15.75">
      <c r="A20" s="98" t="s">
        <v>342</v>
      </c>
      <c r="B20" s="111" t="s">
        <v>520</v>
      </c>
      <c r="C20" s="111" t="s">
        <v>521</v>
      </c>
      <c r="D20" s="111" t="s">
        <v>1</v>
      </c>
      <c r="E20" s="402"/>
      <c r="F20" s="402"/>
      <c r="G20" s="685" t="s">
        <v>522</v>
      </c>
      <c r="H20" s="686">
        <f>C3</f>
        <v>0</v>
      </c>
    </row>
    <row r="21" spans="1:8">
      <c r="A21" s="681" t="s">
        <v>311</v>
      </c>
      <c r="B21" s="683"/>
      <c r="C21" s="96"/>
      <c r="D21" s="682">
        <f>SUM(B21:C21)</f>
        <v>0</v>
      </c>
      <c r="E21" s="41"/>
      <c r="G21" s="685" t="s">
        <v>523</v>
      </c>
      <c r="H21" s="686">
        <v>2.5000000000000001E-3</v>
      </c>
    </row>
    <row r="22" spans="1:8">
      <c r="A22" s="681" t="s">
        <v>310</v>
      </c>
      <c r="B22" s="96"/>
      <c r="C22" s="96"/>
      <c r="D22" s="682">
        <f>SUM(B22:C22)</f>
        <v>0</v>
      </c>
      <c r="E22" s="41"/>
      <c r="G22" s="685" t="s">
        <v>520</v>
      </c>
      <c r="H22" s="687"/>
    </row>
    <row r="23" spans="1:8">
      <c r="A23" s="85" t="s">
        <v>308</v>
      </c>
      <c r="B23" s="96"/>
      <c r="C23" s="96"/>
      <c r="D23" s="682">
        <f>SUM(H20:H21)</f>
        <v>2.5000000000000001E-3</v>
      </c>
      <c r="E23" s="684"/>
    </row>
    <row r="24" spans="1:8">
      <c r="A24" s="85" t="s">
        <v>309</v>
      </c>
      <c r="B24" s="96"/>
      <c r="C24" s="96"/>
      <c r="D24" s="682">
        <f>SUM(H20:H21)</f>
        <v>2.5000000000000001E-3</v>
      </c>
      <c r="E24" s="41"/>
    </row>
    <row r="25" spans="1:8">
      <c r="A25" s="681" t="s">
        <v>547</v>
      </c>
      <c r="B25" s="96"/>
      <c r="C25" s="96"/>
      <c r="D25" s="682">
        <f>SUM(B25:C25)</f>
        <v>0</v>
      </c>
      <c r="E25" s="41"/>
    </row>
    <row r="26" spans="1:8">
      <c r="B26" s="41"/>
      <c r="C26" s="69"/>
      <c r="E26" s="41"/>
    </row>
    <row r="27" spans="1:8" ht="15.75">
      <c r="A27" s="124" t="s">
        <v>125</v>
      </c>
      <c r="B27" s="125"/>
      <c r="C27" s="126"/>
      <c r="D27" s="126"/>
      <c r="E27" s="125"/>
    </row>
    <row r="28" spans="1:8">
      <c r="A28" s="127" t="s">
        <v>343</v>
      </c>
      <c r="B28" s="128">
        <v>0</v>
      </c>
      <c r="C28" s="126"/>
      <c r="D28" s="126"/>
      <c r="E28" s="125"/>
    </row>
    <row r="29" spans="1:8">
      <c r="A29" s="129" t="s">
        <v>341</v>
      </c>
      <c r="B29" s="128">
        <v>0</v>
      </c>
      <c r="C29" s="126"/>
      <c r="D29" s="126"/>
      <c r="E29" s="125"/>
    </row>
    <row r="30" spans="1:8">
      <c r="A30" s="127" t="s">
        <v>125</v>
      </c>
      <c r="B30" s="130">
        <f>SUM(B28:B29)</f>
        <v>0</v>
      </c>
      <c r="C30" s="126"/>
      <c r="D30" s="126"/>
      <c r="E30" s="125"/>
    </row>
    <row r="31" spans="1:8">
      <c r="A31" s="127"/>
      <c r="B31" s="126"/>
      <c r="C31" s="126"/>
      <c r="D31" s="126"/>
      <c r="E31" s="125"/>
    </row>
    <row r="32" spans="1:8">
      <c r="A32" s="85"/>
      <c r="E32" s="41"/>
    </row>
    <row r="33" spans="1:9" ht="15.75">
      <c r="A33" s="98" t="s">
        <v>134</v>
      </c>
      <c r="E33" s="41"/>
    </row>
    <row r="34" spans="1:9" ht="15.75">
      <c r="A34" s="98"/>
      <c r="E34" s="41"/>
    </row>
    <row r="35" spans="1:9" ht="15.75">
      <c r="A35" s="94" t="s">
        <v>128</v>
      </c>
      <c r="B35" s="291" t="s">
        <v>126</v>
      </c>
      <c r="C35" s="291" t="s">
        <v>60</v>
      </c>
      <c r="D35" s="291" t="s">
        <v>129</v>
      </c>
      <c r="E35" s="291" t="s">
        <v>127</v>
      </c>
      <c r="F35" s="291" t="s">
        <v>518</v>
      </c>
      <c r="G35" s="291" t="s">
        <v>517</v>
      </c>
      <c r="H35" s="690" t="s">
        <v>519</v>
      </c>
      <c r="I35" s="291" t="s">
        <v>1</v>
      </c>
    </row>
    <row r="36" spans="1:9">
      <c r="A36" s="85" t="s">
        <v>310</v>
      </c>
      <c r="B36" s="689" t="e">
        <f ca="1">B10</f>
        <v>#DIV/0!</v>
      </c>
      <c r="C36" s="100">
        <v>0.5</v>
      </c>
      <c r="D36" s="423">
        <f>C15</f>
        <v>0</v>
      </c>
      <c r="E36" s="69">
        <f>B22</f>
        <v>0</v>
      </c>
      <c r="F36" s="65" t="e">
        <f t="shared" ref="F36:F42" ca="1" si="0">B36*C36*D36*E36</f>
        <v>#DIV/0!</v>
      </c>
      <c r="G36" s="69">
        <f>C22</f>
        <v>0</v>
      </c>
      <c r="H36" s="688" t="e">
        <f ca="1">ROUND(B36*C36*D36*G36,0)</f>
        <v>#DIV/0!</v>
      </c>
      <c r="I36" s="65" t="e">
        <f ca="1">F36+H36</f>
        <v>#DIV/0!</v>
      </c>
    </row>
    <row r="37" spans="1:9">
      <c r="A37" s="85"/>
      <c r="B37" s="689" t="e">
        <f ca="1">B10</f>
        <v>#DIV/0!</v>
      </c>
      <c r="C37" s="100">
        <v>1</v>
      </c>
      <c r="D37" s="423">
        <f>C16</f>
        <v>0</v>
      </c>
      <c r="E37" s="69">
        <f>B22</f>
        <v>0</v>
      </c>
      <c r="F37" s="65" t="e">
        <f t="shared" ca="1" si="0"/>
        <v>#DIV/0!</v>
      </c>
      <c r="G37" s="69">
        <f>C22</f>
        <v>0</v>
      </c>
      <c r="H37" s="688" t="e">
        <f t="shared" ref="H37:H42" ca="1" si="1">ROUND(B37*C37*D37*G37,0)</f>
        <v>#DIV/0!</v>
      </c>
      <c r="I37" s="65" t="e">
        <f t="shared" ref="I37:I42" ca="1" si="2">F37+H37</f>
        <v>#DIV/0!</v>
      </c>
    </row>
    <row r="38" spans="1:9">
      <c r="A38" s="85" t="s">
        <v>311</v>
      </c>
      <c r="B38" s="689" t="e">
        <f ca="1">B9</f>
        <v>#DIV/0!</v>
      </c>
      <c r="C38" s="100">
        <v>0.5</v>
      </c>
      <c r="D38" s="423">
        <f>C15</f>
        <v>0</v>
      </c>
      <c r="E38" s="69">
        <f>B21</f>
        <v>0</v>
      </c>
      <c r="F38" s="65" t="e">
        <f t="shared" ca="1" si="0"/>
        <v>#DIV/0!</v>
      </c>
      <c r="G38" s="69">
        <f>C21</f>
        <v>0</v>
      </c>
      <c r="H38" s="688" t="e">
        <f t="shared" ca="1" si="1"/>
        <v>#DIV/0!</v>
      </c>
      <c r="I38" s="65" t="e">
        <f t="shared" ca="1" si="2"/>
        <v>#DIV/0!</v>
      </c>
    </row>
    <row r="39" spans="1:9">
      <c r="A39" s="85"/>
      <c r="B39" s="689" t="e">
        <f ca="1">B9</f>
        <v>#DIV/0!</v>
      </c>
      <c r="C39" s="100">
        <v>1</v>
      </c>
      <c r="D39" s="423">
        <f>C16</f>
        <v>0</v>
      </c>
      <c r="E39" s="69">
        <f>B21</f>
        <v>0</v>
      </c>
      <c r="F39" s="65" t="e">
        <f t="shared" ca="1" si="0"/>
        <v>#DIV/0!</v>
      </c>
      <c r="G39" s="69">
        <f>C21</f>
        <v>0</v>
      </c>
      <c r="H39" s="688" t="e">
        <f t="shared" ca="1" si="1"/>
        <v>#DIV/0!</v>
      </c>
      <c r="I39" s="65" t="e">
        <f t="shared" ca="1" si="2"/>
        <v>#DIV/0!</v>
      </c>
    </row>
    <row r="40" spans="1:9">
      <c r="A40" s="85" t="str">
        <f>A23</f>
        <v>2nd Construction</v>
      </c>
      <c r="B40" s="689">
        <f>'Devel. Bud'!D83</f>
        <v>0</v>
      </c>
      <c r="C40" s="100">
        <v>1</v>
      </c>
      <c r="D40" s="423">
        <f>C17</f>
        <v>0</v>
      </c>
      <c r="E40" s="69">
        <f>B23</f>
        <v>0</v>
      </c>
      <c r="F40" s="65">
        <f t="shared" si="0"/>
        <v>0</v>
      </c>
      <c r="G40" s="69">
        <f>C23</f>
        <v>0</v>
      </c>
      <c r="H40" s="688">
        <f t="shared" si="1"/>
        <v>0</v>
      </c>
      <c r="I40" s="65">
        <f t="shared" si="2"/>
        <v>0</v>
      </c>
    </row>
    <row r="41" spans="1:9">
      <c r="A41" s="85" t="str">
        <f>A24</f>
        <v>3rd Construction</v>
      </c>
      <c r="B41" s="689">
        <f>'Devel. Bud'!D84</f>
        <v>0</v>
      </c>
      <c r="C41" s="100">
        <v>1</v>
      </c>
      <c r="D41" s="423">
        <f>C17</f>
        <v>0</v>
      </c>
      <c r="E41" s="69">
        <f>B24</f>
        <v>0</v>
      </c>
      <c r="F41" s="65">
        <f t="shared" si="0"/>
        <v>0</v>
      </c>
      <c r="G41" s="69">
        <f t="shared" ref="G41:G42" si="3">C24</f>
        <v>0</v>
      </c>
      <c r="H41" s="688">
        <f t="shared" si="1"/>
        <v>0</v>
      </c>
      <c r="I41" s="65">
        <f t="shared" si="2"/>
        <v>0</v>
      </c>
    </row>
    <row r="42" spans="1:9">
      <c r="A42" s="85" t="str">
        <f>A25</f>
        <v>4th Construction</v>
      </c>
      <c r="B42" s="689">
        <f>'Devel. Bud'!D85</f>
        <v>0</v>
      </c>
      <c r="C42" s="100">
        <v>1</v>
      </c>
      <c r="D42" s="423">
        <f>C17</f>
        <v>0</v>
      </c>
      <c r="E42" s="69">
        <f>B25</f>
        <v>0</v>
      </c>
      <c r="F42" s="65">
        <f t="shared" si="0"/>
        <v>0</v>
      </c>
      <c r="G42" s="69">
        <f t="shared" si="3"/>
        <v>0</v>
      </c>
      <c r="H42" s="688">
        <f t="shared" si="1"/>
        <v>0</v>
      </c>
      <c r="I42" s="65">
        <f t="shared" si="2"/>
        <v>0</v>
      </c>
    </row>
    <row r="43" spans="1:9" ht="15.75">
      <c r="E43" s="94" t="s">
        <v>131</v>
      </c>
      <c r="F43" s="101" t="e">
        <f ca="1">SUM(F36:F42)</f>
        <v>#DIV/0!</v>
      </c>
      <c r="H43" s="692" t="e">
        <f ca="1">SUM(H36:H42)</f>
        <v>#DIV/0!</v>
      </c>
      <c r="I43" s="101" t="e">
        <f ca="1">SUM(I36:I42)</f>
        <v>#DIV/0!</v>
      </c>
    </row>
    <row r="44" spans="1:9" ht="15.75">
      <c r="A44" s="98"/>
      <c r="E44" s="41"/>
      <c r="F44" s="65"/>
    </row>
    <row r="45" spans="1:9" ht="15.75">
      <c r="A45" s="98"/>
      <c r="E45" s="41"/>
    </row>
    <row r="46" spans="1:9" ht="15.75">
      <c r="A46" s="94" t="s">
        <v>125</v>
      </c>
      <c r="B46" s="291" t="s">
        <v>126</v>
      </c>
      <c r="C46" s="291" t="s">
        <v>60</v>
      </c>
      <c r="D46" s="291" t="s">
        <v>129</v>
      </c>
      <c r="E46" s="291" t="s">
        <v>127</v>
      </c>
      <c r="F46" s="291" t="s">
        <v>130</v>
      </c>
      <c r="G46" s="27"/>
    </row>
    <row r="47" spans="1:9">
      <c r="A47" s="85" t="s">
        <v>132</v>
      </c>
      <c r="B47" s="41">
        <f>B11</f>
        <v>0</v>
      </c>
      <c r="C47" s="100">
        <v>0.5</v>
      </c>
      <c r="D47" s="423">
        <f>C15</f>
        <v>0</v>
      </c>
      <c r="E47" s="69">
        <f>B30</f>
        <v>0</v>
      </c>
      <c r="F47" s="65">
        <f>B47*C47*D47*E47</f>
        <v>0</v>
      </c>
    </row>
    <row r="48" spans="1:9">
      <c r="A48" s="85"/>
      <c r="B48" s="41">
        <f>B11</f>
        <v>0</v>
      </c>
      <c r="C48" s="100">
        <v>1</v>
      </c>
      <c r="D48" s="423">
        <f>C16</f>
        <v>0</v>
      </c>
      <c r="E48" s="69">
        <f>B30</f>
        <v>0</v>
      </c>
      <c r="F48" s="65">
        <f>B48*C48*D48*E48</f>
        <v>0</v>
      </c>
    </row>
    <row r="49" spans="1:6">
      <c r="A49" s="85" t="s">
        <v>47</v>
      </c>
      <c r="B49" s="41">
        <f>'Devel. Bud'!D83</f>
        <v>0</v>
      </c>
      <c r="C49" s="100">
        <v>1</v>
      </c>
      <c r="D49" s="423">
        <f>C17</f>
        <v>0</v>
      </c>
      <c r="E49" s="69">
        <f>B23</f>
        <v>0</v>
      </c>
      <c r="F49" s="65">
        <f>B49*C49*D49*E49</f>
        <v>0</v>
      </c>
    </row>
    <row r="50" spans="1:6">
      <c r="A50" s="85"/>
      <c r="B50" s="41">
        <f>'Devel. Bud'!D84</f>
        <v>0</v>
      </c>
      <c r="C50" s="100">
        <v>1</v>
      </c>
      <c r="D50" s="423">
        <f>C17</f>
        <v>0</v>
      </c>
      <c r="E50" s="69">
        <f>B24</f>
        <v>0</v>
      </c>
      <c r="F50" s="65">
        <f>B50*C50*D50*E50</f>
        <v>0</v>
      </c>
    </row>
    <row r="51" spans="1:6" ht="15.75">
      <c r="E51" s="94" t="s">
        <v>133</v>
      </c>
      <c r="F51" s="101">
        <f>SUM(F47:F50)</f>
        <v>0</v>
      </c>
    </row>
    <row r="52" spans="1:6">
      <c r="E52" s="41"/>
    </row>
    <row r="53" spans="1:6">
      <c r="A53" s="67"/>
      <c r="B53" s="67"/>
      <c r="C53" s="67"/>
      <c r="D53" s="67"/>
      <c r="E53" s="93"/>
      <c r="F53" s="67"/>
    </row>
    <row r="54" spans="1:6" ht="15.75">
      <c r="A54" s="27" t="s">
        <v>114</v>
      </c>
    </row>
    <row r="55" spans="1:6" s="27" customFormat="1" ht="15.75">
      <c r="A55" s="42" t="s">
        <v>138</v>
      </c>
      <c r="B55" s="38"/>
    </row>
    <row r="56" spans="1:6" s="27" customFormat="1" ht="15.75">
      <c r="B56" s="38"/>
    </row>
    <row r="57" spans="1:6" s="27" customFormat="1" ht="15.75">
      <c r="A57" s="85" t="s">
        <v>137</v>
      </c>
      <c r="B57" s="102"/>
    </row>
    <row r="58" spans="1:6" s="27" customFormat="1" ht="15.75">
      <c r="B58" s="38"/>
    </row>
    <row r="59" spans="1:6" s="27" customFormat="1" ht="15.75">
      <c r="B59" s="38"/>
    </row>
    <row r="60" spans="1:6" ht="17.25" customHeight="1">
      <c r="B60" s="103" t="s">
        <v>190</v>
      </c>
      <c r="C60" s="103" t="s">
        <v>189</v>
      </c>
    </row>
    <row r="61" spans="1:6">
      <c r="A61" s="85" t="s">
        <v>135</v>
      </c>
      <c r="B61" s="69">
        <f>B22</f>
        <v>0</v>
      </c>
      <c r="C61" s="69">
        <f>B21</f>
        <v>0</v>
      </c>
    </row>
    <row r="62" spans="1:6">
      <c r="A62" s="85" t="s">
        <v>86</v>
      </c>
      <c r="B62" s="41" t="e">
        <f ca="1">B10</f>
        <v>#DIV/0!</v>
      </c>
      <c r="C62" s="137" t="e">
        <f ca="1">B9</f>
        <v>#DIV/0!</v>
      </c>
    </row>
    <row r="63" spans="1:6">
      <c r="A63" s="85" t="s">
        <v>60</v>
      </c>
      <c r="B63" s="68">
        <v>0.5</v>
      </c>
      <c r="C63" s="68">
        <v>0.5</v>
      </c>
    </row>
    <row r="64" spans="1:6">
      <c r="A64" s="85" t="s">
        <v>87</v>
      </c>
      <c r="B64" s="88">
        <f>B61-B57</f>
        <v>0</v>
      </c>
      <c r="C64" s="88">
        <f>C61-B57</f>
        <v>0</v>
      </c>
    </row>
    <row r="65" spans="1:4">
      <c r="A65" s="85" t="s">
        <v>136</v>
      </c>
      <c r="B65" s="404">
        <f>C15</f>
        <v>0</v>
      </c>
      <c r="C65" s="404">
        <f>C15</f>
        <v>0</v>
      </c>
    </row>
    <row r="66" spans="1:4">
      <c r="A66" s="85"/>
      <c r="B66" s="65" t="e">
        <f ca="1">B62*B63*B64*B65</f>
        <v>#DIV/0!</v>
      </c>
      <c r="C66" s="65" t="e">
        <f ca="1">C62*C63*C64*C65</f>
        <v>#DIV/0!</v>
      </c>
      <c r="D66" s="65"/>
    </row>
    <row r="67" spans="1:4">
      <c r="A67" s="85"/>
    </row>
    <row r="68" spans="1:4" ht="15.75">
      <c r="A68" s="94" t="s">
        <v>46</v>
      </c>
      <c r="B68" s="188" t="e">
        <f ca="1">B66+C66</f>
        <v>#DIV/0!</v>
      </c>
    </row>
    <row r="69" spans="1:4" ht="15.75">
      <c r="A69" s="27"/>
    </row>
    <row r="70" spans="1:4" ht="15.75">
      <c r="A70" s="27"/>
    </row>
    <row r="71" spans="1:4" ht="15.75">
      <c r="A71" s="27" t="s">
        <v>186</v>
      </c>
      <c r="B71" s="12"/>
      <c r="D71" s="27"/>
    </row>
    <row r="73" spans="1:4">
      <c r="A73" s="40" t="s">
        <v>119</v>
      </c>
      <c r="C73" s="433">
        <f>B11</f>
        <v>0</v>
      </c>
    </row>
    <row r="74" spans="1:4">
      <c r="A74" s="40" t="s">
        <v>187</v>
      </c>
      <c r="B74" s="97"/>
      <c r="C74" s="153">
        <f>C73*B21*(B74/360)</f>
        <v>0</v>
      </c>
    </row>
    <row r="75" spans="1:4" ht="15.75">
      <c r="A75" s="40" t="s">
        <v>188</v>
      </c>
      <c r="B75" s="41"/>
      <c r="C75" s="187">
        <f>C73+C74</f>
        <v>0</v>
      </c>
    </row>
    <row r="76" spans="1:4">
      <c r="B76" s="86"/>
    </row>
    <row r="77" spans="1:4">
      <c r="B77" s="87"/>
    </row>
    <row r="80" spans="1:4">
      <c r="B80" s="89"/>
    </row>
    <row r="81" spans="2:2">
      <c r="B81" s="89"/>
    </row>
    <row r="82" spans="2:2">
      <c r="B82" s="89"/>
    </row>
    <row r="87" spans="2:2">
      <c r="B87" s="41"/>
    </row>
    <row r="88" spans="2:2">
      <c r="B88" s="68"/>
    </row>
    <row r="89" spans="2:2">
      <c r="B89" s="90"/>
    </row>
    <row r="92" spans="2:2">
      <c r="B92" s="91"/>
    </row>
    <row r="94" spans="2:2">
      <c r="B94" s="92"/>
    </row>
    <row r="97" spans="1:2" ht="15.75">
      <c r="A97" s="27"/>
      <c r="B97" s="29"/>
    </row>
  </sheetData>
  <dataConsolidate/>
  <customSheetViews>
    <customSheetView guid="{560D4AFA-61E5-46C3-B0CD-D0EB3053A033}" scale="75" showPageBreaks="1" fitToPage="1" printArea="1" hiddenRows="1" showRuler="0">
      <selection activeCell="C18" sqref="C18"/>
      <pageMargins left="0.75" right="0.5" top="0.75" bottom="0.5" header="0.5" footer="0.5"/>
      <pageSetup scale="77" orientation="portrait" r:id="rId1"/>
      <headerFooter alignWithMargins="0"/>
    </customSheetView>
    <customSheetView guid="{1ECE83C7-A3CE-4F97-BFD3-498FF783C0D9}" scale="75" showPageBreaks="1" fitToPage="1" printArea="1" showRuler="0" topLeftCell="A28">
      <selection activeCell="H29" sqref="H29"/>
      <pageMargins left="0.75" right="0.5" top="0.75" bottom="0.5" header="0.5" footer="0.5"/>
      <pageSetup scale="66" orientation="portrait" r:id="rId2"/>
      <headerFooter alignWithMargins="0"/>
    </customSheetView>
    <customSheetView guid="{6EF643BE-69F3-424E-8A44-3890161370D4}" scale="60" showPageBreaks="1" fitToPage="1" printArea="1" hiddenRows="1" view="pageBreakPreview" showRuler="0" topLeftCell="A13">
      <selection activeCell="E40" sqref="E40"/>
      <pageMargins left="0.75" right="0.75" top="1" bottom="1" header="0.5" footer="0.5"/>
      <pageSetup scale="60" orientation="portrait" r:id="rId3"/>
      <headerFooter alignWithMargins="0"/>
    </customSheetView>
    <customSheetView guid="{FBB4BF8E-8A9F-4E98-A6F9-5F9BF4C55C67}" scale="75" showPageBreaks="1" fitToPage="1" hiddenRows="1" hiddenColumns="1" showRuler="0" topLeftCell="A14">
      <selection activeCell="B42" sqref="B42"/>
      <pageMargins left="0.75" right="0.75" top="1" bottom="1" header="0.5" footer="0.5"/>
      <pageSetup scale="70" orientation="portrait" r:id="rId4"/>
      <headerFooter alignWithMargins="0"/>
    </customSheetView>
    <customSheetView guid="{EB776EFC-3589-4DB5-BEAF-1E83D9703F9E}" scale="75" fitToPage="1" hiddenRows="1" hiddenColumns="1" showRuler="0" topLeftCell="A17">
      <selection activeCell="J41" sqref="J41"/>
      <pageMargins left="0.75" right="0.75" top="1" bottom="1" header="0.5" footer="0.5"/>
      <pageSetup scale="93" orientation="portrait" r:id="rId5"/>
      <headerFooter alignWithMargins="0"/>
    </customSheetView>
    <customSheetView guid="{AEA5979F-5357-4ED6-A6CA-1BB80F5C7A74}" scale="60" showPageBreaks="1" fitToPage="1" printArea="1" hiddenRows="1" view="pageBreakPreview" showRuler="0">
      <selection activeCell="B25" sqref="B25"/>
      <pageMargins left="0.75" right="0.75" top="1" bottom="1" header="0.5" footer="0.5"/>
      <pageSetup scale="62" orientation="portrait" r:id="rId6"/>
      <headerFooter alignWithMargins="0"/>
    </customSheetView>
    <customSheetView guid="{28F81D13-D146-4D67-8981-BA5D7A496326}" scale="60" showPageBreaks="1" fitToPage="1" printArea="1" hiddenRows="1" view="pageBreakPreview" showRuler="0" topLeftCell="A4">
      <selection activeCell="E41" sqref="E41"/>
      <pageMargins left="0.75" right="0.75" top="1" bottom="1" header="0.5" footer="0.5"/>
      <pageSetup scale="60" orientation="portrait" r:id="rId7"/>
      <headerFooter alignWithMargins="0"/>
    </customSheetView>
    <customSheetView guid="{25C4E7E7-1006-4A2D-BC83-AEE4ADF8A914}" scale="75" showPageBreaks="1" fitToPage="1" printArea="1" hiddenRows="1" showRuler="0" topLeftCell="A7">
      <selection activeCell="C18" sqref="C18"/>
      <pageMargins left="0.75" right="0.5" top="0.75" bottom="0.5" header="0.5" footer="0.5"/>
      <pageSetup scale="77" orientation="portrait" r:id="rId8"/>
      <headerFooter alignWithMargins="0"/>
    </customSheetView>
  </customSheetViews>
  <phoneticPr fontId="0" type="noConversion"/>
  <pageMargins left="0.75" right="0.5" top="0.75" bottom="0.5" header="0.5" footer="0.5"/>
  <pageSetup scale="61" firstPageNumber="208" orientation="portrait" useFirstPageNumber="1"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B1:AC120"/>
  <sheetViews>
    <sheetView zoomScaleNormal="100" workbookViewId="0"/>
  </sheetViews>
  <sheetFormatPr defaultColWidth="9.77734375" defaultRowHeight="15"/>
  <cols>
    <col min="1" max="1" width="4.5546875" style="40" customWidth="1"/>
    <col min="2" max="2" width="23.21875" style="40" customWidth="1"/>
    <col min="3" max="3" width="13" style="40" customWidth="1"/>
    <col min="4" max="4" width="34.5546875" style="40" bestFit="1" customWidth="1"/>
    <col min="5" max="5" width="13.109375" style="40" customWidth="1"/>
    <col min="6" max="7" width="11.77734375" style="40" customWidth="1"/>
    <col min="8" max="10" width="14.44140625" style="40" customWidth="1"/>
    <col min="11" max="11" width="15.6640625" style="40" customWidth="1"/>
    <col min="12" max="12" width="8.109375" style="40" customWidth="1"/>
    <col min="13" max="14" width="6.77734375" style="40" customWidth="1"/>
    <col min="15" max="21" width="7" style="40" bestFit="1" customWidth="1"/>
    <col min="22" max="22" width="5.44140625" style="40" customWidth="1"/>
    <col min="23" max="23" width="7" style="40" bestFit="1" customWidth="1"/>
    <col min="24" max="16384" width="9.77734375" style="40"/>
  </cols>
  <sheetData>
    <row r="1" spans="2:10" ht="15.75">
      <c r="B1" s="1" t="str">
        <f>'Sources and Use'!A1</f>
        <v xml:space="preserve">Project Name: </v>
      </c>
      <c r="C1" s="17"/>
      <c r="I1" s="1"/>
      <c r="J1" s="1"/>
    </row>
    <row r="2" spans="2:10" ht="15.75">
      <c r="B2" s="1" t="str">
        <f>'Sources and Use'!A2</f>
        <v>Development Team:</v>
      </c>
      <c r="C2" s="17"/>
      <c r="I2" s="1"/>
      <c r="J2" s="1"/>
    </row>
    <row r="3" spans="2:10" ht="15.75">
      <c r="B3" s="1" t="str">
        <f>'Sources and Use'!A3</f>
        <v>Site:</v>
      </c>
      <c r="C3" s="17"/>
      <c r="I3" s="1" t="str">
        <f>'Sources and Use'!C3</f>
        <v>Units:</v>
      </c>
      <c r="J3" s="406">
        <f>C24</f>
        <v>0</v>
      </c>
    </row>
    <row r="4" spans="2:10" ht="15.75" thickBot="1">
      <c r="B4" s="192"/>
      <c r="C4" s="192"/>
      <c r="D4" s="192"/>
      <c r="E4" s="192"/>
      <c r="F4" s="192"/>
      <c r="G4" s="192"/>
      <c r="H4" s="192"/>
      <c r="I4" s="192"/>
      <c r="J4" s="192"/>
    </row>
    <row r="5" spans="2:10" ht="18.75" customHeight="1" thickTop="1">
      <c r="B5" s="204" t="s">
        <v>113</v>
      </c>
      <c r="C5" s="47" t="s">
        <v>379</v>
      </c>
      <c r="E5" s="444" t="s">
        <v>376</v>
      </c>
      <c r="F5" s="444" t="s">
        <v>377</v>
      </c>
      <c r="G5" s="445"/>
      <c r="H5" s="17"/>
      <c r="J5" s="202"/>
    </row>
    <row r="6" spans="2:10" ht="15.75">
      <c r="B6" s="208" t="e">
        <f>C6/$C$11</f>
        <v>#DIV/0!</v>
      </c>
      <c r="C6" s="325"/>
      <c r="D6" s="162" t="s">
        <v>372</v>
      </c>
      <c r="E6" s="507" t="e">
        <f>F6/C6</f>
        <v>#DIV/0!</v>
      </c>
      <c r="F6" s="506">
        <f>F24</f>
        <v>0</v>
      </c>
      <c r="G6" s="446"/>
      <c r="H6" s="17"/>
      <c r="J6" s="198"/>
    </row>
    <row r="7" spans="2:10" ht="15.75">
      <c r="B7" s="208" t="e">
        <f>C7/$C$11</f>
        <v>#DIV/0!</v>
      </c>
      <c r="C7" s="325"/>
      <c r="D7" s="543" t="s">
        <v>465</v>
      </c>
      <c r="E7" s="508">
        <v>1</v>
      </c>
      <c r="F7" s="506">
        <f>E7*C7</f>
        <v>0</v>
      </c>
      <c r="G7" s="446"/>
      <c r="H7" s="17"/>
      <c r="J7" s="198"/>
    </row>
    <row r="8" spans="2:10" ht="15.75">
      <c r="B8" s="208" t="e">
        <f>C8/$C$11</f>
        <v>#DIV/0!</v>
      </c>
      <c r="C8" s="325"/>
      <c r="D8" s="162" t="s">
        <v>373</v>
      </c>
      <c r="E8" s="508">
        <v>1</v>
      </c>
      <c r="F8" s="506">
        <f>E8*C8</f>
        <v>0</v>
      </c>
      <c r="G8" s="446"/>
      <c r="H8" s="17"/>
      <c r="J8" s="198"/>
    </row>
    <row r="9" spans="2:10" ht="15.75">
      <c r="B9" s="208" t="e">
        <f>C9/$C$11</f>
        <v>#DIV/0!</v>
      </c>
      <c r="C9" s="325"/>
      <c r="D9" s="162" t="s">
        <v>374</v>
      </c>
      <c r="E9" s="508">
        <v>1</v>
      </c>
      <c r="F9" s="506">
        <f>E9*C9</f>
        <v>0</v>
      </c>
      <c r="G9" s="446"/>
      <c r="H9" s="17"/>
      <c r="J9" s="198"/>
    </row>
    <row r="10" spans="2:10" ht="15.75">
      <c r="B10" s="208" t="e">
        <f>C10/$C$11</f>
        <v>#DIV/0!</v>
      </c>
      <c r="C10" s="325"/>
      <c r="D10" s="162" t="s">
        <v>375</v>
      </c>
      <c r="E10" s="508">
        <v>1</v>
      </c>
      <c r="F10" s="506">
        <f>E10*C10</f>
        <v>0</v>
      </c>
      <c r="G10" s="446"/>
      <c r="H10" s="17"/>
      <c r="J10" s="198"/>
    </row>
    <row r="11" spans="2:10" ht="15.75">
      <c r="B11" s="209"/>
      <c r="C11" s="84">
        <f>SUM(C6:C10)</f>
        <v>0</v>
      </c>
      <c r="D11" s="27" t="s">
        <v>380</v>
      </c>
      <c r="E11" s="447"/>
      <c r="F11" s="447">
        <f>SUM(F6:F10)</f>
        <v>0</v>
      </c>
      <c r="G11" s="448" t="s">
        <v>378</v>
      </c>
      <c r="H11" s="17"/>
      <c r="J11" s="198"/>
    </row>
    <row r="12" spans="2:10" ht="15.75">
      <c r="B12" s="201"/>
      <c r="C12" s="47"/>
      <c r="E12" s="84"/>
      <c r="F12" s="281"/>
      <c r="G12" s="27"/>
      <c r="H12" s="17"/>
      <c r="J12" s="198"/>
    </row>
    <row r="13" spans="2:10" ht="15.75">
      <c r="B13" s="210"/>
      <c r="C13" s="211"/>
      <c r="D13" s="212"/>
      <c r="E13" s="213"/>
      <c r="F13" s="213"/>
      <c r="G13" s="282"/>
      <c r="H13" s="283"/>
      <c r="I13" s="203"/>
      <c r="J13" s="199"/>
    </row>
    <row r="14" spans="2:10" ht="16.5" thickBot="1">
      <c r="B14" s="193"/>
      <c r="C14" s="194"/>
      <c r="D14" s="195"/>
      <c r="E14" s="196"/>
      <c r="F14" s="197"/>
      <c r="G14" s="171"/>
      <c r="H14" s="171"/>
      <c r="I14" s="192"/>
      <c r="J14" s="192"/>
    </row>
    <row r="15" spans="2:10" ht="16.5" thickTop="1">
      <c r="B15" s="204" t="s">
        <v>105</v>
      </c>
      <c r="C15" s="47"/>
      <c r="D15" s="46"/>
      <c r="E15" s="84"/>
      <c r="F15" s="279"/>
      <c r="H15" s="17"/>
      <c r="J15" s="202"/>
    </row>
    <row r="16" spans="2:10" ht="15" customHeight="1">
      <c r="B16" s="205"/>
      <c r="C16" s="47"/>
      <c r="D16" s="47"/>
      <c r="E16" s="47"/>
      <c r="F16" s="84" t="s">
        <v>171</v>
      </c>
      <c r="G16" s="189"/>
      <c r="H16" s="17"/>
      <c r="J16" s="198"/>
    </row>
    <row r="17" spans="2:10" ht="15.75">
      <c r="B17" s="31"/>
      <c r="C17" s="146" t="s">
        <v>0</v>
      </c>
      <c r="D17" s="146" t="s">
        <v>56</v>
      </c>
      <c r="E17" s="146" t="s">
        <v>106</v>
      </c>
      <c r="F17" s="84" t="s">
        <v>172</v>
      </c>
      <c r="G17" s="189"/>
      <c r="H17" s="47"/>
      <c r="I17" s="47"/>
      <c r="J17" s="198"/>
    </row>
    <row r="18" spans="2:10" ht="15.75">
      <c r="B18" s="200" t="s">
        <v>55</v>
      </c>
      <c r="C18" s="501">
        <f>SUM(I56,I64,I72,I80,I88,I96,I104,I111)</f>
        <v>0</v>
      </c>
      <c r="D18" s="147">
        <v>2</v>
      </c>
      <c r="E18" s="504">
        <f>D18*C18</f>
        <v>0</v>
      </c>
      <c r="F18" s="325"/>
      <c r="G18" s="189"/>
      <c r="H18" s="47"/>
      <c r="J18" s="198"/>
    </row>
    <row r="19" spans="2:10" ht="15.75">
      <c r="B19" s="200" t="s">
        <v>351</v>
      </c>
      <c r="C19" s="501">
        <f t="shared" ref="C19:C21" si="0">SUM(I57,I65,I73,I81,I89,I97,I105,I112)</f>
        <v>0</v>
      </c>
      <c r="D19" s="147">
        <v>3</v>
      </c>
      <c r="E19" s="504">
        <f>C19*D19</f>
        <v>0</v>
      </c>
      <c r="F19" s="325"/>
      <c r="G19" s="189"/>
      <c r="H19" s="17"/>
      <c r="J19" s="198"/>
    </row>
    <row r="20" spans="2:10" ht="15.75">
      <c r="B20" s="200" t="s">
        <v>352</v>
      </c>
      <c r="C20" s="501">
        <f t="shared" si="0"/>
        <v>0</v>
      </c>
      <c r="D20" s="147">
        <v>4</v>
      </c>
      <c r="E20" s="504">
        <f>C20*D20</f>
        <v>0</v>
      </c>
      <c r="F20" s="325"/>
      <c r="G20" s="27"/>
      <c r="H20" s="17"/>
      <c r="J20" s="198"/>
    </row>
    <row r="21" spans="2:10" ht="15.75">
      <c r="B21" s="200" t="s">
        <v>353</v>
      </c>
      <c r="C21" s="501">
        <f t="shared" si="0"/>
        <v>0</v>
      </c>
      <c r="D21" s="147">
        <v>5</v>
      </c>
      <c r="E21" s="504">
        <f>D21*C21</f>
        <v>0</v>
      </c>
      <c r="F21" s="325"/>
      <c r="G21" s="163"/>
      <c r="H21" s="17"/>
      <c r="J21" s="198"/>
    </row>
    <row r="22" spans="2:10" ht="15.75">
      <c r="B22" s="405" t="s">
        <v>45</v>
      </c>
      <c r="C22" s="502">
        <f>SUM(C18:C21)</f>
        <v>0</v>
      </c>
      <c r="D22" s="148"/>
      <c r="E22" s="505">
        <f>SUM(E18:E21)</f>
        <v>0</v>
      </c>
      <c r="H22" s="17"/>
      <c r="I22" s="17"/>
      <c r="J22" s="198"/>
    </row>
    <row r="23" spans="2:10" ht="15.75">
      <c r="B23" s="200" t="s">
        <v>70</v>
      </c>
      <c r="C23" s="503"/>
      <c r="D23" s="325"/>
      <c r="E23" s="504">
        <f>D23*C23</f>
        <v>0</v>
      </c>
      <c r="F23" s="325"/>
      <c r="G23" s="189"/>
      <c r="H23" s="17"/>
      <c r="I23" s="17"/>
      <c r="J23" s="198"/>
    </row>
    <row r="24" spans="2:10" ht="15.75">
      <c r="B24" s="405" t="s">
        <v>1</v>
      </c>
      <c r="C24" s="502">
        <f>C23+C22</f>
        <v>0</v>
      </c>
      <c r="D24" s="149"/>
      <c r="E24" s="505">
        <f>SUM(E22:E23)</f>
        <v>0</v>
      </c>
      <c r="F24" s="84">
        <f>C18*F18+C19*F19+C20*F20+C21*F21+C23*F23</f>
        <v>0</v>
      </c>
      <c r="G24" s="216" t="s">
        <v>180</v>
      </c>
      <c r="H24" s="17"/>
      <c r="I24" s="17"/>
      <c r="J24" s="198"/>
    </row>
    <row r="25" spans="2:10">
      <c r="B25" s="206"/>
      <c r="F25" s="280" t="e">
        <f>F24/C24</f>
        <v>#DIV/0!</v>
      </c>
      <c r="G25" s="217" t="s">
        <v>173</v>
      </c>
      <c r="J25" s="198"/>
    </row>
    <row r="26" spans="2:10">
      <c r="B26" s="207"/>
      <c r="C26" s="203"/>
      <c r="D26" s="203"/>
      <c r="E26" s="203"/>
      <c r="F26" s="203"/>
      <c r="G26" s="203"/>
      <c r="H26" s="203"/>
      <c r="I26" s="203"/>
      <c r="J26" s="199"/>
    </row>
    <row r="27" spans="2:10">
      <c r="C27" s="47"/>
      <c r="D27" s="47"/>
      <c r="E27" s="47"/>
      <c r="F27" s="17"/>
      <c r="G27" s="17"/>
      <c r="H27" s="17"/>
      <c r="J27" s="277"/>
    </row>
    <row r="28" spans="2:10" ht="16.5" thickBot="1">
      <c r="B28" s="24"/>
      <c r="C28" s="194"/>
      <c r="D28" s="194"/>
      <c r="E28" s="194"/>
      <c r="F28" s="171"/>
      <c r="G28" s="171"/>
      <c r="H28" s="171"/>
      <c r="I28" s="192"/>
      <c r="J28" s="192"/>
    </row>
    <row r="29" spans="2:10" ht="16.5" thickTop="1">
      <c r="B29" s="180" t="s">
        <v>191</v>
      </c>
      <c r="C29" s="16"/>
      <c r="D29" s="17"/>
      <c r="E29" s="17"/>
      <c r="F29" s="278"/>
      <c r="G29" s="17"/>
      <c r="H29" s="17"/>
      <c r="J29" s="202"/>
    </row>
    <row r="30" spans="2:10" s="165" customFormat="1" ht="30" customHeight="1">
      <c r="B30" s="214"/>
      <c r="C30" s="150" t="s">
        <v>2</v>
      </c>
      <c r="D30" s="407" t="s">
        <v>3</v>
      </c>
      <c r="E30" s="150" t="s">
        <v>4</v>
      </c>
      <c r="F30" s="164"/>
      <c r="G30" s="164"/>
      <c r="H30" s="164"/>
      <c r="J30" s="284"/>
    </row>
    <row r="31" spans="2:10">
      <c r="B31" s="467" t="s">
        <v>446</v>
      </c>
      <c r="C31" s="325"/>
      <c r="D31" s="366"/>
      <c r="E31" s="20">
        <f>C31*D31*12</f>
        <v>0</v>
      </c>
      <c r="F31" s="17"/>
      <c r="G31" s="17"/>
      <c r="H31" s="17"/>
      <c r="J31" s="198"/>
    </row>
    <row r="32" spans="2:10">
      <c r="B32" s="467" t="s">
        <v>448</v>
      </c>
      <c r="C32" s="325"/>
      <c r="D32" s="366"/>
      <c r="E32" s="20">
        <f>C32*D32*12</f>
        <v>0</v>
      </c>
      <c r="F32" s="17"/>
      <c r="G32" s="17"/>
      <c r="H32" s="17"/>
      <c r="J32" s="198"/>
    </row>
    <row r="33" spans="2:29">
      <c r="B33" s="467" t="s">
        <v>447</v>
      </c>
      <c r="C33" s="325"/>
      <c r="D33" s="366"/>
      <c r="E33" s="20">
        <f>C33*D33*12</f>
        <v>0</v>
      </c>
      <c r="F33" s="17"/>
      <c r="G33" s="17"/>
      <c r="H33" s="17"/>
      <c r="J33" s="198"/>
    </row>
    <row r="34" spans="2:29" s="165" customFormat="1" ht="30.75" customHeight="1">
      <c r="B34" s="215"/>
      <c r="C34" s="408" t="s">
        <v>5</v>
      </c>
      <c r="D34" s="409" t="s">
        <v>6</v>
      </c>
      <c r="E34" s="150" t="s">
        <v>4</v>
      </c>
      <c r="F34" s="164"/>
      <c r="G34" s="190"/>
      <c r="H34" s="164"/>
      <c r="J34" s="284"/>
    </row>
    <row r="35" spans="2:29">
      <c r="B35" s="200" t="s">
        <v>78</v>
      </c>
      <c r="C35" s="368">
        <f>F8</f>
        <v>0</v>
      </c>
      <c r="D35" s="326"/>
      <c r="E35" s="20">
        <f>D35*C35</f>
        <v>0</v>
      </c>
      <c r="F35" s="62"/>
      <c r="G35" s="17"/>
      <c r="H35" s="17"/>
      <c r="J35" s="198"/>
    </row>
    <row r="36" spans="2:29" ht="32.25" customHeight="1">
      <c r="B36" s="200"/>
      <c r="C36" s="408" t="s">
        <v>5</v>
      </c>
      <c r="D36" s="409" t="s">
        <v>6</v>
      </c>
      <c r="E36" s="20"/>
      <c r="F36" s="62"/>
      <c r="G36" s="17"/>
      <c r="H36" s="17"/>
      <c r="J36" s="198"/>
    </row>
    <row r="37" spans="2:29">
      <c r="B37" s="200" t="s">
        <v>90</v>
      </c>
      <c r="C37" s="368">
        <f>F9</f>
        <v>0</v>
      </c>
      <c r="D37" s="326"/>
      <c r="E37" s="20">
        <f>D37*C37</f>
        <v>0</v>
      </c>
      <c r="F37" s="62"/>
      <c r="G37" s="17"/>
      <c r="H37" s="17"/>
      <c r="J37" s="198"/>
    </row>
    <row r="38" spans="2:29">
      <c r="B38" s="206"/>
      <c r="J38" s="198"/>
    </row>
    <row r="39" spans="2:29" s="165" customFormat="1" ht="15" customHeight="1">
      <c r="B39" s="214"/>
      <c r="C39" s="150" t="s">
        <v>7</v>
      </c>
      <c r="D39" s="150" t="s">
        <v>110</v>
      </c>
      <c r="E39" s="150" t="s">
        <v>4</v>
      </c>
      <c r="F39" s="164"/>
      <c r="G39" s="164"/>
      <c r="J39" s="284"/>
    </row>
    <row r="40" spans="2:29">
      <c r="B40" s="200" t="s">
        <v>8</v>
      </c>
      <c r="C40" s="368">
        <f>+C24</f>
        <v>0</v>
      </c>
      <c r="D40" s="326"/>
      <c r="E40" s="20">
        <f>C40*D40</f>
        <v>0</v>
      </c>
      <c r="F40" s="17"/>
      <c r="G40" s="17"/>
      <c r="J40" s="198"/>
    </row>
    <row r="41" spans="2:29" ht="15.75">
      <c r="B41" s="206"/>
      <c r="D41" s="65"/>
      <c r="J41" s="198"/>
      <c r="Q41" s="1"/>
      <c r="R41" s="17"/>
      <c r="S41" s="17"/>
      <c r="T41" s="17"/>
      <c r="U41" s="17"/>
    </row>
    <row r="42" spans="2:29" ht="15.75">
      <c r="B42" s="206"/>
      <c r="C42" s="17"/>
      <c r="D42" s="152" t="s">
        <v>108</v>
      </c>
      <c r="E42" s="7">
        <f>E40+E35+E31+E37</f>
        <v>0</v>
      </c>
      <c r="F42" s="166" t="e">
        <f>E42/$J$120</f>
        <v>#DIV/0!</v>
      </c>
      <c r="G42" s="20"/>
      <c r="J42" s="198"/>
      <c r="Q42" s="1"/>
      <c r="R42" s="17"/>
      <c r="S42" s="17"/>
      <c r="T42" s="17"/>
      <c r="U42" s="17"/>
    </row>
    <row r="43" spans="2:29" ht="15.75">
      <c r="B43" s="207"/>
      <c r="C43" s="203"/>
      <c r="D43" s="203"/>
      <c r="E43" s="203"/>
      <c r="F43" s="203"/>
      <c r="G43" s="176"/>
      <c r="H43" s="203"/>
      <c r="I43" s="203"/>
      <c r="J43" s="199"/>
      <c r="Q43" s="285"/>
      <c r="R43" s="150"/>
      <c r="S43" s="150"/>
      <c r="T43" s="150"/>
      <c r="U43" s="286"/>
    </row>
    <row r="44" spans="2:29" ht="15.75" thickBot="1">
      <c r="C44" s="17"/>
      <c r="D44" s="17"/>
      <c r="E44" s="17"/>
      <c r="F44" s="17"/>
      <c r="G44" s="17"/>
      <c r="Q44" s="17"/>
      <c r="R44" s="17"/>
      <c r="S44" s="191"/>
      <c r="T44" s="20"/>
    </row>
    <row r="45" spans="2:29" ht="16.5" thickTop="1">
      <c r="B45" s="180" t="s">
        <v>332</v>
      </c>
      <c r="C45" s="278"/>
      <c r="D45" s="278"/>
      <c r="E45" s="278"/>
      <c r="F45" s="278"/>
      <c r="G45" s="278"/>
      <c r="H45" s="278"/>
      <c r="I45" s="278"/>
      <c r="J45" s="202"/>
      <c r="K45"/>
      <c r="L45"/>
      <c r="M45" s="478" t="s">
        <v>450</v>
      </c>
      <c r="N45" s="481"/>
      <c r="O45" s="479"/>
      <c r="P45" s="479"/>
      <c r="Q45" s="480"/>
      <c r="R45" s="481"/>
      <c r="S45" s="481"/>
      <c r="T45" s="482"/>
      <c r="U45" s="479"/>
      <c r="V45" s="479"/>
      <c r="W45" s="483"/>
    </row>
    <row r="46" spans="2:29" ht="47.25" customHeight="1">
      <c r="B46" s="206"/>
      <c r="F46" s="391"/>
      <c r="G46" s="277"/>
      <c r="H46" s="473" t="s">
        <v>449</v>
      </c>
      <c r="I46" s="739" t="s">
        <v>454</v>
      </c>
      <c r="J46" s="795"/>
      <c r="K46" s="99"/>
      <c r="L46"/>
      <c r="M46" s="484"/>
      <c r="N46" s="477" t="s">
        <v>451</v>
      </c>
      <c r="O46" s="476">
        <f>B62</f>
        <v>0.27</v>
      </c>
      <c r="P46" s="476">
        <f>B70</f>
        <v>0.37</v>
      </c>
      <c r="Q46" s="476">
        <f>B78</f>
        <v>0.47</v>
      </c>
      <c r="R46" s="476">
        <f>B86</f>
        <v>0.56999999999999995</v>
      </c>
      <c r="S46" s="476">
        <f>B94</f>
        <v>0.77</v>
      </c>
      <c r="T46" s="476">
        <f>B102</f>
        <v>1</v>
      </c>
      <c r="U46" s="477" t="s">
        <v>70</v>
      </c>
      <c r="V46" s="866" t="s">
        <v>1</v>
      </c>
      <c r="W46" s="867"/>
    </row>
    <row r="47" spans="2:29" ht="15.75">
      <c r="B47" s="510" t="s">
        <v>548</v>
      </c>
      <c r="C47" s="455">
        <f>'AMI &amp; Rent 2025'!A5</f>
        <v>162000</v>
      </c>
      <c r="D47" s="395" t="s">
        <v>316</v>
      </c>
      <c r="F47" s="392" t="s">
        <v>319</v>
      </c>
      <c r="G47" s="380" t="s">
        <v>320</v>
      </c>
      <c r="H47" s="456">
        <f>'AMI &amp; Rent 2025'!F5</f>
        <v>96</v>
      </c>
      <c r="I47" s="740">
        <f>'AMI &amp; Rent 2025'!E5</f>
        <v>111</v>
      </c>
      <c r="J47" s="796"/>
      <c r="K47" s="99"/>
      <c r="L47"/>
      <c r="M47" s="486" t="s">
        <v>320</v>
      </c>
      <c r="N47" s="489">
        <f>I56</f>
        <v>0</v>
      </c>
      <c r="O47" s="489">
        <f>I64</f>
        <v>0</v>
      </c>
      <c r="P47" s="489">
        <f>I72</f>
        <v>0</v>
      </c>
      <c r="Q47" s="489">
        <f>I80</f>
        <v>0</v>
      </c>
      <c r="R47" s="489">
        <f>I88</f>
        <v>0</v>
      </c>
      <c r="S47" s="489">
        <f>I96</f>
        <v>0</v>
      </c>
      <c r="T47" s="489">
        <f>I104</f>
        <v>0</v>
      </c>
      <c r="U47" s="489">
        <v>0</v>
      </c>
      <c r="V47" s="489">
        <f>SUM(N47:U47)</f>
        <v>0</v>
      </c>
      <c r="W47" s="490" t="e">
        <f>V47/$V$51</f>
        <v>#DIV/0!</v>
      </c>
      <c r="AC47" s="511" t="s">
        <v>455</v>
      </c>
    </row>
    <row r="48" spans="2:29" ht="15.75">
      <c r="B48" s="396"/>
      <c r="C48" s="675">
        <f>'AMI &amp; Rent 2025'!A6</f>
        <v>2780</v>
      </c>
      <c r="D48" s="397" t="s">
        <v>317</v>
      </c>
      <c r="F48" s="392" t="s">
        <v>321</v>
      </c>
      <c r="G48" s="380" t="s">
        <v>322</v>
      </c>
      <c r="H48" s="456">
        <f>'AMI &amp; Rent 2025'!F6</f>
        <v>109</v>
      </c>
      <c r="I48" s="740">
        <f>'AMI &amp; Rent 2025'!E6</f>
        <v>127</v>
      </c>
      <c r="J48" s="796"/>
      <c r="K48" s="99"/>
      <c r="L48"/>
      <c r="M48" s="487" t="s">
        <v>322</v>
      </c>
      <c r="N48" s="491">
        <f>I57</f>
        <v>0</v>
      </c>
      <c r="O48" s="491">
        <f>I65</f>
        <v>0</v>
      </c>
      <c r="P48" s="491">
        <f>I73</f>
        <v>0</v>
      </c>
      <c r="Q48" s="491">
        <f>I81</f>
        <v>0</v>
      </c>
      <c r="R48" s="491">
        <f>I89</f>
        <v>0</v>
      </c>
      <c r="S48" s="491">
        <f>I97</f>
        <v>0</v>
      </c>
      <c r="T48" s="491">
        <f>I105</f>
        <v>0</v>
      </c>
      <c r="U48" s="491">
        <v>0</v>
      </c>
      <c r="V48" s="491">
        <f>SUM(N48:U48)</f>
        <v>0</v>
      </c>
      <c r="W48" s="492" t="e">
        <f>V48/$V$51</f>
        <v>#DIV/0!</v>
      </c>
      <c r="AC48" s="511" t="s">
        <v>449</v>
      </c>
    </row>
    <row r="49" spans="2:29">
      <c r="B49" s="206"/>
      <c r="F49" s="392" t="s">
        <v>323</v>
      </c>
      <c r="G49" s="380" t="s">
        <v>324</v>
      </c>
      <c r="H49" s="456">
        <f>'AMI &amp; Rent 2025'!F7</f>
        <v>144</v>
      </c>
      <c r="I49" s="740">
        <f>'AMI &amp; Rent 2025'!E7</f>
        <v>170</v>
      </c>
      <c r="J49" s="796"/>
      <c r="K49" s="379"/>
      <c r="L49"/>
      <c r="M49" s="487" t="s">
        <v>324</v>
      </c>
      <c r="N49" s="491">
        <f>I58</f>
        <v>0</v>
      </c>
      <c r="O49" s="491">
        <f>I66</f>
        <v>0</v>
      </c>
      <c r="P49" s="491">
        <f>I74</f>
        <v>0</v>
      </c>
      <c r="Q49" s="491">
        <f>I82</f>
        <v>0</v>
      </c>
      <c r="R49" s="491">
        <f>I90</f>
        <v>0</v>
      </c>
      <c r="S49" s="491">
        <f>I98</f>
        <v>0</v>
      </c>
      <c r="T49" s="491">
        <f>I106</f>
        <v>0</v>
      </c>
      <c r="U49" s="493">
        <f>C23</f>
        <v>0</v>
      </c>
      <c r="V49" s="491">
        <f>SUM(N49:U49)</f>
        <v>0</v>
      </c>
      <c r="W49" s="492" t="e">
        <f>V49/$V$51</f>
        <v>#DIV/0!</v>
      </c>
      <c r="AC49" s="511" t="s">
        <v>454</v>
      </c>
    </row>
    <row r="50" spans="2:29" ht="15" customHeight="1">
      <c r="B50" s="868" t="s">
        <v>453</v>
      </c>
      <c r="C50" s="869" t="s">
        <v>454</v>
      </c>
      <c r="D50" s="869"/>
      <c r="F50" s="393" t="s">
        <v>325</v>
      </c>
      <c r="G50" s="394" t="s">
        <v>326</v>
      </c>
      <c r="H50" s="624">
        <f>'AMI &amp; Rent 2025'!F8</f>
        <v>178</v>
      </c>
      <c r="I50" s="624">
        <f>'AMI &amp; Rent 2025'!E8</f>
        <v>212</v>
      </c>
      <c r="J50" s="796"/>
      <c r="K50" s="474"/>
      <c r="L50"/>
      <c r="M50" s="488" t="s">
        <v>326</v>
      </c>
      <c r="N50" s="494">
        <f>I59</f>
        <v>0</v>
      </c>
      <c r="O50" s="494">
        <f>I67</f>
        <v>0</v>
      </c>
      <c r="P50" s="494">
        <f>I75</f>
        <v>0</v>
      </c>
      <c r="Q50" s="494">
        <f>I83</f>
        <v>0</v>
      </c>
      <c r="R50" s="494">
        <f>I91</f>
        <v>0</v>
      </c>
      <c r="S50" s="494">
        <f>I99</f>
        <v>0</v>
      </c>
      <c r="T50" s="494">
        <f>I107</f>
        <v>0</v>
      </c>
      <c r="U50" s="494">
        <v>0</v>
      </c>
      <c r="V50" s="494">
        <f>SUM(N50:U50)</f>
        <v>0</v>
      </c>
      <c r="W50" s="495" t="e">
        <f>V50/$V$51</f>
        <v>#DIV/0!</v>
      </c>
      <c r="AC50" s="511" t="s">
        <v>318</v>
      </c>
    </row>
    <row r="51" spans="2:29">
      <c r="B51" s="868"/>
      <c r="C51" s="869"/>
      <c r="D51" s="869"/>
      <c r="F51" s="381"/>
      <c r="G51" s="431"/>
      <c r="H51" s="380"/>
      <c r="I51" s="99"/>
      <c r="J51" s="797"/>
      <c r="K51" s="475"/>
      <c r="L51"/>
      <c r="M51" s="484"/>
      <c r="N51" s="99">
        <f>SUM(N47:N50)</f>
        <v>0</v>
      </c>
      <c r="O51" s="99">
        <f>SUM(O47:O50)</f>
        <v>0</v>
      </c>
      <c r="P51" s="99">
        <f t="shared" ref="P51:V51" si="1">SUM(P47:P50)</f>
        <v>0</v>
      </c>
      <c r="Q51" s="99">
        <f t="shared" si="1"/>
        <v>0</v>
      </c>
      <c r="R51" s="99">
        <f t="shared" si="1"/>
        <v>0</v>
      </c>
      <c r="S51" s="99">
        <f t="shared" si="1"/>
        <v>0</v>
      </c>
      <c r="T51" s="99">
        <f t="shared" si="1"/>
        <v>0</v>
      </c>
      <c r="U51" s="99">
        <f t="shared" si="1"/>
        <v>0</v>
      </c>
      <c r="V51" s="99">
        <f t="shared" si="1"/>
        <v>0</v>
      </c>
      <c r="W51" s="496"/>
      <c r="AC51" s="511" t="s">
        <v>456</v>
      </c>
    </row>
    <row r="52" spans="2:29">
      <c r="B52" s="206"/>
      <c r="F52" s="381"/>
      <c r="G52" s="431"/>
      <c r="H52" s="380"/>
      <c r="I52" s="99"/>
      <c r="J52" s="390"/>
      <c r="K52" s="475"/>
      <c r="L52"/>
      <c r="M52" s="485"/>
      <c r="N52" s="497" t="e">
        <f>N51/$V$51</f>
        <v>#DIV/0!</v>
      </c>
      <c r="O52" s="497" t="e">
        <f>O51/$V$51</f>
        <v>#DIV/0!</v>
      </c>
      <c r="P52" s="497" t="e">
        <f t="shared" ref="P52:U52" si="2">P51/$V$51</f>
        <v>#DIV/0!</v>
      </c>
      <c r="Q52" s="497" t="e">
        <f t="shared" si="2"/>
        <v>#DIV/0!</v>
      </c>
      <c r="R52" s="497" t="e">
        <f t="shared" si="2"/>
        <v>#DIV/0!</v>
      </c>
      <c r="S52" s="497" t="e">
        <f t="shared" si="2"/>
        <v>#DIV/0!</v>
      </c>
      <c r="T52" s="497" t="e">
        <f t="shared" si="2"/>
        <v>#DIV/0!</v>
      </c>
      <c r="U52" s="497" t="e">
        <f t="shared" si="2"/>
        <v>#DIV/0!</v>
      </c>
      <c r="V52" s="498"/>
      <c r="W52" s="499"/>
      <c r="AC52" s="511"/>
    </row>
    <row r="53" spans="2:29" ht="15.75">
      <c r="B53" s="591" t="s">
        <v>349</v>
      </c>
      <c r="E53" s="67"/>
      <c r="F53" s="67"/>
      <c r="G53" s="367"/>
      <c r="H53" s="367"/>
      <c r="I53" s="367"/>
      <c r="J53" s="389"/>
      <c r="K53" s="99"/>
      <c r="L53"/>
      <c r="M53"/>
      <c r="N53"/>
    </row>
    <row r="54" spans="2:29" ht="15.75">
      <c r="B54" s="592" t="s">
        <v>463</v>
      </c>
      <c r="C54" s="382" t="s">
        <v>335</v>
      </c>
      <c r="D54" s="383">
        <f>$C$47*B54</f>
        <v>0</v>
      </c>
      <c r="E54" s="98" t="s">
        <v>452</v>
      </c>
      <c r="G54" s="99"/>
      <c r="H54" s="99"/>
      <c r="I54" s="99"/>
      <c r="J54" s="390"/>
      <c r="K54" s="99"/>
      <c r="L54"/>
      <c r="M54"/>
      <c r="N54"/>
    </row>
    <row r="55" spans="2:29" ht="30">
      <c r="B55" s="593" t="s">
        <v>336</v>
      </c>
      <c r="C55" s="380" t="s">
        <v>327</v>
      </c>
      <c r="D55" s="384" t="s">
        <v>328</v>
      </c>
      <c r="E55" s="40" t="s">
        <v>348</v>
      </c>
      <c r="F55" s="586" t="s">
        <v>329</v>
      </c>
      <c r="G55" s="460" t="s">
        <v>370</v>
      </c>
      <c r="H55" s="459" t="s">
        <v>331</v>
      </c>
      <c r="I55" s="379" t="s">
        <v>333</v>
      </c>
      <c r="J55" s="386" t="s">
        <v>334</v>
      </c>
      <c r="L55"/>
      <c r="M55"/>
      <c r="N55"/>
    </row>
    <row r="56" spans="2:29">
      <c r="B56" s="594" t="s">
        <v>320</v>
      </c>
      <c r="C56" s="380">
        <v>1</v>
      </c>
      <c r="D56" s="385">
        <v>0.6</v>
      </c>
      <c r="E56" s="381">
        <f>$D$54*D56</f>
        <v>0</v>
      </c>
      <c r="F56" s="474">
        <f>ROUNDDOWN(E56*0.3/12,0)</f>
        <v>0</v>
      </c>
      <c r="G56" s="457">
        <f>G64</f>
        <v>-111</v>
      </c>
      <c r="H56" s="587">
        <v>215</v>
      </c>
      <c r="I56" s="500"/>
      <c r="J56" s="388">
        <f>H56*I56*12</f>
        <v>0</v>
      </c>
      <c r="L56"/>
      <c r="M56"/>
      <c r="N56"/>
    </row>
    <row r="57" spans="2:29">
      <c r="B57" s="594" t="s">
        <v>322</v>
      </c>
      <c r="C57" s="380">
        <v>1.5</v>
      </c>
      <c r="D57" s="385">
        <v>0.75</v>
      </c>
      <c r="E57" s="381">
        <f>$D$54*D57</f>
        <v>0</v>
      </c>
      <c r="F57" s="474">
        <f>ROUND(E57*0.3/12,0)</f>
        <v>0</v>
      </c>
      <c r="G57" s="457">
        <f>G65</f>
        <v>-127</v>
      </c>
      <c r="H57" s="587">
        <v>283</v>
      </c>
      <c r="I57" s="500"/>
      <c r="J57" s="388">
        <f>H57*I57*12</f>
        <v>0</v>
      </c>
      <c r="L57"/>
      <c r="M57"/>
      <c r="N57"/>
    </row>
    <row r="58" spans="2:29">
      <c r="B58" s="594" t="s">
        <v>324</v>
      </c>
      <c r="C58" s="380">
        <v>3</v>
      </c>
      <c r="D58" s="385">
        <v>0.9</v>
      </c>
      <c r="E58" s="381">
        <f>$D$54*D58</f>
        <v>0</v>
      </c>
      <c r="F58" s="474">
        <f>ROUNDDOWN(E58*0.3/12,0)</f>
        <v>0</v>
      </c>
      <c r="G58" s="457">
        <f>G66</f>
        <v>-170</v>
      </c>
      <c r="H58" s="587">
        <v>425</v>
      </c>
      <c r="I58" s="500"/>
      <c r="J58" s="388">
        <f>H58*I58*12</f>
        <v>0</v>
      </c>
      <c r="L58"/>
      <c r="M58"/>
      <c r="N58"/>
    </row>
    <row r="59" spans="2:29">
      <c r="B59" s="594" t="s">
        <v>326</v>
      </c>
      <c r="C59" s="380">
        <v>4.5</v>
      </c>
      <c r="D59" s="385">
        <v>1.04</v>
      </c>
      <c r="E59" s="381">
        <f>$D$54*D59</f>
        <v>0</v>
      </c>
      <c r="F59" s="474">
        <f>ROUNDDOWN(E59*0.3/12,0)</f>
        <v>0</v>
      </c>
      <c r="G59" s="457">
        <f>G67</f>
        <v>-212</v>
      </c>
      <c r="H59" s="587">
        <v>512</v>
      </c>
      <c r="I59" s="500"/>
      <c r="J59" s="388">
        <f>H59*I59*12</f>
        <v>0</v>
      </c>
      <c r="L59"/>
      <c r="M59"/>
      <c r="N59"/>
    </row>
    <row r="60" spans="2:29">
      <c r="B60" s="206"/>
      <c r="C60" s="99"/>
      <c r="D60" s="99"/>
      <c r="E60" s="99"/>
      <c r="G60" s="588"/>
      <c r="H60" s="588"/>
      <c r="I60" s="99">
        <f>SUM(I56:I59)</f>
        <v>0</v>
      </c>
      <c r="J60" s="388">
        <f>SUM(J56:J59)</f>
        <v>0</v>
      </c>
      <c r="K60" s="99"/>
      <c r="L60"/>
      <c r="M60"/>
      <c r="N60"/>
    </row>
    <row r="61" spans="2:29">
      <c r="B61" s="206"/>
      <c r="C61" s="367"/>
      <c r="D61" s="367"/>
      <c r="E61" s="367"/>
      <c r="F61" s="67"/>
      <c r="G61" s="458"/>
      <c r="H61" s="458"/>
      <c r="I61" s="367"/>
      <c r="J61" s="389"/>
      <c r="K61" s="99"/>
      <c r="L61"/>
      <c r="M61"/>
      <c r="N61"/>
    </row>
    <row r="62" spans="2:29" ht="15.75">
      <c r="B62" s="592">
        <v>0.27</v>
      </c>
      <c r="C62" s="382" t="s">
        <v>335</v>
      </c>
      <c r="D62" s="383">
        <f>$C$47*B62</f>
        <v>43740</v>
      </c>
      <c r="E62" s="589"/>
      <c r="G62" s="588"/>
      <c r="H62" s="588"/>
      <c r="I62" s="99"/>
      <c r="J62" s="390"/>
      <c r="K62" s="99"/>
      <c r="L62"/>
      <c r="M62"/>
      <c r="N62"/>
    </row>
    <row r="63" spans="2:29" ht="30">
      <c r="B63" s="593" t="s">
        <v>336</v>
      </c>
      <c r="C63" s="380" t="s">
        <v>327</v>
      </c>
      <c r="D63" s="384" t="s">
        <v>328</v>
      </c>
      <c r="E63" s="40" t="s">
        <v>348</v>
      </c>
      <c r="F63" s="586" t="s">
        <v>329</v>
      </c>
      <c r="G63" s="460" t="s">
        <v>370</v>
      </c>
      <c r="H63" s="459" t="s">
        <v>331</v>
      </c>
      <c r="I63" s="379" t="s">
        <v>333</v>
      </c>
      <c r="J63" s="386" t="s">
        <v>334</v>
      </c>
      <c r="L63"/>
      <c r="M63"/>
      <c r="N63"/>
    </row>
    <row r="64" spans="2:29">
      <c r="B64" s="594" t="s">
        <v>320</v>
      </c>
      <c r="C64" s="380">
        <v>1</v>
      </c>
      <c r="D64" s="385">
        <v>0.6</v>
      </c>
      <c r="E64" s="381">
        <f>$D$62*D64</f>
        <v>26244</v>
      </c>
      <c r="F64" s="474">
        <f>'AMI &amp; Rent 2025'!E22</f>
        <v>656</v>
      </c>
      <c r="G64" s="457">
        <f>IF($C$50="No Utilities",0,IF($C$50="Electricity &amp; Gas Allowance",H47+J47,INDEX($G$46:$J$50,MATCH(B64,$G$46:$G$50,0),MATCH($C$50,$G$46:$J$46,0))))*-1</f>
        <v>-111</v>
      </c>
      <c r="H64" s="587">
        <f>F64+G64</f>
        <v>545</v>
      </c>
      <c r="I64" s="500"/>
      <c r="J64" s="388">
        <f>H64*I64*12</f>
        <v>0</v>
      </c>
      <c r="L64"/>
      <c r="M64"/>
      <c r="N64"/>
    </row>
    <row r="65" spans="2:14">
      <c r="B65" s="594" t="s">
        <v>322</v>
      </c>
      <c r="C65" s="380">
        <v>1.5</v>
      </c>
      <c r="D65" s="385">
        <v>0.75</v>
      </c>
      <c r="E65" s="381">
        <f>$D$62*D65</f>
        <v>32805</v>
      </c>
      <c r="F65" s="474">
        <f>'AMI &amp; Rent 2025'!E23</f>
        <v>820</v>
      </c>
      <c r="G65" s="457">
        <f>IF($C$50="No Utilities",0,IF($C$50="Electricity &amp; Gas Allowance",H48+J48,INDEX($G$46:$J$50,MATCH(B65,$G$46:$G$50,0),MATCH($C$50,$G$46:$J$46,0))))*-1</f>
        <v>-127</v>
      </c>
      <c r="H65" s="587">
        <f>F65+G65</f>
        <v>693</v>
      </c>
      <c r="I65" s="500"/>
      <c r="J65" s="388">
        <f>H65*I65*12</f>
        <v>0</v>
      </c>
      <c r="L65"/>
      <c r="M65"/>
      <c r="N65"/>
    </row>
    <row r="66" spans="2:14">
      <c r="B66" s="594" t="s">
        <v>324</v>
      </c>
      <c r="C66" s="380">
        <v>3</v>
      </c>
      <c r="D66" s="385">
        <v>0.9</v>
      </c>
      <c r="E66" s="381">
        <f>$D$62*D66</f>
        <v>39366</v>
      </c>
      <c r="F66" s="474">
        <f>'AMI &amp; Rent 2025'!E24</f>
        <v>984</v>
      </c>
      <c r="G66" s="457">
        <f>IF($C$50="No Utilities",0,IF($C$50="Electricity &amp; Gas Allowance",H49+J49,INDEX($G$46:$J$50,MATCH(B66,$G$46:$G$50,0),MATCH($C$50,$G$46:$J$46,0))))*-1</f>
        <v>-170</v>
      </c>
      <c r="H66" s="587">
        <f>F66+G66</f>
        <v>814</v>
      </c>
      <c r="I66" s="500"/>
      <c r="J66" s="388">
        <f>H66*I66*12</f>
        <v>0</v>
      </c>
      <c r="L66"/>
      <c r="M66"/>
      <c r="N66"/>
    </row>
    <row r="67" spans="2:14">
      <c r="B67" s="594" t="s">
        <v>326</v>
      </c>
      <c r="C67" s="380">
        <v>4.5</v>
      </c>
      <c r="D67" s="385">
        <v>1.04</v>
      </c>
      <c r="E67" s="381">
        <f>$D$62*D67</f>
        <v>45489.599999999999</v>
      </c>
      <c r="F67" s="474">
        <f>'AMI &amp; Rent 2025'!E25</f>
        <v>1137</v>
      </c>
      <c r="G67" s="457">
        <f>IF($C$50="No Utilities",0,IF($C$50="Electricity &amp; Gas Allowance",H50+J50,INDEX($G$46:$J$50,MATCH(B67,$G$46:$G$50,0),MATCH($C$50,$G$46:$J$46,0))))*-1</f>
        <v>-212</v>
      </c>
      <c r="H67" s="587">
        <f>F67+G67</f>
        <v>925</v>
      </c>
      <c r="I67" s="500"/>
      <c r="J67" s="388">
        <f>H67*I67*12</f>
        <v>0</v>
      </c>
      <c r="L67"/>
      <c r="M67"/>
      <c r="N67"/>
    </row>
    <row r="68" spans="2:14">
      <c r="B68" s="206"/>
      <c r="C68" s="99"/>
      <c r="D68" s="99"/>
      <c r="E68" s="99"/>
      <c r="G68" s="588"/>
      <c r="H68" s="588"/>
      <c r="I68" s="99">
        <f>SUM(I64:I67)</f>
        <v>0</v>
      </c>
      <c r="J68" s="388">
        <f>SUM(J64:J67)</f>
        <v>0</v>
      </c>
      <c r="K68" s="99"/>
      <c r="L68"/>
      <c r="M68"/>
      <c r="N68"/>
    </row>
    <row r="69" spans="2:14">
      <c r="B69" s="206"/>
      <c r="C69" s="367"/>
      <c r="D69" s="367"/>
      <c r="E69" s="367"/>
      <c r="F69" s="67"/>
      <c r="G69" s="458"/>
      <c r="H69" s="458"/>
      <c r="I69" s="367"/>
      <c r="J69" s="389"/>
      <c r="K69" s="99"/>
      <c r="L69"/>
      <c r="M69"/>
      <c r="N69"/>
    </row>
    <row r="70" spans="2:14" ht="15.75">
      <c r="B70" s="592">
        <v>0.37</v>
      </c>
      <c r="C70" s="382" t="s">
        <v>335</v>
      </c>
      <c r="D70" s="383">
        <f>$C$47*B70</f>
        <v>59940</v>
      </c>
      <c r="E70" s="589"/>
      <c r="G70" s="588"/>
      <c r="H70" s="588"/>
      <c r="I70" s="99"/>
      <c r="J70" s="390"/>
      <c r="K70" s="99"/>
      <c r="L70"/>
      <c r="M70"/>
      <c r="N70"/>
    </row>
    <row r="71" spans="2:14" ht="30">
      <c r="B71" s="593" t="s">
        <v>336</v>
      </c>
      <c r="C71" s="380" t="s">
        <v>327</v>
      </c>
      <c r="D71" s="384" t="s">
        <v>328</v>
      </c>
      <c r="E71" s="40" t="s">
        <v>348</v>
      </c>
      <c r="F71" s="586" t="s">
        <v>329</v>
      </c>
      <c r="G71" s="459" t="s">
        <v>330</v>
      </c>
      <c r="H71" s="459" t="s">
        <v>331</v>
      </c>
      <c r="I71" s="379" t="s">
        <v>333</v>
      </c>
      <c r="J71" s="386" t="s">
        <v>334</v>
      </c>
      <c r="L71"/>
      <c r="M71"/>
      <c r="N71"/>
    </row>
    <row r="72" spans="2:14">
      <c r="B72" s="594" t="s">
        <v>320</v>
      </c>
      <c r="C72" s="380">
        <v>1</v>
      </c>
      <c r="D72" s="385">
        <v>0.6</v>
      </c>
      <c r="E72" s="381">
        <f>$D$70*D72</f>
        <v>35964</v>
      </c>
      <c r="F72" s="474">
        <f>'AMI &amp; Rent 2025'!E34</f>
        <v>899</v>
      </c>
      <c r="G72" s="457">
        <f>G64</f>
        <v>-111</v>
      </c>
      <c r="H72" s="587">
        <f>F72+G72-1</f>
        <v>787</v>
      </c>
      <c r="I72" s="500"/>
      <c r="J72" s="388">
        <f>H72*I72*12</f>
        <v>0</v>
      </c>
      <c r="L72"/>
      <c r="M72"/>
      <c r="N72"/>
    </row>
    <row r="73" spans="2:14">
      <c r="B73" s="594" t="s">
        <v>322</v>
      </c>
      <c r="C73" s="380">
        <v>1.5</v>
      </c>
      <c r="D73" s="385">
        <v>0.75</v>
      </c>
      <c r="E73" s="381">
        <f>$D$70*D73</f>
        <v>44955</v>
      </c>
      <c r="F73" s="474">
        <f>'AMI &amp; Rent 2025'!E35</f>
        <v>1123</v>
      </c>
      <c r="G73" s="457">
        <f>G65</f>
        <v>-127</v>
      </c>
      <c r="H73" s="587">
        <f>F73+G73</f>
        <v>996</v>
      </c>
      <c r="I73" s="500"/>
      <c r="J73" s="388">
        <f>H73*I73*12</f>
        <v>0</v>
      </c>
      <c r="L73"/>
      <c r="M73"/>
      <c r="N73"/>
    </row>
    <row r="74" spans="2:14">
      <c r="B74" s="594" t="s">
        <v>324</v>
      </c>
      <c r="C74" s="380">
        <v>3</v>
      </c>
      <c r="D74" s="385">
        <v>0.9</v>
      </c>
      <c r="E74" s="381">
        <f>$D$70*D74</f>
        <v>53946</v>
      </c>
      <c r="F74" s="474">
        <f>'AMI &amp; Rent 2025'!E36</f>
        <v>1348</v>
      </c>
      <c r="G74" s="457">
        <f>G66</f>
        <v>-170</v>
      </c>
      <c r="H74" s="587">
        <f>F74+G74</f>
        <v>1178</v>
      </c>
      <c r="I74" s="500"/>
      <c r="J74" s="388">
        <f>H74*I74*12</f>
        <v>0</v>
      </c>
      <c r="L74"/>
      <c r="M74"/>
      <c r="N74"/>
    </row>
    <row r="75" spans="2:14">
      <c r="B75" s="594" t="s">
        <v>326</v>
      </c>
      <c r="C75" s="380">
        <v>4.5</v>
      </c>
      <c r="D75" s="385">
        <v>1.04</v>
      </c>
      <c r="E75" s="381">
        <f>$D$70*D75</f>
        <v>62337.599999999999</v>
      </c>
      <c r="F75" s="474">
        <f>'AMI &amp; Rent 2025'!E37</f>
        <v>1558</v>
      </c>
      <c r="G75" s="457">
        <f>G67</f>
        <v>-212</v>
      </c>
      <c r="H75" s="587">
        <f>F75+G75</f>
        <v>1346</v>
      </c>
      <c r="I75" s="500"/>
      <c r="J75" s="388">
        <f>H75*I75*12</f>
        <v>0</v>
      </c>
      <c r="L75"/>
      <c r="M75"/>
      <c r="N75"/>
    </row>
    <row r="76" spans="2:14">
      <c r="B76" s="206"/>
      <c r="C76" s="99"/>
      <c r="D76" s="99"/>
      <c r="E76" s="99"/>
      <c r="G76" s="588"/>
      <c r="H76" s="588"/>
      <c r="I76" s="99">
        <f>SUM(I72:I75)</f>
        <v>0</v>
      </c>
      <c r="J76" s="388">
        <f>SUM(J72:J75)</f>
        <v>0</v>
      </c>
      <c r="K76" s="99"/>
      <c r="L76"/>
      <c r="M76"/>
      <c r="N76"/>
    </row>
    <row r="77" spans="2:14">
      <c r="B77" s="206"/>
      <c r="C77" s="367"/>
      <c r="D77" s="367"/>
      <c r="E77" s="367"/>
      <c r="F77" s="67"/>
      <c r="G77" s="458"/>
      <c r="H77" s="458"/>
      <c r="I77" s="367"/>
      <c r="J77" s="389"/>
      <c r="K77" s="99"/>
      <c r="L77"/>
      <c r="M77"/>
      <c r="N77"/>
    </row>
    <row r="78" spans="2:14" ht="15.75">
      <c r="B78" s="592">
        <v>0.47</v>
      </c>
      <c r="C78" s="382" t="s">
        <v>335</v>
      </c>
      <c r="D78" s="383">
        <f>$C$47*B78</f>
        <v>76140</v>
      </c>
      <c r="E78" s="99"/>
      <c r="G78" s="588"/>
      <c r="H78" s="588"/>
      <c r="I78" s="99"/>
      <c r="J78" s="390"/>
      <c r="K78" s="99"/>
      <c r="L78"/>
      <c r="M78"/>
      <c r="N78"/>
    </row>
    <row r="79" spans="2:14" ht="30">
      <c r="B79" s="593" t="s">
        <v>336</v>
      </c>
      <c r="C79" s="380" t="s">
        <v>327</v>
      </c>
      <c r="D79" s="384" t="s">
        <v>328</v>
      </c>
      <c r="E79" s="40" t="s">
        <v>348</v>
      </c>
      <c r="F79" s="586" t="s">
        <v>329</v>
      </c>
      <c r="G79" s="460" t="s">
        <v>330</v>
      </c>
      <c r="H79" s="459" t="s">
        <v>331</v>
      </c>
      <c r="I79" s="379" t="s">
        <v>333</v>
      </c>
      <c r="J79" s="386" t="s">
        <v>334</v>
      </c>
      <c r="L79"/>
      <c r="M79"/>
      <c r="N79"/>
    </row>
    <row r="80" spans="2:14">
      <c r="B80" s="594" t="s">
        <v>320</v>
      </c>
      <c r="C80" s="380">
        <v>1</v>
      </c>
      <c r="D80" s="385">
        <v>0.6</v>
      </c>
      <c r="E80" s="381">
        <f>$D$78*D80</f>
        <v>45684</v>
      </c>
      <c r="F80" s="474">
        <f>'AMI &amp; Rent 2025'!E47</f>
        <v>1142</v>
      </c>
      <c r="G80" s="457">
        <f>G64</f>
        <v>-111</v>
      </c>
      <c r="H80" s="587">
        <f>F80+G80</f>
        <v>1031</v>
      </c>
      <c r="I80" s="500"/>
      <c r="J80" s="388">
        <f>H80*I80*12</f>
        <v>0</v>
      </c>
      <c r="L80"/>
      <c r="M80"/>
      <c r="N80"/>
    </row>
    <row r="81" spans="2:14">
      <c r="B81" s="594" t="s">
        <v>322</v>
      </c>
      <c r="C81" s="380">
        <v>1.5</v>
      </c>
      <c r="D81" s="385">
        <v>0.75</v>
      </c>
      <c r="E81" s="381">
        <f>$D$78*D81</f>
        <v>57105</v>
      </c>
      <c r="F81" s="474">
        <f>'AMI &amp; Rent 2025'!E48</f>
        <v>1427</v>
      </c>
      <c r="G81" s="457">
        <f>G65</f>
        <v>-127</v>
      </c>
      <c r="H81" s="587">
        <f>F81+G81</f>
        <v>1300</v>
      </c>
      <c r="I81" s="500"/>
      <c r="J81" s="388">
        <f>H81*I81*12</f>
        <v>0</v>
      </c>
      <c r="L81"/>
      <c r="M81"/>
      <c r="N81"/>
    </row>
    <row r="82" spans="2:14">
      <c r="B82" s="594" t="s">
        <v>324</v>
      </c>
      <c r="C82" s="380">
        <v>3</v>
      </c>
      <c r="D82" s="385">
        <v>0.9</v>
      </c>
      <c r="E82" s="381">
        <f>$D$78*D82</f>
        <v>68526</v>
      </c>
      <c r="F82" s="474">
        <f>'AMI &amp; Rent 2025'!E49</f>
        <v>1713</v>
      </c>
      <c r="G82" s="457">
        <f>G66</f>
        <v>-170</v>
      </c>
      <c r="H82" s="587">
        <f>F82+G82</f>
        <v>1543</v>
      </c>
      <c r="I82" s="500"/>
      <c r="J82" s="388">
        <f>H82*I82*12</f>
        <v>0</v>
      </c>
      <c r="L82"/>
      <c r="M82"/>
      <c r="N82"/>
    </row>
    <row r="83" spans="2:14">
      <c r="B83" s="594" t="s">
        <v>326</v>
      </c>
      <c r="C83" s="380">
        <v>4.5</v>
      </c>
      <c r="D83" s="385">
        <v>1.04</v>
      </c>
      <c r="E83" s="381">
        <f>$D$78*D83</f>
        <v>79185.600000000006</v>
      </c>
      <c r="F83" s="474">
        <f>'AMI &amp; Rent 2025'!E50</f>
        <v>1979</v>
      </c>
      <c r="G83" s="457">
        <f>G67</f>
        <v>-212</v>
      </c>
      <c r="H83" s="587">
        <f>F83+G83</f>
        <v>1767</v>
      </c>
      <c r="I83" s="500"/>
      <c r="J83" s="388">
        <f>H83*I83*12</f>
        <v>0</v>
      </c>
      <c r="L83"/>
      <c r="M83"/>
      <c r="N83"/>
    </row>
    <row r="84" spans="2:14">
      <c r="B84" s="206"/>
      <c r="C84" s="99"/>
      <c r="D84" s="99"/>
      <c r="E84" s="99"/>
      <c r="G84" s="588"/>
      <c r="H84" s="588"/>
      <c r="I84" s="99">
        <f>SUM(I80:I83)</f>
        <v>0</v>
      </c>
      <c r="J84" s="388">
        <f>SUM(J80:J83)</f>
        <v>0</v>
      </c>
      <c r="K84" s="99"/>
      <c r="L84"/>
      <c r="M84"/>
      <c r="N84"/>
    </row>
    <row r="85" spans="2:14">
      <c r="B85" s="206"/>
      <c r="C85" s="367"/>
      <c r="D85" s="367"/>
      <c r="E85" s="367"/>
      <c r="F85" s="67"/>
      <c r="G85" s="458"/>
      <c r="H85" s="458"/>
      <c r="I85" s="367"/>
      <c r="J85" s="389"/>
      <c r="K85" s="99"/>
      <c r="L85"/>
      <c r="M85"/>
      <c r="N85"/>
    </row>
    <row r="86" spans="2:14" ht="15.75">
      <c r="B86" s="592">
        <v>0.56999999999999995</v>
      </c>
      <c r="C86" s="382" t="s">
        <v>335</v>
      </c>
      <c r="D86" s="383">
        <f>$C$47*B86</f>
        <v>92339.999999999985</v>
      </c>
      <c r="E86" s="99"/>
      <c r="G86" s="588"/>
      <c r="H86" s="588"/>
      <c r="I86" s="99"/>
      <c r="J86" s="390"/>
      <c r="K86" s="99"/>
      <c r="L86"/>
      <c r="M86"/>
      <c r="N86"/>
    </row>
    <row r="87" spans="2:14" ht="30">
      <c r="B87" s="593" t="s">
        <v>336</v>
      </c>
      <c r="C87" s="380" t="s">
        <v>327</v>
      </c>
      <c r="D87" s="384" t="s">
        <v>328</v>
      </c>
      <c r="E87" s="40" t="s">
        <v>348</v>
      </c>
      <c r="F87" s="586" t="s">
        <v>329</v>
      </c>
      <c r="G87" s="460" t="s">
        <v>330</v>
      </c>
      <c r="H87" s="459" t="s">
        <v>331</v>
      </c>
      <c r="I87" s="379" t="s">
        <v>333</v>
      </c>
      <c r="J87" s="386" t="s">
        <v>334</v>
      </c>
      <c r="L87"/>
      <c r="M87"/>
      <c r="N87"/>
    </row>
    <row r="88" spans="2:14">
      <c r="B88" s="594" t="s">
        <v>320</v>
      </c>
      <c r="C88" s="380">
        <v>1</v>
      </c>
      <c r="D88" s="385">
        <v>0.6</v>
      </c>
      <c r="E88" s="381">
        <f>$D$86*D88</f>
        <v>55403.999999999993</v>
      </c>
      <c r="F88" s="474">
        <f>'AMI &amp; Rent 2025'!E60</f>
        <v>1385</v>
      </c>
      <c r="G88" s="457">
        <f>G64</f>
        <v>-111</v>
      </c>
      <c r="H88" s="587">
        <f>F88+G88</f>
        <v>1274</v>
      </c>
      <c r="I88" s="500"/>
      <c r="J88" s="388">
        <f>H88*I88*12</f>
        <v>0</v>
      </c>
      <c r="L88"/>
      <c r="M88"/>
      <c r="N88"/>
    </row>
    <row r="89" spans="2:14">
      <c r="B89" s="594" t="s">
        <v>322</v>
      </c>
      <c r="C89" s="380">
        <v>1.5</v>
      </c>
      <c r="D89" s="385">
        <v>0.75</v>
      </c>
      <c r="E89" s="381">
        <f>$D$86*D89</f>
        <v>69254.999999999985</v>
      </c>
      <c r="F89" s="474">
        <f>'AMI &amp; Rent 2025'!E61</f>
        <v>1731</v>
      </c>
      <c r="G89" s="457">
        <f>G65</f>
        <v>-127</v>
      </c>
      <c r="H89" s="587">
        <f>F89+G89</f>
        <v>1604</v>
      </c>
      <c r="I89" s="500"/>
      <c r="J89" s="388">
        <f>H89*I89*12</f>
        <v>0</v>
      </c>
      <c r="L89"/>
      <c r="M89"/>
      <c r="N89"/>
    </row>
    <row r="90" spans="2:14">
      <c r="B90" s="594" t="s">
        <v>324</v>
      </c>
      <c r="C90" s="380">
        <v>3</v>
      </c>
      <c r="D90" s="385">
        <v>0.9</v>
      </c>
      <c r="E90" s="381">
        <f>$D$86*D90</f>
        <v>83105.999999999985</v>
      </c>
      <c r="F90" s="474">
        <f>'AMI &amp; Rent 2025'!E62</f>
        <v>2077</v>
      </c>
      <c r="G90" s="457">
        <f>G66</f>
        <v>-170</v>
      </c>
      <c r="H90" s="587">
        <f>F90+G90</f>
        <v>1907</v>
      </c>
      <c r="I90" s="500"/>
      <c r="J90" s="388">
        <f>H90*I90*12</f>
        <v>0</v>
      </c>
      <c r="L90"/>
      <c r="M90"/>
      <c r="N90"/>
    </row>
    <row r="91" spans="2:14">
      <c r="B91" s="594" t="s">
        <v>326</v>
      </c>
      <c r="C91" s="380">
        <v>4.5</v>
      </c>
      <c r="D91" s="385">
        <v>1.04</v>
      </c>
      <c r="E91" s="381">
        <f>$D$86*D91</f>
        <v>96033.599999999991</v>
      </c>
      <c r="F91" s="474">
        <f>'AMI &amp; Rent 2025'!E63</f>
        <v>2401</v>
      </c>
      <c r="G91" s="457">
        <f>G67</f>
        <v>-212</v>
      </c>
      <c r="H91" s="587">
        <f>F91+G91</f>
        <v>2189</v>
      </c>
      <c r="I91" s="500"/>
      <c r="J91" s="388">
        <f>H91*I91*12</f>
        <v>0</v>
      </c>
      <c r="L91"/>
      <c r="M91"/>
      <c r="N91"/>
    </row>
    <row r="92" spans="2:14">
      <c r="B92" s="206"/>
      <c r="C92" s="99"/>
      <c r="D92" s="99"/>
      <c r="E92" s="99"/>
      <c r="G92" s="588"/>
      <c r="H92" s="588"/>
      <c r="I92" s="99">
        <f>SUM(I88:I91)</f>
        <v>0</v>
      </c>
      <c r="J92" s="388">
        <f>SUM(J88:J91)</f>
        <v>0</v>
      </c>
      <c r="K92" s="99"/>
      <c r="L92"/>
      <c r="M92"/>
      <c r="N92"/>
    </row>
    <row r="93" spans="2:14">
      <c r="B93" s="206"/>
      <c r="C93" s="367"/>
      <c r="D93" s="367"/>
      <c r="E93" s="367"/>
      <c r="F93" s="67"/>
      <c r="G93" s="458"/>
      <c r="H93" s="458"/>
      <c r="I93" s="367"/>
      <c r="J93" s="389"/>
      <c r="K93" s="99"/>
      <c r="L93"/>
      <c r="M93"/>
      <c r="N93"/>
    </row>
    <row r="94" spans="2:14" ht="15.75">
      <c r="B94" s="592">
        <v>0.77</v>
      </c>
      <c r="C94" s="382" t="s">
        <v>335</v>
      </c>
      <c r="D94" s="383">
        <f>$C$47*B94</f>
        <v>124740</v>
      </c>
      <c r="E94" s="99"/>
      <c r="G94" s="588"/>
      <c r="H94" s="588"/>
      <c r="I94" s="99"/>
      <c r="J94" s="390"/>
      <c r="K94" s="99"/>
      <c r="L94"/>
      <c r="M94"/>
      <c r="N94"/>
    </row>
    <row r="95" spans="2:14" ht="30">
      <c r="B95" s="593" t="s">
        <v>336</v>
      </c>
      <c r="C95" s="380" t="s">
        <v>327</v>
      </c>
      <c r="D95" s="384" t="s">
        <v>328</v>
      </c>
      <c r="E95" s="40" t="s">
        <v>348</v>
      </c>
      <c r="F95" s="586" t="s">
        <v>329</v>
      </c>
      <c r="G95" s="460" t="s">
        <v>330</v>
      </c>
      <c r="H95" s="459" t="s">
        <v>331</v>
      </c>
      <c r="I95" s="379" t="s">
        <v>333</v>
      </c>
      <c r="J95" s="386" t="s">
        <v>334</v>
      </c>
      <c r="L95"/>
      <c r="M95"/>
      <c r="N95"/>
    </row>
    <row r="96" spans="2:14">
      <c r="B96" s="594" t="s">
        <v>320</v>
      </c>
      <c r="C96" s="380">
        <v>1</v>
      </c>
      <c r="D96" s="385">
        <v>0.6</v>
      </c>
      <c r="E96" s="381">
        <f>$D$94*D96</f>
        <v>74844</v>
      </c>
      <c r="F96" s="474">
        <f>'AMI &amp; Rent 2025'!E85</f>
        <v>1871</v>
      </c>
      <c r="G96" s="457">
        <f>G64</f>
        <v>-111</v>
      </c>
      <c r="H96" s="587">
        <f>F96+G96</f>
        <v>1760</v>
      </c>
      <c r="I96" s="500"/>
      <c r="J96" s="388">
        <f>H96*I96*12</f>
        <v>0</v>
      </c>
      <c r="L96"/>
      <c r="M96"/>
      <c r="N96"/>
    </row>
    <row r="97" spans="2:14">
      <c r="B97" s="594" t="s">
        <v>322</v>
      </c>
      <c r="C97" s="380">
        <v>1.5</v>
      </c>
      <c r="D97" s="385">
        <v>0.75</v>
      </c>
      <c r="E97" s="381">
        <f>$D$94*D97</f>
        <v>93555</v>
      </c>
      <c r="F97" s="474">
        <f>'AMI &amp; Rent 2025'!E86</f>
        <v>2338</v>
      </c>
      <c r="G97" s="457">
        <f>G65</f>
        <v>-127</v>
      </c>
      <c r="H97" s="587">
        <f>F97+G97</f>
        <v>2211</v>
      </c>
      <c r="I97" s="500"/>
      <c r="J97" s="388">
        <f>H97*I97*12</f>
        <v>0</v>
      </c>
      <c r="L97"/>
      <c r="M97"/>
      <c r="N97"/>
    </row>
    <row r="98" spans="2:14">
      <c r="B98" s="594" t="s">
        <v>324</v>
      </c>
      <c r="C98" s="380">
        <v>3</v>
      </c>
      <c r="D98" s="385">
        <v>0.9</v>
      </c>
      <c r="E98" s="381">
        <f>$D$94*D98</f>
        <v>112266</v>
      </c>
      <c r="F98" s="474">
        <f>'AMI &amp; Rent 2025'!E87</f>
        <v>2806</v>
      </c>
      <c r="G98" s="457">
        <f>G66</f>
        <v>-170</v>
      </c>
      <c r="H98" s="587">
        <f>F98+G98</f>
        <v>2636</v>
      </c>
      <c r="I98" s="500"/>
      <c r="J98" s="388">
        <f>H98*I98*12</f>
        <v>0</v>
      </c>
      <c r="L98"/>
      <c r="M98"/>
      <c r="N98"/>
    </row>
    <row r="99" spans="2:14">
      <c r="B99" s="594" t="s">
        <v>326</v>
      </c>
      <c r="C99" s="380">
        <v>4.5</v>
      </c>
      <c r="D99" s="385">
        <v>1.04</v>
      </c>
      <c r="E99" s="381">
        <f>$D$94*D99</f>
        <v>129729.60000000001</v>
      </c>
      <c r="F99" s="474">
        <f>'AMI &amp; Rent 2025'!E88</f>
        <v>3243</v>
      </c>
      <c r="G99" s="457">
        <f>G67</f>
        <v>-212</v>
      </c>
      <c r="H99" s="587">
        <f>F99+G99</f>
        <v>3031</v>
      </c>
      <c r="I99" s="500"/>
      <c r="J99" s="388">
        <f>H99*I99*12</f>
        <v>0</v>
      </c>
      <c r="L99"/>
      <c r="M99"/>
      <c r="N99"/>
    </row>
    <row r="100" spans="2:14">
      <c r="B100" s="206"/>
      <c r="C100" s="99"/>
      <c r="D100" s="99"/>
      <c r="E100" s="99"/>
      <c r="G100" s="588"/>
      <c r="H100" s="588"/>
      <c r="I100" s="99">
        <f>SUM(I96:I99)</f>
        <v>0</v>
      </c>
      <c r="J100" s="388">
        <f>SUM(J96:J99)</f>
        <v>0</v>
      </c>
      <c r="K100" s="99"/>
      <c r="L100"/>
      <c r="M100"/>
      <c r="N100"/>
    </row>
    <row r="101" spans="2:14">
      <c r="B101" s="206"/>
      <c r="C101" s="367"/>
      <c r="D101" s="367"/>
      <c r="E101" s="367"/>
      <c r="F101" s="67"/>
      <c r="G101" s="458"/>
      <c r="H101" s="458"/>
      <c r="I101" s="367"/>
      <c r="J101" s="389"/>
      <c r="K101" s="99"/>
      <c r="L101"/>
      <c r="M101"/>
      <c r="N101"/>
    </row>
    <row r="102" spans="2:14" ht="15.75">
      <c r="B102" s="592">
        <v>1</v>
      </c>
      <c r="C102" s="382" t="s">
        <v>335</v>
      </c>
      <c r="D102" s="383">
        <f>$C$47*B102</f>
        <v>162000</v>
      </c>
      <c r="E102" s="99"/>
      <c r="G102" s="588"/>
      <c r="H102" s="588"/>
      <c r="I102" s="99"/>
      <c r="J102" s="390"/>
      <c r="K102" s="99"/>
      <c r="L102"/>
      <c r="M102"/>
      <c r="N102"/>
    </row>
    <row r="103" spans="2:14" ht="30">
      <c r="B103" s="593" t="s">
        <v>336</v>
      </c>
      <c r="C103" s="380" t="s">
        <v>327</v>
      </c>
      <c r="D103" s="384" t="s">
        <v>328</v>
      </c>
      <c r="E103" s="40" t="s">
        <v>348</v>
      </c>
      <c r="F103" s="586" t="s">
        <v>329</v>
      </c>
      <c r="G103" s="460" t="s">
        <v>330</v>
      </c>
      <c r="H103" s="459" t="s">
        <v>331</v>
      </c>
      <c r="I103" s="379" t="s">
        <v>333</v>
      </c>
      <c r="J103" s="386" t="s">
        <v>334</v>
      </c>
      <c r="L103"/>
      <c r="M103"/>
      <c r="N103"/>
    </row>
    <row r="104" spans="2:14">
      <c r="B104" s="594" t="s">
        <v>320</v>
      </c>
      <c r="C104" s="380">
        <v>1</v>
      </c>
      <c r="D104" s="385">
        <v>0.6</v>
      </c>
      <c r="E104" s="381">
        <f>$D$102*D104</f>
        <v>97200</v>
      </c>
      <c r="F104" s="474">
        <f>'AMI &amp; Rent 2025'!E109</f>
        <v>2673</v>
      </c>
      <c r="G104" s="457">
        <f>G64</f>
        <v>-111</v>
      </c>
      <c r="H104" s="587">
        <f>F104+G104</f>
        <v>2562</v>
      </c>
      <c r="I104" s="500"/>
      <c r="J104" s="388">
        <f>H104*I104*12</f>
        <v>0</v>
      </c>
      <c r="L104"/>
      <c r="M104"/>
      <c r="N104"/>
    </row>
    <row r="105" spans="2:14">
      <c r="B105" s="594" t="s">
        <v>322</v>
      </c>
      <c r="C105" s="380">
        <v>1.5</v>
      </c>
      <c r="D105" s="385">
        <v>0.75</v>
      </c>
      <c r="E105" s="381">
        <f>$D$102*D105</f>
        <v>121500</v>
      </c>
      <c r="F105" s="474">
        <f>'AMI &amp; Rent 2025'!E110</f>
        <v>3341</v>
      </c>
      <c r="G105" s="457">
        <f>G65</f>
        <v>-127</v>
      </c>
      <c r="H105" s="587">
        <f>F105+G105</f>
        <v>3214</v>
      </c>
      <c r="I105" s="500"/>
      <c r="J105" s="388">
        <f>H105*I105*12</f>
        <v>0</v>
      </c>
      <c r="L105"/>
      <c r="M105"/>
      <c r="N105"/>
    </row>
    <row r="106" spans="2:14">
      <c r="B106" s="594" t="s">
        <v>324</v>
      </c>
      <c r="C106" s="380">
        <v>3</v>
      </c>
      <c r="D106" s="385">
        <v>0.9</v>
      </c>
      <c r="E106" s="381">
        <f>$D$102*D106</f>
        <v>145800</v>
      </c>
      <c r="F106" s="474">
        <f>'AMI &amp; Rent 2025'!E111</f>
        <v>4009</v>
      </c>
      <c r="G106" s="457">
        <f>G66</f>
        <v>-170</v>
      </c>
      <c r="H106" s="587">
        <f>F106+G106</f>
        <v>3839</v>
      </c>
      <c r="I106" s="500"/>
      <c r="J106" s="388">
        <f>H106*I106*12</f>
        <v>0</v>
      </c>
      <c r="L106"/>
      <c r="M106"/>
      <c r="N106"/>
    </row>
    <row r="107" spans="2:14">
      <c r="B107" s="594" t="s">
        <v>326</v>
      </c>
      <c r="C107" s="380">
        <v>4.5</v>
      </c>
      <c r="D107" s="385">
        <v>1.04</v>
      </c>
      <c r="E107" s="381">
        <f>$D$102*D107</f>
        <v>168480</v>
      </c>
      <c r="F107" s="474">
        <f>'AMI &amp; Rent 2025'!E112</f>
        <v>4633</v>
      </c>
      <c r="G107" s="457">
        <f>G67</f>
        <v>-212</v>
      </c>
      <c r="H107" s="587">
        <f>F107+G107</f>
        <v>4421</v>
      </c>
      <c r="I107" s="500"/>
      <c r="J107" s="388">
        <f>H107*I107*12</f>
        <v>0</v>
      </c>
      <c r="L107"/>
      <c r="M107"/>
      <c r="N107"/>
    </row>
    <row r="108" spans="2:14">
      <c r="B108" s="206"/>
      <c r="C108" s="99"/>
      <c r="D108" s="99"/>
      <c r="E108" s="99"/>
      <c r="G108" s="588"/>
      <c r="H108" s="588"/>
      <c r="I108" s="99">
        <f>SUM(I104:I107)</f>
        <v>0</v>
      </c>
      <c r="J108" s="388">
        <f>SUM(J104:J107)</f>
        <v>0</v>
      </c>
      <c r="K108" s="99"/>
      <c r="L108"/>
      <c r="M108"/>
      <c r="N108"/>
    </row>
    <row r="109" spans="2:14" ht="15.75">
      <c r="B109" s="595" t="s">
        <v>354</v>
      </c>
      <c r="C109"/>
      <c r="D109"/>
      <c r="E109" s="99"/>
      <c r="G109" s="99"/>
      <c r="H109" s="99"/>
      <c r="I109" s="99"/>
      <c r="J109" s="390"/>
      <c r="L109"/>
      <c r="M109"/>
      <c r="N109"/>
    </row>
    <row r="110" spans="2:14">
      <c r="B110" s="593" t="s">
        <v>336</v>
      </c>
      <c r="C110" s="380"/>
      <c r="D110" s="384"/>
      <c r="F110" s="586"/>
      <c r="G110" s="379"/>
      <c r="H110" s="379" t="s">
        <v>3</v>
      </c>
      <c r="I110" s="379" t="s">
        <v>333</v>
      </c>
      <c r="J110" s="386" t="s">
        <v>334</v>
      </c>
      <c r="L110"/>
      <c r="M110"/>
      <c r="N110"/>
    </row>
    <row r="111" spans="2:14">
      <c r="B111" s="594" t="s">
        <v>320</v>
      </c>
      <c r="C111" s="413"/>
      <c r="D111" s="414"/>
      <c r="E111" s="415"/>
      <c r="F111" s="590"/>
      <c r="G111" s="590"/>
      <c r="H111" s="398"/>
      <c r="I111" s="500"/>
      <c r="J111" s="388">
        <f>I111*12*H111</f>
        <v>0</v>
      </c>
      <c r="L111"/>
      <c r="M111"/>
      <c r="N111"/>
    </row>
    <row r="112" spans="2:14">
      <c r="B112" s="594" t="s">
        <v>322</v>
      </c>
      <c r="C112" s="413"/>
      <c r="D112" s="414"/>
      <c r="E112" s="415"/>
      <c r="F112" s="590"/>
      <c r="G112" s="590"/>
      <c r="H112" s="398"/>
      <c r="I112" s="500"/>
      <c r="J112" s="388">
        <f>I112*12*H112</f>
        <v>0</v>
      </c>
      <c r="L112"/>
      <c r="M112"/>
      <c r="N112"/>
    </row>
    <row r="113" spans="2:21">
      <c r="B113" s="594" t="s">
        <v>324</v>
      </c>
      <c r="C113" s="413"/>
      <c r="D113" s="414"/>
      <c r="E113" s="415"/>
      <c r="F113" s="590"/>
      <c r="G113" s="590"/>
      <c r="H113" s="398"/>
      <c r="I113" s="500"/>
      <c r="J113" s="388">
        <f>I113*12*H113</f>
        <v>0</v>
      </c>
      <c r="L113"/>
      <c r="M113"/>
      <c r="N113"/>
    </row>
    <row r="114" spans="2:21">
      <c r="B114" s="594" t="s">
        <v>326</v>
      </c>
      <c r="C114" s="413"/>
      <c r="D114" s="414"/>
      <c r="E114" s="415"/>
      <c r="F114" s="590"/>
      <c r="G114" s="590"/>
      <c r="H114" s="398"/>
      <c r="I114" s="500"/>
      <c r="J114" s="388">
        <f>I114*12*H114</f>
        <v>0</v>
      </c>
      <c r="L114"/>
      <c r="M114"/>
      <c r="N114"/>
    </row>
    <row r="115" spans="2:21">
      <c r="B115" s="594"/>
      <c r="C115" s="380"/>
      <c r="D115" s="385"/>
      <c r="E115" s="381"/>
      <c r="F115" s="474"/>
      <c r="G115" s="474"/>
      <c r="H115"/>
      <c r="I115" s="290"/>
      <c r="J115" s="388">
        <f>SUM(J111:J114)</f>
        <v>0</v>
      </c>
      <c r="L115"/>
      <c r="M115"/>
      <c r="N115"/>
    </row>
    <row r="116" spans="2:21" ht="15.75">
      <c r="B116" s="234"/>
      <c r="C116"/>
      <c r="D116"/>
      <c r="E116" s="99"/>
      <c r="G116" s="99"/>
      <c r="H116" s="291" t="s">
        <v>337</v>
      </c>
      <c r="I116" s="99">
        <f>SUM(I60,I68,I76,I84,I92,I100,I108)</f>
        <v>0</v>
      </c>
      <c r="J116" s="390"/>
      <c r="K116" s="99"/>
      <c r="L116"/>
      <c r="M116"/>
      <c r="N116"/>
    </row>
    <row r="117" spans="2:21" ht="15.75">
      <c r="B117" s="206"/>
      <c r="C117" s="99"/>
      <c r="D117" s="99"/>
      <c r="E117" s="99"/>
      <c r="G117" s="99"/>
      <c r="H117" s="291"/>
      <c r="I117" s="99"/>
      <c r="J117" s="390"/>
      <c r="K117" s="99"/>
      <c r="L117"/>
      <c r="M117"/>
      <c r="N117"/>
    </row>
    <row r="118" spans="2:21" ht="15.75">
      <c r="B118" s="206"/>
      <c r="I118" s="152" t="s">
        <v>231</v>
      </c>
      <c r="J118" s="411">
        <f>SUM(J60,J68,J76,J84,J92,J100,J108,J115)</f>
        <v>0</v>
      </c>
      <c r="L118"/>
      <c r="M118"/>
      <c r="N118"/>
    </row>
    <row r="119" spans="2:21">
      <c r="B119" s="206"/>
      <c r="J119" s="198"/>
      <c r="L119"/>
      <c r="M119"/>
      <c r="N119"/>
      <c r="Q119" s="17"/>
      <c r="R119" s="17"/>
      <c r="S119" s="151"/>
      <c r="T119" s="20"/>
      <c r="U119" s="41"/>
    </row>
    <row r="120" spans="2:21" ht="15.75">
      <c r="B120" s="207"/>
      <c r="C120" s="203"/>
      <c r="D120" s="203"/>
      <c r="E120" s="203"/>
      <c r="F120" s="203"/>
      <c r="G120" s="176"/>
      <c r="H120" s="203"/>
      <c r="I120" s="387" t="s">
        <v>111</v>
      </c>
      <c r="J120" s="412">
        <f>J118+E42</f>
        <v>0</v>
      </c>
    </row>
  </sheetData>
  <customSheetViews>
    <customSheetView guid="{560D4AFA-61E5-46C3-B0CD-D0EB3053A033}" scale="75" colorId="22" showPageBreaks="1" fitToPage="1" printArea="1" showRuler="0" topLeftCell="A4">
      <selection activeCell="B5" sqref="B5"/>
      <pageMargins left="0.75" right="0.5" top="0.75" bottom="0.5" header="0.5" footer="0.5"/>
      <pageSetup scale="66" orientation="portrait" r:id="rId1"/>
      <headerFooter alignWithMargins="0"/>
    </customSheetView>
    <customSheetView guid="{1ECE83C7-A3CE-4F97-BFD3-498FF783C0D9}" scale="75" colorId="22" showPageBreaks="1" fitToPage="1" printArea="1" showRuler="0">
      <selection activeCell="H29" sqref="H29"/>
      <pageMargins left="0.75" right="0.5" top="0.75" bottom="0.5" header="0.5" footer="0.5"/>
      <pageSetup scale="75" orientation="portrait" r:id="rId2"/>
      <headerFooter alignWithMargins="0"/>
    </customSheetView>
    <customSheetView guid="{6EF643BE-69F3-424E-8A44-3890161370D4}" scale="87" colorId="22" showPageBreaks="1" fitToPage="1" printArea="1" showRuler="0" topLeftCell="A40">
      <selection activeCell="D42" sqref="D42"/>
      <pageMargins left="0.5" right="0.5" top="0.5" bottom="0.5" header="0.5" footer="0.5"/>
      <pageSetup scale="77" orientation="portrait" r:id="rId3"/>
      <headerFooter alignWithMargins="0"/>
    </customSheetView>
    <customSheetView guid="{FBB4BF8E-8A9F-4E98-A6F9-5F9BF4C55C67}" scale="87" colorId="22" showPageBreaks="1" fitToPage="1" printArea="1" showRuler="0" topLeftCell="A14">
      <selection activeCell="C29" sqref="C29"/>
      <pageMargins left="0.5" right="0.5" top="0.5" bottom="0.5" header="0.5" footer="0.5"/>
      <pageSetup scale="80" orientation="portrait" r:id="rId4"/>
      <headerFooter alignWithMargins="0"/>
    </customSheetView>
    <customSheetView guid="{EB776EFC-3589-4DB5-BEAF-1E83D9703F9E}" scale="87" colorId="22" fitToPage="1" showRuler="0" topLeftCell="A38">
      <selection activeCell="A59" sqref="A59"/>
      <pageMargins left="0.5" right="0.5" top="0.5" bottom="0.5" header="0.5" footer="0.5"/>
      <pageSetup scale="80" orientation="portrait" r:id="rId5"/>
      <headerFooter alignWithMargins="0"/>
    </customSheetView>
    <customSheetView guid="{AEA5979F-5357-4ED6-A6CA-1BB80F5C7A74}" scale="87" colorId="22" showPageBreaks="1" fitToPage="1" printArea="1" showRuler="0" topLeftCell="A10">
      <selection activeCell="B28" sqref="B28"/>
      <pageMargins left="0.5" right="0.5" top="0.5" bottom="0.5" header="0.5" footer="0.5"/>
      <pageSetup scale="77" orientation="portrait" r:id="rId6"/>
      <headerFooter alignWithMargins="0"/>
    </customSheetView>
    <customSheetView guid="{28F81D13-D146-4D67-8981-BA5D7A496326}" scale="87" colorId="22" showPageBreaks="1" fitToPage="1" printArea="1" showRuler="0" topLeftCell="A37">
      <selection activeCell="C33" sqref="C33"/>
      <pageMargins left="0.5" right="0.5" top="0.5" bottom="0.5" header="0.5" footer="0.5"/>
      <pageSetup scale="77" orientation="portrait" r:id="rId7"/>
      <headerFooter alignWithMargins="0"/>
    </customSheetView>
    <customSheetView guid="{25C4E7E7-1006-4A2D-BC83-AEE4ADF8A914}" scale="75" colorId="22" showPageBreaks="1" fitToPage="1" printArea="1" showRuler="0" topLeftCell="A28">
      <selection activeCell="F39" sqref="F39"/>
      <pageMargins left="0.75" right="0.5" top="0.75" bottom="0.5" header="0.5" footer="0.5"/>
      <pageSetup scale="68" orientation="portrait" r:id="rId8"/>
      <headerFooter alignWithMargins="0"/>
    </customSheetView>
  </customSheetViews>
  <mergeCells count="3">
    <mergeCell ref="V46:W46"/>
    <mergeCell ref="B50:B51"/>
    <mergeCell ref="C50:D51"/>
  </mergeCells>
  <phoneticPr fontId="0" type="noConversion"/>
  <dataValidations count="1">
    <dataValidation type="list" allowBlank="1" showInputMessage="1" showErrorMessage="1" sqref="C50" xr:uid="{00000000-0002-0000-0400-000000000000}">
      <formula1>$AC$47:$AC$51</formula1>
    </dataValidation>
  </dataValidations>
  <pageMargins left="0.75" right="0.5" top="0.75" bottom="0.5" header="0.5" footer="0.5"/>
  <pageSetup scale="35" firstPageNumber="209" orientation="portrait" useFirstPageNumber="1"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O53"/>
  <sheetViews>
    <sheetView workbookViewId="0"/>
  </sheetViews>
  <sheetFormatPr defaultColWidth="9.77734375" defaultRowHeight="15"/>
  <cols>
    <col min="1" max="1" width="26.6640625" customWidth="1"/>
    <col min="2" max="2" width="11.6640625" customWidth="1"/>
    <col min="3" max="3" width="14.21875" customWidth="1"/>
    <col min="4" max="4" width="9.5546875" customWidth="1"/>
    <col min="5" max="5" width="16.33203125" bestFit="1" customWidth="1"/>
    <col min="6" max="6" width="8.21875" customWidth="1"/>
    <col min="7" max="7" width="37.5546875" customWidth="1"/>
    <col min="8" max="8" width="17.88671875" customWidth="1"/>
    <col min="9" max="9" width="14.6640625" customWidth="1"/>
    <col min="10" max="10" width="5.88671875" customWidth="1"/>
    <col min="11" max="11" width="34" customWidth="1"/>
    <col min="12" max="12" width="15.77734375" bestFit="1" customWidth="1"/>
    <col min="13" max="13" width="10.6640625" customWidth="1"/>
    <col min="14" max="14" width="19.5546875" customWidth="1"/>
  </cols>
  <sheetData>
    <row r="1" spans="1:13" ht="15.75">
      <c r="A1" s="1" t="str">
        <f>'Cons Int &amp; Neg Arb'!A1</f>
        <v xml:space="preserve">Project Name: </v>
      </c>
      <c r="B1" s="2"/>
      <c r="D1" s="27"/>
      <c r="E1" s="27"/>
      <c r="F1" s="2"/>
      <c r="G1" s="2"/>
      <c r="H1" s="2"/>
    </row>
    <row r="2" spans="1:13" ht="15.75">
      <c r="A2" s="1" t="str">
        <f>'Cons Int &amp; Neg Arb'!A2</f>
        <v>Development Team:</v>
      </c>
      <c r="B2" s="2"/>
      <c r="D2" s="27"/>
      <c r="E2" s="27"/>
      <c r="F2" s="2"/>
      <c r="G2" s="2"/>
      <c r="H2" s="2"/>
    </row>
    <row r="3" spans="1:13" ht="15.75">
      <c r="A3" s="1" t="str">
        <f>'Cons Int &amp; Neg Arb'!A3</f>
        <v>Site:</v>
      </c>
      <c r="B3" s="2"/>
      <c r="D3" s="27" t="str">
        <f>'Sources and Use'!C3</f>
        <v>Units:</v>
      </c>
      <c r="E3" s="98">
        <f>'Units &amp; Income'!C24</f>
        <v>0</v>
      </c>
      <c r="F3" s="2"/>
      <c r="G3" s="2"/>
      <c r="H3" s="2"/>
    </row>
    <row r="4" spans="1:13" ht="15.75">
      <c r="A4" s="1"/>
      <c r="B4" s="2"/>
      <c r="F4" s="2"/>
      <c r="G4" s="2"/>
      <c r="H4" s="2"/>
    </row>
    <row r="5" spans="1:13" ht="15.75">
      <c r="A5" s="1"/>
      <c r="B5" s="2"/>
      <c r="F5" s="2"/>
      <c r="G5" s="2"/>
      <c r="H5" s="2"/>
    </row>
    <row r="6" spans="1:13" ht="15.75">
      <c r="A6" s="24" t="s">
        <v>115</v>
      </c>
      <c r="B6" s="2"/>
      <c r="C6" s="2"/>
      <c r="D6" s="509">
        <f>'Units &amp; Income'!C24</f>
        <v>0</v>
      </c>
      <c r="E6" s="318" t="s">
        <v>58</v>
      </c>
      <c r="F6" s="2"/>
      <c r="G6" s="2"/>
      <c r="H6" s="2"/>
    </row>
    <row r="7" spans="1:13">
      <c r="B7" s="263"/>
      <c r="C7" s="263"/>
      <c r="D7" s="509">
        <f>'Units &amp; Income'!E24</f>
        <v>0</v>
      </c>
      <c r="E7" s="318" t="s">
        <v>59</v>
      </c>
      <c r="F7" s="2"/>
      <c r="G7" s="2"/>
      <c r="H7" s="2"/>
    </row>
    <row r="8" spans="1:13" ht="15.75" thickBot="1">
      <c r="A8" s="243"/>
      <c r="B8" s="243"/>
      <c r="C8" s="243"/>
      <c r="D8" s="243"/>
      <c r="E8" s="243"/>
    </row>
    <row r="9" spans="1:13" s="516" customFormat="1" ht="18" customHeight="1" thickTop="1">
      <c r="A9" s="636" t="s">
        <v>64</v>
      </c>
      <c r="B9" s="512"/>
      <c r="C9" s="513"/>
      <c r="D9" s="597" t="s">
        <v>57</v>
      </c>
      <c r="E9" s="514"/>
      <c r="F9" s="515"/>
      <c r="G9" s="875" t="s">
        <v>549</v>
      </c>
      <c r="H9" s="876"/>
      <c r="I9" s="877"/>
    </row>
    <row r="10" spans="1:13" s="516" customFormat="1" ht="18" customHeight="1">
      <c r="A10" s="635" t="s">
        <v>489</v>
      </c>
      <c r="B10" s="515"/>
      <c r="C10" s="631"/>
      <c r="D10" s="642"/>
      <c r="E10" s="518"/>
      <c r="F10" s="515"/>
      <c r="G10" s="652" t="str">
        <f>A10</f>
        <v>ADMINISTRATIVE</v>
      </c>
      <c r="H10" s="632"/>
      <c r="I10" s="633"/>
    </row>
    <row r="11" spans="1:13" s="516" customFormat="1" ht="18" customHeight="1">
      <c r="A11" s="517" t="s">
        <v>181</v>
      </c>
      <c r="B11" s="515"/>
      <c r="C11" s="637">
        <f>D11*$D$6</f>
        <v>0</v>
      </c>
      <c r="D11" s="599"/>
      <c r="E11" s="518" t="s">
        <v>17</v>
      </c>
      <c r="F11" s="519"/>
      <c r="G11" s="517" t="str">
        <f>A11</f>
        <v xml:space="preserve">Legal </v>
      </c>
      <c r="H11" s="607">
        <v>240</v>
      </c>
      <c r="I11" s="608" t="str">
        <f>E11</f>
        <v>per unit</v>
      </c>
      <c r="M11" s="658"/>
    </row>
    <row r="12" spans="1:13" s="516" customFormat="1" ht="18" customHeight="1">
      <c r="A12" s="517" t="s">
        <v>43</v>
      </c>
      <c r="B12" s="515"/>
      <c r="C12" s="637">
        <f>D12</f>
        <v>0</v>
      </c>
      <c r="D12" s="598"/>
      <c r="E12" s="518" t="s">
        <v>182</v>
      </c>
      <c r="F12" s="519"/>
      <c r="G12" s="517" t="str">
        <f t="shared" ref="G12:G23" si="0">A12</f>
        <v>Accounting</v>
      </c>
      <c r="H12" s="607">
        <v>20000</v>
      </c>
      <c r="I12" s="608" t="str">
        <f>E12</f>
        <v>per project</v>
      </c>
    </row>
    <row r="13" spans="1:13" s="516" customFormat="1" ht="18" customHeight="1">
      <c r="A13" s="517" t="s">
        <v>464</v>
      </c>
      <c r="B13" s="515"/>
      <c r="C13" s="637">
        <f>D13*Mort!D12</f>
        <v>0</v>
      </c>
      <c r="D13" s="598"/>
      <c r="E13" s="518" t="s">
        <v>169</v>
      </c>
      <c r="F13" s="519"/>
      <c r="G13" s="517" t="s">
        <v>464</v>
      </c>
      <c r="H13" s="657" t="s">
        <v>510</v>
      </c>
      <c r="I13" s="608" t="str">
        <f>E13</f>
        <v>of ERI</v>
      </c>
      <c r="K13" s="638"/>
    </row>
    <row r="14" spans="1:13" s="516" customFormat="1" ht="18" customHeight="1">
      <c r="A14" s="517" t="s">
        <v>21</v>
      </c>
      <c r="B14" s="515"/>
      <c r="C14" s="637">
        <f>D14*$D$6</f>
        <v>0</v>
      </c>
      <c r="D14" s="598"/>
      <c r="E14" s="518" t="s">
        <v>17</v>
      </c>
      <c r="F14" s="519"/>
      <c r="G14" s="517" t="str">
        <f t="shared" si="0"/>
        <v xml:space="preserve">Fire and Liability Insurance </v>
      </c>
      <c r="H14" s="607">
        <v>1550</v>
      </c>
      <c r="I14" s="608" t="str">
        <f>E14</f>
        <v>per unit</v>
      </c>
      <c r="K14" s="673" t="s">
        <v>457</v>
      </c>
      <c r="L14" s="674"/>
    </row>
    <row r="15" spans="1:13" s="516" customFormat="1" ht="28.5" customHeight="1">
      <c r="A15" s="517" t="s">
        <v>457</v>
      </c>
      <c r="B15" s="670"/>
      <c r="C15" s="528">
        <f>D15</f>
        <v>0</v>
      </c>
      <c r="D15" s="599"/>
      <c r="E15" s="518" t="s">
        <v>511</v>
      </c>
      <c r="F15" s="519"/>
      <c r="G15" s="517" t="str">
        <f t="shared" si="0"/>
        <v>Tax Credit Monitoring</v>
      </c>
      <c r="H15" s="872" t="s">
        <v>501</v>
      </c>
      <c r="I15" s="873"/>
      <c r="K15" s="878" t="s">
        <v>550</v>
      </c>
      <c r="L15" s="879"/>
    </row>
    <row r="16" spans="1:13" s="516" customFormat="1">
      <c r="A16" s="517" t="s">
        <v>488</v>
      </c>
      <c r="B16" s="515"/>
      <c r="C16" s="637">
        <f>D16</f>
        <v>0</v>
      </c>
      <c r="D16" s="599"/>
      <c r="E16" s="518" t="s">
        <v>458</v>
      </c>
      <c r="F16" s="519"/>
      <c r="G16" s="517" t="str">
        <f>A16</f>
        <v>Benchmarking Expense</v>
      </c>
      <c r="H16" s="625">
        <v>600</v>
      </c>
      <c r="I16" s="608" t="str">
        <f>E16</f>
        <v>per building</v>
      </c>
      <c r="K16" s="880" t="s">
        <v>509</v>
      </c>
      <c r="L16" s="881"/>
    </row>
    <row r="17" spans="1:14" s="516" customFormat="1">
      <c r="A17" s="634"/>
      <c r="B17" s="670"/>
      <c r="C17" s="528"/>
      <c r="D17" s="519"/>
      <c r="E17" s="644"/>
      <c r="F17" s="519"/>
      <c r="G17" s="634"/>
      <c r="H17" s="671"/>
      <c r="I17" s="672"/>
    </row>
    <row r="18" spans="1:14" s="516" customFormat="1" ht="18" customHeight="1">
      <c r="A18" s="635" t="s">
        <v>490</v>
      </c>
      <c r="B18" s="515"/>
      <c r="C18" s="637"/>
      <c r="D18" s="519"/>
      <c r="E18" s="518"/>
      <c r="F18" s="519"/>
      <c r="G18" s="652" t="str">
        <f t="shared" si="0"/>
        <v>UTILITIES</v>
      </c>
      <c r="H18" s="625"/>
      <c r="I18" s="608"/>
      <c r="K18" s="628" t="s">
        <v>491</v>
      </c>
      <c r="L18" s="629" t="s">
        <v>503</v>
      </c>
      <c r="M18" s="654"/>
    </row>
    <row r="19" spans="1:14" s="516" customFormat="1" ht="18" customHeight="1">
      <c r="A19" s="517" t="s">
        <v>491</v>
      </c>
      <c r="B19" s="515"/>
      <c r="C19" s="637">
        <f>D19*$D$7</f>
        <v>0</v>
      </c>
      <c r="D19" s="599"/>
      <c r="E19" s="518" t="s">
        <v>16</v>
      </c>
      <c r="F19" s="519"/>
      <c r="G19" s="517" t="str">
        <f t="shared" si="0"/>
        <v>Heating</v>
      </c>
      <c r="H19" s="872" t="s">
        <v>501</v>
      </c>
      <c r="I19" s="873"/>
      <c r="K19" s="653" t="s">
        <v>552</v>
      </c>
      <c r="L19" s="620">
        <v>197</v>
      </c>
      <c r="M19" s="742"/>
    </row>
    <row r="20" spans="1:14" s="516" customFormat="1" ht="18" customHeight="1">
      <c r="A20" s="517" t="s">
        <v>487</v>
      </c>
      <c r="B20" s="515"/>
      <c r="C20" s="637">
        <f>D20*$D$7</f>
        <v>0</v>
      </c>
      <c r="D20" s="598"/>
      <c r="E20" s="518" t="s">
        <v>16</v>
      </c>
      <c r="F20" s="519"/>
      <c r="G20" s="517" t="str">
        <f t="shared" si="0"/>
        <v>Hot Water</v>
      </c>
      <c r="H20" s="872" t="s">
        <v>501</v>
      </c>
      <c r="I20" s="873"/>
      <c r="K20" s="623" t="s">
        <v>553</v>
      </c>
      <c r="L20" s="741">
        <v>118</v>
      </c>
      <c r="M20" s="742"/>
    </row>
    <row r="21" spans="1:14" s="516" customFormat="1" ht="18" customHeight="1">
      <c r="A21" s="517" t="s">
        <v>492</v>
      </c>
      <c r="B21" s="515"/>
      <c r="C21" s="637">
        <f>D21*$D$7</f>
        <v>0</v>
      </c>
      <c r="D21" s="599"/>
      <c r="E21" s="518" t="s">
        <v>16</v>
      </c>
      <c r="F21" s="519"/>
      <c r="G21" s="517" t="str">
        <f t="shared" si="0"/>
        <v>Electric (common areas)</v>
      </c>
      <c r="H21" s="607">
        <v>200</v>
      </c>
      <c r="I21" s="608" t="str">
        <f>E21</f>
        <v>per room</v>
      </c>
      <c r="K21" s="743"/>
      <c r="L21" s="744"/>
    </row>
    <row r="22" spans="1:14" s="516" customFormat="1" ht="18" customHeight="1">
      <c r="A22" s="517" t="s">
        <v>493</v>
      </c>
      <c r="B22" s="515"/>
      <c r="C22" s="637">
        <f>D22*$D$7</f>
        <v>0</v>
      </c>
      <c r="D22" s="599"/>
      <c r="E22" s="518" t="s">
        <v>16</v>
      </c>
      <c r="F22" s="519"/>
      <c r="G22" s="517" t="str">
        <f t="shared" si="0"/>
        <v>Water &amp; Sewer</v>
      </c>
      <c r="H22" s="607">
        <v>300</v>
      </c>
      <c r="I22" s="608" t="str">
        <f>E22</f>
        <v>per room</v>
      </c>
      <c r="K22" s="628" t="s">
        <v>487</v>
      </c>
      <c r="L22" s="629" t="s">
        <v>503</v>
      </c>
    </row>
    <row r="23" spans="1:14" s="516" customFormat="1" ht="18" customHeight="1">
      <c r="A23" s="517" t="s">
        <v>494</v>
      </c>
      <c r="B23" s="638"/>
      <c r="C23" s="637">
        <f>D23*$D$6</f>
        <v>0</v>
      </c>
      <c r="D23" s="599"/>
      <c r="E23" s="518" t="s">
        <v>17</v>
      </c>
      <c r="F23" s="519"/>
      <c r="G23" s="517" t="str">
        <f t="shared" si="0"/>
        <v>Broadband</v>
      </c>
      <c r="H23" s="872" t="s">
        <v>502</v>
      </c>
      <c r="I23" s="873"/>
      <c r="J23" s="874"/>
      <c r="K23" s="653" t="s">
        <v>499</v>
      </c>
      <c r="L23" s="620">
        <v>128</v>
      </c>
    </row>
    <row r="24" spans="1:14" s="516" customFormat="1" ht="18" customHeight="1">
      <c r="A24" s="634"/>
      <c r="B24" s="638"/>
      <c r="C24" s="637"/>
      <c r="D24" s="519"/>
      <c r="E24" s="644"/>
      <c r="F24" s="519"/>
      <c r="G24" s="643"/>
      <c r="H24" s="626"/>
      <c r="I24" s="645"/>
      <c r="J24" s="874"/>
      <c r="K24" s="623" t="s">
        <v>500</v>
      </c>
      <c r="L24" s="621">
        <v>187</v>
      </c>
    </row>
    <row r="25" spans="1:14" s="516" customFormat="1" ht="18" customHeight="1">
      <c r="A25" s="635" t="s">
        <v>495</v>
      </c>
      <c r="B25" s="638"/>
      <c r="C25" s="528"/>
      <c r="D25" s="519"/>
      <c r="E25" s="518"/>
      <c r="F25" s="519"/>
      <c r="G25" s="652" t="str">
        <f>A25</f>
        <v>MAINTENANCE</v>
      </c>
      <c r="H25" s="626"/>
      <c r="I25" s="627"/>
      <c r="J25" s="874"/>
    </row>
    <row r="26" spans="1:14" s="516" customFormat="1" ht="18" customHeight="1">
      <c r="A26" s="517" t="s">
        <v>15</v>
      </c>
      <c r="B26" s="638"/>
      <c r="C26" s="637">
        <f>D26*$D$7</f>
        <v>0</v>
      </c>
      <c r="D26" s="599"/>
      <c r="E26" s="518" t="s">
        <v>16</v>
      </c>
      <c r="F26" s="519"/>
      <c r="G26" s="517" t="str">
        <f t="shared" ref="G26:G27" si="1">A26</f>
        <v>Supplies/Cleaning/Exterminating</v>
      </c>
      <c r="H26" s="625">
        <v>140</v>
      </c>
      <c r="I26" s="608" t="str">
        <f>E26</f>
        <v>per room</v>
      </c>
      <c r="J26" s="874"/>
      <c r="K26" s="628" t="s">
        <v>339</v>
      </c>
      <c r="L26" s="629" t="s">
        <v>504</v>
      </c>
    </row>
    <row r="27" spans="1:14" s="516" customFormat="1" ht="18" customHeight="1">
      <c r="A27" s="517" t="s">
        <v>339</v>
      </c>
      <c r="B27" s="638"/>
      <c r="C27" s="637">
        <f>D27*$D$6</f>
        <v>0</v>
      </c>
      <c r="D27" s="599"/>
      <c r="E27" s="518" t="s">
        <v>17</v>
      </c>
      <c r="F27" s="519"/>
      <c r="G27" s="517" t="str">
        <f t="shared" si="1"/>
        <v>Repairs/Replacement</v>
      </c>
      <c r="H27" s="872" t="s">
        <v>501</v>
      </c>
      <c r="I27" s="873"/>
      <c r="J27" s="874"/>
      <c r="K27" s="653" t="s">
        <v>512</v>
      </c>
      <c r="L27" s="620">
        <v>1100</v>
      </c>
    </row>
    <row r="28" spans="1:14" s="516" customFormat="1" ht="18" customHeight="1">
      <c r="A28" s="517" t="s">
        <v>496</v>
      </c>
      <c r="B28" s="638"/>
      <c r="C28" s="521">
        <f>C30+C31</f>
        <v>0</v>
      </c>
      <c r="D28" s="651" t="e">
        <f>C28/$D$6</f>
        <v>#DIV/0!</v>
      </c>
      <c r="E28" s="644" t="s">
        <v>17</v>
      </c>
      <c r="F28" s="519"/>
      <c r="G28" s="622"/>
      <c r="H28" s="626"/>
      <c r="I28" s="645"/>
      <c r="J28" s="874"/>
      <c r="K28" s="623" t="s">
        <v>513</v>
      </c>
      <c r="L28" s="621">
        <v>1200</v>
      </c>
    </row>
    <row r="29" spans="1:14" s="516" customFormat="1" ht="18" customHeight="1">
      <c r="A29" s="647" t="s">
        <v>19</v>
      </c>
      <c r="B29" s="646"/>
      <c r="C29" s="528"/>
      <c r="D29" s="519"/>
      <c r="E29" s="644"/>
      <c r="F29" s="519"/>
      <c r="G29" s="622"/>
      <c r="H29" s="626"/>
      <c r="I29" s="645"/>
      <c r="J29" s="874"/>
    </row>
    <row r="30" spans="1:14" s="516" customFormat="1" ht="18" customHeight="1">
      <c r="A30" s="522" t="s">
        <v>116</v>
      </c>
      <c r="B30" s="523"/>
      <c r="C30" s="639">
        <f>D30*B30</f>
        <v>0</v>
      </c>
      <c r="D30" s="598"/>
      <c r="E30" s="518" t="s">
        <v>338</v>
      </c>
      <c r="F30" s="519"/>
      <c r="G30" s="667" t="str">
        <f>A28</f>
        <v>Super &amp; Maintenance Salaries</v>
      </c>
      <c r="H30" s="872" t="s">
        <v>501</v>
      </c>
      <c r="I30" s="873"/>
      <c r="J30" s="874"/>
      <c r="K30" s="628" t="s">
        <v>506</v>
      </c>
      <c r="L30" s="630" t="s">
        <v>505</v>
      </c>
      <c r="M30" s="630" t="s">
        <v>459</v>
      </c>
      <c r="N30" s="622"/>
    </row>
    <row r="31" spans="1:14" s="516" customFormat="1" ht="18" customHeight="1">
      <c r="A31" s="522" t="s">
        <v>88</v>
      </c>
      <c r="B31" s="523"/>
      <c r="C31" s="639">
        <f>D31*B31</f>
        <v>0</v>
      </c>
      <c r="D31" s="598"/>
      <c r="E31" s="518" t="s">
        <v>338</v>
      </c>
      <c r="F31" s="519"/>
      <c r="G31" s="524"/>
      <c r="H31" s="870" t="s">
        <v>461</v>
      </c>
      <c r="I31" s="871"/>
      <c r="K31" s="525" t="s">
        <v>460</v>
      </c>
      <c r="L31" s="526">
        <v>149996</v>
      </c>
      <c r="M31" s="526">
        <v>111898</v>
      </c>
      <c r="N31" s="661"/>
    </row>
    <row r="32" spans="1:14" s="516" customFormat="1" ht="18" customHeight="1">
      <c r="A32" s="522"/>
      <c r="B32" s="527"/>
      <c r="C32" s="638"/>
      <c r="D32" s="638"/>
      <c r="E32" s="518"/>
      <c r="F32" s="519"/>
      <c r="G32" s="655"/>
      <c r="H32" s="668"/>
      <c r="I32" s="669"/>
      <c r="K32" s="525" t="s">
        <v>462</v>
      </c>
      <c r="L32" s="526">
        <v>119545</v>
      </c>
      <c r="M32" s="526">
        <v>94018</v>
      </c>
      <c r="N32" s="661"/>
    </row>
    <row r="33" spans="1:14" s="516" customFormat="1" ht="18" customHeight="1">
      <c r="A33" s="517" t="s">
        <v>20</v>
      </c>
      <c r="B33" s="523"/>
      <c r="C33" s="637">
        <f>D33*B33</f>
        <v>0</v>
      </c>
      <c r="D33" s="599"/>
      <c r="E33" s="518" t="s">
        <v>61</v>
      </c>
      <c r="F33" s="519"/>
      <c r="G33" s="517" t="str">
        <f t="shared" ref="G33:G34" si="2">A33</f>
        <v xml:space="preserve">Elevator Maintenance &amp; Repairs </v>
      </c>
      <c r="H33" s="607">
        <v>10000</v>
      </c>
      <c r="I33" s="608" t="str">
        <f t="shared" ref="I33:I34" si="3">E33</f>
        <v>per elevator</v>
      </c>
      <c r="K33" s="659"/>
      <c r="L33" s="660"/>
      <c r="M33" s="660"/>
      <c r="N33" s="515"/>
    </row>
    <row r="34" spans="1:14" s="516" customFormat="1" ht="18" customHeight="1">
      <c r="A34" s="517" t="s">
        <v>497</v>
      </c>
      <c r="B34" s="529"/>
      <c r="C34" s="637">
        <f>D34*$D$6</f>
        <v>0</v>
      </c>
      <c r="D34" s="641"/>
      <c r="E34" s="518" t="s">
        <v>17</v>
      </c>
      <c r="F34" s="519"/>
      <c r="G34" s="634" t="str">
        <f t="shared" si="2"/>
        <v xml:space="preserve">Building Reserve </v>
      </c>
      <c r="H34" s="607">
        <v>400</v>
      </c>
      <c r="I34" s="650" t="str">
        <f t="shared" si="3"/>
        <v>per unit</v>
      </c>
    </row>
    <row r="35" spans="1:14" s="516" customFormat="1" ht="18" customHeight="1">
      <c r="A35" s="517"/>
      <c r="B35" s="529"/>
      <c r="C35" s="637"/>
      <c r="D35" s="519"/>
      <c r="E35" s="518"/>
      <c r="F35" s="519"/>
      <c r="G35" s="649"/>
      <c r="H35" s="607"/>
      <c r="I35" s="650"/>
    </row>
    <row r="36" spans="1:14" s="516" customFormat="1" ht="18" customHeight="1">
      <c r="A36" s="635" t="s">
        <v>498</v>
      </c>
      <c r="B36" s="529"/>
      <c r="C36" s="637"/>
      <c r="D36" s="519"/>
      <c r="E36" s="644"/>
      <c r="F36" s="519"/>
      <c r="G36" s="652" t="str">
        <f>A36</f>
        <v>OTHER</v>
      </c>
      <c r="H36" s="607"/>
      <c r="I36" s="650"/>
    </row>
    <row r="37" spans="1:14" s="516" customFormat="1" ht="18" customHeight="1">
      <c r="A37" s="634" t="s">
        <v>507</v>
      </c>
      <c r="B37" s="529"/>
      <c r="C37" s="637" t="e">
        <f ca="1">D37*FIRST</f>
        <v>#DIV/0!</v>
      </c>
      <c r="D37" s="641"/>
      <c r="E37" s="518" t="s">
        <v>514</v>
      </c>
      <c r="F37" s="519"/>
      <c r="G37" s="662" t="s">
        <v>507</v>
      </c>
      <c r="H37" s="663">
        <v>2.5000000000000001E-3</v>
      </c>
      <c r="I37" s="656" t="s">
        <v>508</v>
      </c>
    </row>
    <row r="38" spans="1:14" s="516" customFormat="1" ht="18" customHeight="1">
      <c r="A38" s="517" t="s">
        <v>224</v>
      </c>
      <c r="B38" s="529"/>
      <c r="C38" s="637">
        <f>D38*$D$6</f>
        <v>0</v>
      </c>
      <c r="D38" s="641"/>
      <c r="E38" s="518" t="s">
        <v>182</v>
      </c>
      <c r="F38" s="519"/>
      <c r="G38" s="664"/>
      <c r="H38" s="609"/>
      <c r="I38" s="665"/>
    </row>
    <row r="39" spans="1:14" s="516" customFormat="1" ht="18" customHeight="1">
      <c r="A39" s="517" t="s">
        <v>340</v>
      </c>
      <c r="B39" s="529"/>
      <c r="C39" s="528">
        <v>0</v>
      </c>
      <c r="D39" s="598"/>
      <c r="E39" s="518" t="s">
        <v>17</v>
      </c>
      <c r="F39" s="519"/>
      <c r="G39" s="520"/>
      <c r="H39" s="666"/>
      <c r="I39" s="666"/>
    </row>
    <row r="40" spans="1:14" s="516" customFormat="1" ht="18" customHeight="1">
      <c r="A40" s="517" t="s">
        <v>340</v>
      </c>
      <c r="B40" s="640"/>
      <c r="C40" s="528">
        <v>0</v>
      </c>
      <c r="D40" s="598"/>
      <c r="E40" s="518" t="s">
        <v>17</v>
      </c>
      <c r="F40" s="519"/>
      <c r="G40" s="520"/>
      <c r="H40" s="607"/>
      <c r="I40" s="638"/>
    </row>
    <row r="41" spans="1:14" s="516" customFormat="1" ht="18" customHeight="1">
      <c r="E41" s="648"/>
      <c r="F41" s="519"/>
      <c r="G41" s="515"/>
      <c r="H41" s="607"/>
      <c r="I41" s="638"/>
    </row>
    <row r="42" spans="1:14" s="516" customFormat="1" ht="18" customHeight="1">
      <c r="A42" s="530" t="s">
        <v>22</v>
      </c>
      <c r="B42" s="515"/>
      <c r="C42" s="531" t="e">
        <f ca="1">SUM(C11:C28,C33:C40)</f>
        <v>#DIV/0!</v>
      </c>
      <c r="E42" s="532" t="s">
        <v>1</v>
      </c>
      <c r="F42" s="535"/>
    </row>
    <row r="43" spans="1:14" s="516" customFormat="1" ht="18" customHeight="1">
      <c r="A43" s="533"/>
      <c r="D43" s="676" t="e">
        <f ca="1">C42/D6</f>
        <v>#DIV/0!</v>
      </c>
      <c r="E43" s="532" t="s">
        <v>17</v>
      </c>
      <c r="F43" s="519"/>
    </row>
    <row r="44" spans="1:14" s="516" customFormat="1" ht="18" customHeight="1">
      <c r="A44" s="536"/>
      <c r="B44" s="515"/>
      <c r="D44" s="676" t="e">
        <f ca="1">C42/D7</f>
        <v>#DIV/0!</v>
      </c>
      <c r="E44" s="532" t="s">
        <v>16</v>
      </c>
      <c r="F44" s="519"/>
      <c r="K44"/>
      <c r="L44"/>
      <c r="M44"/>
      <c r="N44"/>
    </row>
    <row r="45" spans="1:14" s="516" customFormat="1" ht="18" customHeight="1">
      <c r="A45" s="536"/>
      <c r="B45" s="515"/>
      <c r="C45" s="519"/>
      <c r="D45" s="519"/>
      <c r="E45" s="518"/>
      <c r="F45" s="519"/>
      <c r="K45"/>
      <c r="L45"/>
      <c r="M45"/>
      <c r="N45"/>
    </row>
    <row r="46" spans="1:14" s="516" customFormat="1" ht="18" customHeight="1">
      <c r="A46" s="517" t="s">
        <v>23</v>
      </c>
      <c r="B46" s="537"/>
      <c r="C46" s="538"/>
      <c r="E46" s="518"/>
      <c r="F46" s="519"/>
      <c r="K46"/>
      <c r="L46"/>
      <c r="M46"/>
      <c r="N46"/>
    </row>
    <row r="47" spans="1:14" s="516" customFormat="1" ht="18" customHeight="1">
      <c r="A47" s="517"/>
      <c r="B47" s="515"/>
      <c r="C47" s="519"/>
      <c r="D47" s="519"/>
      <c r="E47" s="518"/>
      <c r="F47" s="519"/>
      <c r="K47"/>
      <c r="L47"/>
      <c r="M47"/>
      <c r="N47"/>
    </row>
    <row r="48" spans="1:14" s="516" customFormat="1" ht="18" customHeight="1">
      <c r="A48" s="530" t="s">
        <v>117</v>
      </c>
      <c r="B48" s="515"/>
      <c r="C48" s="534" t="e">
        <f ca="1">Expenses+C46</f>
        <v>#DIV/0!</v>
      </c>
      <c r="D48" s="519"/>
      <c r="E48" s="518"/>
      <c r="F48" s="519"/>
      <c r="K48"/>
      <c r="L48"/>
      <c r="M48"/>
      <c r="N48"/>
    </row>
    <row r="49" spans="1:15" s="516" customFormat="1" ht="18" customHeight="1">
      <c r="A49" s="539"/>
      <c r="B49" s="515"/>
      <c r="C49" s="534" t="e">
        <f ca="1">C48/D6</f>
        <v>#DIV/0!</v>
      </c>
      <c r="D49" s="534"/>
      <c r="E49" s="532" t="s">
        <v>67</v>
      </c>
      <c r="F49" s="519"/>
      <c r="K49"/>
      <c r="L49"/>
      <c r="M49"/>
      <c r="N49"/>
      <c r="O49"/>
    </row>
    <row r="50" spans="1:15" ht="15.75">
      <c r="A50" s="540"/>
      <c r="B50" s="512"/>
      <c r="C50" s="541" t="e">
        <f ca="1">C48/D7</f>
        <v>#DIV/0!</v>
      </c>
      <c r="D50" s="541"/>
      <c r="E50" s="542" t="s">
        <v>16</v>
      </c>
      <c r="F50" s="5"/>
      <c r="G50" s="516"/>
      <c r="H50" s="516"/>
      <c r="I50" s="516"/>
    </row>
    <row r="51" spans="1:15" ht="15.75">
      <c r="A51" s="2"/>
      <c r="B51" s="2"/>
      <c r="C51" s="7"/>
      <c r="D51" s="7"/>
      <c r="E51" s="1"/>
      <c r="F51" s="5"/>
    </row>
    <row r="52" spans="1:15">
      <c r="A52" s="2"/>
      <c r="B52" s="2"/>
      <c r="C52" s="5"/>
      <c r="D52" s="5"/>
      <c r="E52" s="2"/>
      <c r="F52" s="2"/>
    </row>
    <row r="53" spans="1:15">
      <c r="A53" s="22"/>
      <c r="B53" s="12"/>
      <c r="C53" s="2"/>
      <c r="D53" s="5"/>
      <c r="E53" s="2"/>
    </row>
  </sheetData>
  <customSheetViews>
    <customSheetView guid="{560D4AFA-61E5-46C3-B0CD-D0EB3053A033}" scale="75" colorId="22" showPageBreaks="1" printArea="1" hiddenRows="1" hiddenColumns="1" showRuler="0" topLeftCell="A2">
      <selection activeCell="H26" sqref="H26"/>
      <pageMargins left="0.75" right="0.5" top="0.75" bottom="0.5" header="0.5" footer="0.5"/>
      <pageSetup scale="93" orientation="landscape" r:id="rId1"/>
      <headerFooter alignWithMargins="0"/>
    </customSheetView>
    <customSheetView guid="{1ECE83C7-A3CE-4F97-BFD3-498FF783C0D9}" scale="75" colorId="22" showPageBreaks="1" printArea="1" hiddenColumns="1" showRuler="0">
      <selection activeCell="H29" sqref="H29"/>
      <pageMargins left="0.75" right="0.5" top="0.75" bottom="0.5" header="0.5" footer="0.5"/>
      <pageSetup scale="93" orientation="landscape" r:id="rId2"/>
      <headerFooter alignWithMargins="0"/>
    </customSheetView>
    <customSheetView guid="{6EF643BE-69F3-424E-8A44-3890161370D4}" scale="75" colorId="22" showPageBreaks="1" fitToPage="1" printArea="1" hiddenColumns="1" showRuler="0" topLeftCell="A10">
      <selection activeCell="J28" sqref="J28"/>
      <pageMargins left="0.5" right="0.5" top="0.5" bottom="0.5" header="0.5" footer="0.5"/>
      <pageSetup orientation="landscape" r:id="rId3"/>
      <headerFooter alignWithMargins="0"/>
    </customSheetView>
    <customSheetView guid="{FBB4BF8E-8A9F-4E98-A6F9-5F9BF4C55C67}" scale="65" colorId="22" showPageBreaks="1" fitToPage="1" printArea="1" hiddenColumns="1" showRuler="0">
      <selection activeCell="J16" sqref="J16"/>
      <pageMargins left="0.5" right="0.5" top="0.5" bottom="0.5" header="0.5" footer="0.5"/>
      <pageSetup orientation="landscape" r:id="rId4"/>
      <headerFooter alignWithMargins="0"/>
    </customSheetView>
    <customSheetView guid="{EB776EFC-3589-4DB5-BEAF-1E83D9703F9E}" scale="65" colorId="22" fitToPage="1" hiddenColumns="1" showRuler="0" topLeftCell="A4">
      <selection activeCell="C19" sqref="C19"/>
      <pageMargins left="0.5" right="0.5" top="0.5" bottom="0.5" header="0.5" footer="0.5"/>
      <pageSetup orientation="landscape" r:id="rId5"/>
      <headerFooter alignWithMargins="0"/>
    </customSheetView>
    <customSheetView guid="{AEA5979F-5357-4ED6-A6CA-1BB80F5C7A74}" scale="75" colorId="22" showPageBreaks="1" fitToPage="1" printArea="1" hiddenColumns="1" showRuler="0">
      <selection activeCell="J28" sqref="J28"/>
      <pageMargins left="0.5" right="0.5" top="0.5" bottom="0.5" header="0.5" footer="0.5"/>
      <pageSetup orientation="landscape" r:id="rId6"/>
      <headerFooter alignWithMargins="0"/>
    </customSheetView>
    <customSheetView guid="{28F81D13-D146-4D67-8981-BA5D7A496326}" scale="75" colorId="22" showPageBreaks="1" fitToPage="1" printArea="1" hiddenColumns="1" showRuler="0" topLeftCell="A7">
      <selection activeCell="K9" sqref="K9"/>
      <pageMargins left="0.5" right="0.5" top="0.5" bottom="0.5" header="0.5" footer="0.5"/>
      <pageSetup orientation="landscape" r:id="rId7"/>
      <headerFooter alignWithMargins="0"/>
    </customSheetView>
    <customSheetView guid="{25C4E7E7-1006-4A2D-BC83-AEE4ADF8A914}" scale="75" colorId="22" showPageBreaks="1" printArea="1" hiddenRows="1" hiddenColumns="1" showRuler="0" topLeftCell="A17">
      <selection activeCell="G26" sqref="G26"/>
      <pageMargins left="0.75" right="0.5" top="0.75" bottom="0.5" header="0.5" footer="0.5"/>
      <pageSetup scale="93" orientation="landscape" r:id="rId8"/>
      <headerFooter alignWithMargins="0"/>
    </customSheetView>
  </customSheetViews>
  <mergeCells count="11">
    <mergeCell ref="J23:J30"/>
    <mergeCell ref="G9:I9"/>
    <mergeCell ref="H23:I23"/>
    <mergeCell ref="K15:L15"/>
    <mergeCell ref="K16:L16"/>
    <mergeCell ref="H30:I30"/>
    <mergeCell ref="H31:I31"/>
    <mergeCell ref="H15:I15"/>
    <mergeCell ref="H19:I19"/>
    <mergeCell ref="H20:I20"/>
    <mergeCell ref="H27:I27"/>
  </mergeCells>
  <phoneticPr fontId="0" type="noConversion"/>
  <printOptions horizontalCentered="1" verticalCentered="1"/>
  <pageMargins left="0.75" right="0.5" top="0.75" bottom="0.5" header="0.5" footer="0.5"/>
  <pageSetup firstPageNumber="210" orientation="portrait" useFirstPageNumber="1" r:id="rId9"/>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N47"/>
  <sheetViews>
    <sheetView workbookViewId="0"/>
  </sheetViews>
  <sheetFormatPr defaultColWidth="9.77734375" defaultRowHeight="15"/>
  <cols>
    <col min="1" max="1" width="35.44140625" bestFit="1" customWidth="1"/>
    <col min="2" max="2" width="11.77734375" bestFit="1" customWidth="1"/>
    <col min="4" max="4" width="13.109375" customWidth="1"/>
    <col min="6" max="7" width="12.6640625" customWidth="1"/>
    <col min="8" max="8" width="20.88671875" customWidth="1"/>
    <col min="9" max="9" width="18.77734375" customWidth="1"/>
    <col min="10" max="10" width="19.21875" customWidth="1"/>
    <col min="11" max="11" width="17.44140625" customWidth="1"/>
    <col min="12" max="12" width="12.6640625" customWidth="1"/>
    <col min="13" max="13" width="10.77734375" bestFit="1" customWidth="1"/>
    <col min="14" max="14" width="11" bestFit="1" customWidth="1"/>
  </cols>
  <sheetData>
    <row r="1" spans="1:14" ht="15.75">
      <c r="A1" s="1" t="str">
        <f>'M and O'!A1</f>
        <v xml:space="preserve">Project Name: </v>
      </c>
      <c r="E1" s="2"/>
      <c r="F1" s="43"/>
      <c r="G1" s="2"/>
      <c r="H1" s="2"/>
      <c r="I1" s="2"/>
      <c r="J1" s="2"/>
      <c r="K1" s="24"/>
      <c r="L1" s="24"/>
      <c r="M1" s="2"/>
      <c r="N1" s="2"/>
    </row>
    <row r="2" spans="1:14" ht="15.75">
      <c r="A2" s="1" t="str">
        <f>'M and O'!A2</f>
        <v>Development Team:</v>
      </c>
      <c r="E2" s="2"/>
      <c r="F2" s="43"/>
      <c r="G2" s="2"/>
      <c r="H2" s="2"/>
      <c r="I2" s="2"/>
      <c r="J2" s="2"/>
      <c r="K2" s="24"/>
      <c r="L2" s="24"/>
      <c r="M2" s="2"/>
      <c r="N2" s="2"/>
    </row>
    <row r="3" spans="1:14" ht="15.75">
      <c r="A3" s="1" t="str">
        <f>'M and O'!A3</f>
        <v>Site:</v>
      </c>
      <c r="B3" s="2"/>
      <c r="E3" s="2"/>
      <c r="F3" s="2"/>
      <c r="G3" s="2"/>
      <c r="H3" s="2"/>
      <c r="I3" s="2"/>
      <c r="J3" s="2"/>
      <c r="K3" s="24" t="str">
        <f>'Sources and Use'!C3</f>
        <v>Units:</v>
      </c>
      <c r="L3" s="24">
        <f>'Units &amp; Income'!C24</f>
        <v>0</v>
      </c>
      <c r="M3" s="2"/>
      <c r="N3" s="2"/>
    </row>
    <row r="4" spans="1:14" ht="15.75">
      <c r="A4" s="1"/>
      <c r="B4" s="2"/>
      <c r="C4" s="2"/>
      <c r="D4" s="2"/>
      <c r="E4" s="2"/>
      <c r="F4" s="2"/>
      <c r="G4" s="2"/>
      <c r="H4" s="2"/>
      <c r="I4" s="2"/>
      <c r="J4" s="2"/>
      <c r="K4" s="2"/>
      <c r="L4" s="2"/>
      <c r="M4" s="2"/>
      <c r="N4" s="2"/>
    </row>
    <row r="5" spans="1:14">
      <c r="B5" s="2"/>
      <c r="C5" s="2"/>
      <c r="D5" s="2"/>
      <c r="E5" s="2"/>
      <c r="F5" s="95" t="s">
        <v>25</v>
      </c>
      <c r="G5" s="2"/>
      <c r="H5" s="4"/>
      <c r="I5" s="4"/>
      <c r="J5" s="4"/>
      <c r="K5" s="14"/>
      <c r="L5" s="2"/>
      <c r="M5" s="2"/>
      <c r="N5" s="2"/>
    </row>
    <row r="6" spans="1:14" ht="15.75">
      <c r="A6" s="27" t="s">
        <v>192</v>
      </c>
      <c r="B6" s="2"/>
      <c r="C6" s="2"/>
      <c r="D6" s="2"/>
      <c r="E6" s="2"/>
      <c r="F6" s="95" t="s">
        <v>146</v>
      </c>
      <c r="G6" s="2"/>
      <c r="H6" s="2"/>
      <c r="I6" s="2"/>
      <c r="J6" s="2"/>
      <c r="K6" s="4"/>
      <c r="L6" s="14"/>
      <c r="M6" s="14"/>
      <c r="N6" s="14"/>
    </row>
    <row r="7" spans="1:14" ht="16.5" thickBot="1">
      <c r="A7" s="240"/>
      <c r="B7" s="241"/>
      <c r="C7" s="241"/>
      <c r="D7" s="241"/>
      <c r="E7" s="16"/>
      <c r="F7" s="242"/>
      <c r="G7" s="242"/>
      <c r="H7" s="242"/>
      <c r="I7" s="242"/>
      <c r="J7" s="242"/>
      <c r="K7" s="243"/>
      <c r="L7" s="243"/>
      <c r="M7" s="4"/>
      <c r="N7" s="4"/>
    </row>
    <row r="8" spans="1:14" ht="16.5" thickTop="1">
      <c r="A8" s="31"/>
      <c r="B8" s="18"/>
      <c r="C8" s="18"/>
      <c r="D8" s="218"/>
      <c r="E8" s="248"/>
      <c r="F8" s="27" t="s">
        <v>193</v>
      </c>
      <c r="G8" s="27"/>
      <c r="H8" s="202"/>
      <c r="I8" s="602" t="s">
        <v>150</v>
      </c>
      <c r="J8" s="15"/>
      <c r="L8" s="244"/>
      <c r="M8" s="2"/>
      <c r="N8" s="2"/>
    </row>
    <row r="9" spans="1:14" ht="15.75">
      <c r="A9" s="226" t="s">
        <v>147</v>
      </c>
      <c r="B9" s="16"/>
      <c r="C9" s="16"/>
      <c r="D9" s="13"/>
      <c r="E9" s="248"/>
      <c r="F9" s="40"/>
      <c r="G9" s="132"/>
      <c r="H9" s="603"/>
      <c r="I9" s="4"/>
      <c r="K9" s="107" t="s">
        <v>229</v>
      </c>
      <c r="L9" s="245"/>
      <c r="M9" s="2"/>
      <c r="N9" s="2"/>
    </row>
    <row r="10" spans="1:14">
      <c r="A10" s="227" t="s">
        <v>109</v>
      </c>
      <c r="B10" s="225"/>
      <c r="C10" s="16"/>
      <c r="D10" s="13">
        <f>'Units &amp; Income'!J118</f>
        <v>0</v>
      </c>
      <c r="E10" s="26"/>
      <c r="F10" s="40" t="s">
        <v>194</v>
      </c>
      <c r="G10" s="132"/>
      <c r="H10" s="604"/>
      <c r="I10" s="4"/>
      <c r="J10" s="6" t="s">
        <v>200</v>
      </c>
      <c r="K10" s="328"/>
      <c r="L10" s="246"/>
      <c r="M10" s="2"/>
      <c r="N10" s="2"/>
    </row>
    <row r="11" spans="1:14">
      <c r="A11" s="265" t="s">
        <v>139</v>
      </c>
      <c r="B11" s="259">
        <v>0.05</v>
      </c>
      <c r="C11" s="21"/>
      <c r="D11" s="13">
        <f>B11*-D10</f>
        <v>0</v>
      </c>
      <c r="E11" s="26"/>
      <c r="F11" s="70" t="s">
        <v>195</v>
      </c>
      <c r="G11" s="85"/>
      <c r="H11" s="604"/>
      <c r="J11" s="3" t="s">
        <v>27</v>
      </c>
      <c r="K11" s="328"/>
      <c r="L11" s="246"/>
      <c r="M11" s="2"/>
    </row>
    <row r="12" spans="1:14">
      <c r="A12" s="229" t="s">
        <v>26</v>
      </c>
      <c r="B12" s="106"/>
      <c r="C12" s="106"/>
      <c r="D12" s="219">
        <f>D10+D11</f>
        <v>0</v>
      </c>
      <c r="E12" s="26"/>
      <c r="F12" s="40" t="s">
        <v>196</v>
      </c>
      <c r="G12" s="132"/>
      <c r="H12" s="604"/>
      <c r="J12" s="6" t="s">
        <v>28</v>
      </c>
      <c r="K12" s="9">
        <f>SUM(K10:K11)</f>
        <v>0</v>
      </c>
      <c r="L12" s="246"/>
      <c r="M12" s="2"/>
    </row>
    <row r="13" spans="1:14">
      <c r="A13" s="230"/>
      <c r="B13" s="40"/>
      <c r="C13" s="40"/>
      <c r="D13" s="198"/>
      <c r="E13" s="26"/>
      <c r="F13" s="40" t="s">
        <v>197</v>
      </c>
      <c r="G13" s="132"/>
      <c r="H13" s="604"/>
      <c r="L13" s="246"/>
      <c r="M13" s="2"/>
    </row>
    <row r="14" spans="1:14">
      <c r="A14" s="227" t="s">
        <v>92</v>
      </c>
      <c r="B14" s="21"/>
      <c r="C14" s="21"/>
      <c r="D14" s="13">
        <f>'Units &amp; Income'!E31</f>
        <v>0</v>
      </c>
      <c r="E14" s="26"/>
      <c r="F14" s="40" t="s">
        <v>198</v>
      </c>
      <c r="G14" s="132"/>
      <c r="H14" s="604"/>
      <c r="J14" s="2"/>
      <c r="K14" s="123"/>
      <c r="L14" s="247"/>
      <c r="M14" s="2"/>
    </row>
    <row r="15" spans="1:14">
      <c r="A15" s="227" t="s">
        <v>140</v>
      </c>
      <c r="B15" s="21"/>
      <c r="C15" s="21"/>
      <c r="D15" s="13">
        <f>'Units &amp; Income'!E35</f>
        <v>0</v>
      </c>
      <c r="E15" s="26"/>
      <c r="F15" s="206" t="s">
        <v>199</v>
      </c>
      <c r="G15" s="143"/>
      <c r="H15" s="604"/>
      <c r="J15" s="4"/>
      <c r="L15" s="247"/>
      <c r="M15" s="2"/>
    </row>
    <row r="16" spans="1:14">
      <c r="A16" s="227" t="s">
        <v>141</v>
      </c>
      <c r="B16" s="21"/>
      <c r="C16" s="21"/>
      <c r="D16" s="13">
        <f>'Units &amp; Income'!E37</f>
        <v>0</v>
      </c>
      <c r="E16" s="26"/>
      <c r="F16" s="268"/>
      <c r="G16" s="4"/>
      <c r="H16" s="605">
        <f>SUM(H10:H15)</f>
        <v>0</v>
      </c>
      <c r="I16" s="4"/>
      <c r="J16" s="4"/>
      <c r="K16" s="9"/>
      <c r="L16" s="247"/>
      <c r="M16" s="2"/>
      <c r="N16" s="2"/>
    </row>
    <row r="17" spans="1:14">
      <c r="A17" s="227" t="s">
        <v>29</v>
      </c>
      <c r="B17" s="21"/>
      <c r="C17" s="21"/>
      <c r="D17" s="13">
        <f>'Units &amp; Income'!E40</f>
        <v>0</v>
      </c>
      <c r="E17" s="17"/>
      <c r="F17" s="267"/>
      <c r="G17" s="169"/>
      <c r="H17" s="266"/>
      <c r="I17" s="169"/>
      <c r="J17" s="169"/>
      <c r="K17" s="169"/>
      <c r="L17" s="266"/>
      <c r="M17" s="2"/>
      <c r="N17" s="2"/>
    </row>
    <row r="18" spans="1:14" ht="15.75" thickBot="1">
      <c r="A18" s="228" t="s">
        <v>142</v>
      </c>
      <c r="B18" s="259">
        <v>0.1</v>
      </c>
      <c r="C18" s="21"/>
      <c r="D18" s="13">
        <f>-(D14*B18)</f>
        <v>0</v>
      </c>
      <c r="E18" s="17"/>
      <c r="F18" s="242"/>
      <c r="G18" s="242"/>
      <c r="H18" s="242"/>
      <c r="I18" s="242"/>
      <c r="J18" s="242"/>
      <c r="K18" s="254"/>
      <c r="L18" s="255"/>
      <c r="M18" s="2"/>
      <c r="N18" s="2"/>
    </row>
    <row r="19" spans="1:14" ht="15.75" thickTop="1">
      <c r="A19" s="228" t="s">
        <v>144</v>
      </c>
      <c r="B19" s="258">
        <v>0.1</v>
      </c>
      <c r="C19" s="19"/>
      <c r="D19" s="13">
        <f>-(D15*B19)</f>
        <v>0</v>
      </c>
      <c r="E19" s="249"/>
      <c r="F19" s="17"/>
      <c r="H19" s="3"/>
      <c r="I19" s="269"/>
      <c r="J19" s="2"/>
      <c r="K19" s="2"/>
      <c r="L19" s="247"/>
    </row>
    <row r="20" spans="1:14">
      <c r="A20" s="228" t="s">
        <v>149</v>
      </c>
      <c r="B20" s="258">
        <v>0.1</v>
      </c>
      <c r="D20" s="13">
        <f>-(D16*B20)</f>
        <v>0</v>
      </c>
      <c r="E20" s="249"/>
      <c r="F20" s="17"/>
      <c r="H20" s="6"/>
      <c r="I20" s="270"/>
      <c r="J20" s="9"/>
      <c r="K20" s="4"/>
      <c r="L20" s="247"/>
    </row>
    <row r="21" spans="1:14">
      <c r="A21" s="228" t="s">
        <v>143</v>
      </c>
      <c r="B21" s="258">
        <v>0.1</v>
      </c>
      <c r="C21" s="40"/>
      <c r="D21" s="13">
        <f>-(D17*B21)</f>
        <v>0</v>
      </c>
      <c r="E21" s="249"/>
      <c r="F21" s="17"/>
      <c r="I21" s="271"/>
      <c r="J21" s="2"/>
      <c r="K21" s="2"/>
      <c r="L21" s="247"/>
    </row>
    <row r="22" spans="1:14">
      <c r="A22" s="231" t="s">
        <v>145</v>
      </c>
      <c r="B22" s="105"/>
      <c r="C22" s="105"/>
      <c r="D22" s="219">
        <f>SUM(D14:D21)</f>
        <v>0</v>
      </c>
      <c r="E22" s="249"/>
      <c r="F22" s="17"/>
      <c r="H22" s="3" t="s">
        <v>30</v>
      </c>
      <c r="I22" s="275"/>
      <c r="J22" s="2" t="s">
        <v>361</v>
      </c>
      <c r="K22" s="2"/>
      <c r="L22" s="247"/>
    </row>
    <row r="23" spans="1:14" ht="15.75">
      <c r="A23" s="232" t="s">
        <v>148</v>
      </c>
      <c r="B23" s="104"/>
      <c r="C23" s="104"/>
      <c r="D23" s="220">
        <f>D12+D22</f>
        <v>0</v>
      </c>
      <c r="E23" s="249"/>
      <c r="F23" s="17"/>
      <c r="H23" s="3" t="s">
        <v>315</v>
      </c>
      <c r="I23" s="466">
        <f>SECOND</f>
        <v>0</v>
      </c>
      <c r="L23" s="222"/>
    </row>
    <row r="24" spans="1:14">
      <c r="A24" s="233"/>
      <c r="B24" s="21"/>
      <c r="C24" s="21"/>
      <c r="D24" s="13"/>
      <c r="E24" s="249"/>
      <c r="F24" s="17"/>
      <c r="G24" s="111"/>
      <c r="H24" s="3" t="s">
        <v>219</v>
      </c>
      <c r="I24" s="272">
        <f>J31</f>
        <v>0</v>
      </c>
      <c r="J24" s="2"/>
      <c r="K24" s="2"/>
      <c r="L24" s="247"/>
    </row>
    <row r="25" spans="1:14" ht="15.75">
      <c r="A25" s="226" t="s">
        <v>64</v>
      </c>
      <c r="B25" s="21"/>
      <c r="C25" s="21"/>
      <c r="D25" s="13"/>
      <c r="E25" s="249"/>
      <c r="F25" s="17"/>
      <c r="H25" s="107" t="s">
        <v>220</v>
      </c>
      <c r="I25" s="272">
        <f>K31</f>
        <v>0</v>
      </c>
      <c r="J25" s="2"/>
      <c r="K25" s="2"/>
      <c r="L25" s="247"/>
    </row>
    <row r="26" spans="1:14">
      <c r="A26" s="227" t="s">
        <v>34</v>
      </c>
      <c r="B26" s="20" t="e">
        <f ca="1">D26/'Units &amp; Income'!C24</f>
        <v>#DIV/0!</v>
      </c>
      <c r="C26" s="20" t="s">
        <v>17</v>
      </c>
      <c r="D26" s="13" t="e">
        <f ca="1">'M and O'!C42-'M and O'!C34</f>
        <v>#DIV/0!</v>
      </c>
      <c r="E26" s="249"/>
      <c r="F26" s="60"/>
      <c r="G26" s="238"/>
      <c r="H26" s="251" t="s">
        <v>31</v>
      </c>
      <c r="I26" s="324">
        <f>I22+I23+I24+I25</f>
        <v>0</v>
      </c>
      <c r="J26" s="238"/>
      <c r="K26" s="238"/>
      <c r="L26" s="253"/>
    </row>
    <row r="27" spans="1:14" ht="15.75" thickBot="1">
      <c r="A27" s="227" t="s">
        <v>35</v>
      </c>
      <c r="B27" s="20" t="e">
        <f>D27/'Units &amp; Income'!C24</f>
        <v>#DIV/0!</v>
      </c>
      <c r="C27" s="20" t="s">
        <v>17</v>
      </c>
      <c r="D27" s="13">
        <f>'M and O'!C46</f>
        <v>0</v>
      </c>
      <c r="F27" s="184"/>
      <c r="G27" s="256"/>
      <c r="H27" s="256"/>
      <c r="I27" s="256"/>
      <c r="J27" s="596"/>
      <c r="K27" s="596"/>
      <c r="L27" s="256"/>
    </row>
    <row r="28" spans="1:14" ht="15.75" thickTop="1">
      <c r="A28" s="677" t="s">
        <v>81</v>
      </c>
      <c r="B28" s="20" t="e">
        <f>D28/'Units &amp; Income'!C24</f>
        <v>#DIV/0!</v>
      </c>
      <c r="C28" s="16" t="s">
        <v>17</v>
      </c>
      <c r="D28" s="13">
        <f>'M and O'!C34</f>
        <v>0</v>
      </c>
      <c r="E28" s="249"/>
      <c r="F28" s="2"/>
      <c r="G28" s="287"/>
      <c r="H28" s="288" t="s">
        <v>369</v>
      </c>
      <c r="I28" s="262" t="s">
        <v>358</v>
      </c>
      <c r="J28" s="601" t="s">
        <v>359</v>
      </c>
      <c r="K28" s="601" t="s">
        <v>360</v>
      </c>
      <c r="L28" s="262"/>
      <c r="M28" s="300"/>
    </row>
    <row r="29" spans="1:14" ht="15.75">
      <c r="A29" s="232" t="s">
        <v>24</v>
      </c>
      <c r="B29" s="7" t="e">
        <f ca="1">SUM(B26:B28)</f>
        <v>#DIV/0!</v>
      </c>
      <c r="C29" s="15" t="s">
        <v>17</v>
      </c>
      <c r="D29" s="221" t="e">
        <f ca="1">SUM(D26:D28)</f>
        <v>#DIV/0!</v>
      </c>
      <c r="E29" s="249"/>
      <c r="H29" s="276"/>
      <c r="I29" s="436"/>
      <c r="J29" s="276"/>
      <c r="K29" s="276"/>
      <c r="M29" s="300"/>
    </row>
    <row r="30" spans="1:14">
      <c r="A30" s="234"/>
      <c r="D30" s="222"/>
      <c r="E30" s="249"/>
      <c r="F30" s="236"/>
      <c r="G30" s="2"/>
      <c r="H30" s="262" t="s">
        <v>32</v>
      </c>
      <c r="I30" s="600" t="s">
        <v>33</v>
      </c>
      <c r="J30" s="262" t="s">
        <v>221</v>
      </c>
      <c r="K30" s="290" t="s">
        <v>222</v>
      </c>
      <c r="L30" s="262" t="s">
        <v>1</v>
      </c>
      <c r="M30" s="300"/>
    </row>
    <row r="31" spans="1:14">
      <c r="A31" s="234"/>
      <c r="D31" s="222"/>
      <c r="E31" s="249"/>
      <c r="F31" s="2"/>
      <c r="G31" s="2"/>
      <c r="H31" s="2" t="e">
        <f ca="1">-PV(H32/12,H33*12,(D37-I37-J37-K37)/12,H35)-H29</f>
        <v>#DIV/0!</v>
      </c>
      <c r="I31" s="441">
        <f>H42*('Units &amp; Income'!C24-SUM('Units &amp; Income'!I111:I114))</f>
        <v>0</v>
      </c>
      <c r="J31" s="442">
        <f>H43*('Units &amp; Income'!C24-SUM('Units &amp; Income'!I111:I114))</f>
        <v>0</v>
      </c>
      <c r="K31" s="443">
        <f>H44*('Units &amp; Income'!C24-SUM('Units &amp; Income'!I111:I114))</f>
        <v>0</v>
      </c>
      <c r="L31" s="5" t="e">
        <f ca="1">I31+H31+J31+K31</f>
        <v>#DIV/0!</v>
      </c>
      <c r="M31" s="300"/>
    </row>
    <row r="32" spans="1:14" ht="15.75">
      <c r="A32" s="226" t="s">
        <v>37</v>
      </c>
      <c r="B32" s="15"/>
      <c r="C32" s="15"/>
      <c r="D32" s="221" t="e">
        <f ca="1">D23-D29</f>
        <v>#DIV/0!</v>
      </c>
      <c r="E32" s="249"/>
      <c r="G32" s="107" t="s">
        <v>135</v>
      </c>
      <c r="H32" s="289">
        <f>K12</f>
        <v>0</v>
      </c>
      <c r="I32" s="276"/>
      <c r="J32" s="276"/>
      <c r="K32" s="276"/>
      <c r="M32" s="300"/>
    </row>
    <row r="33" spans="1:14">
      <c r="A33" s="234"/>
      <c r="D33" s="222"/>
      <c r="E33" s="249"/>
      <c r="F33" s="2"/>
      <c r="G33" s="273" t="s">
        <v>36</v>
      </c>
      <c r="H33" s="274"/>
      <c r="I33" s="274"/>
      <c r="J33" s="275"/>
      <c r="K33" s="275"/>
      <c r="L33" s="5"/>
      <c r="M33" s="300"/>
    </row>
    <row r="34" spans="1:14">
      <c r="A34" s="233"/>
      <c r="B34" s="16"/>
      <c r="C34" s="16"/>
      <c r="D34" s="13"/>
      <c r="E34" s="249"/>
      <c r="F34" s="3" t="s">
        <v>154</v>
      </c>
      <c r="G34" s="3" t="s">
        <v>151</v>
      </c>
      <c r="H34" s="5" t="e">
        <f ca="1">H31-H4</f>
        <v>#DIV/0!</v>
      </c>
      <c r="I34" s="5">
        <f>SECOND-I35</f>
        <v>0</v>
      </c>
      <c r="J34" s="5">
        <f>J31-J35</f>
        <v>0</v>
      </c>
      <c r="K34" s="5">
        <f>K31-K35</f>
        <v>0</v>
      </c>
      <c r="L34" s="108"/>
      <c r="M34" s="300"/>
      <c r="N34" s="421"/>
    </row>
    <row r="35" spans="1:14">
      <c r="A35" s="233" t="s">
        <v>39</v>
      </c>
      <c r="B35" s="16"/>
      <c r="C35" s="16"/>
      <c r="D35" s="13" t="e">
        <f ca="1">(+D23/1.05)-(D29)</f>
        <v>#DIV/0!</v>
      </c>
      <c r="E35" s="249"/>
      <c r="F35" s="2"/>
      <c r="G35" s="3" t="s">
        <v>38</v>
      </c>
      <c r="H35" s="5">
        <v>0</v>
      </c>
      <c r="I35" s="5">
        <f>-FV(I32/12,I33*12,-(I37/12),SECOND)</f>
        <v>0</v>
      </c>
      <c r="J35" s="5">
        <f>-FV(J32/12, J33*12, -J37/12, J31)</f>
        <v>0</v>
      </c>
      <c r="K35" s="5">
        <f>-FV(K32/12, K33*12, -K37/12, K31)</f>
        <v>0</v>
      </c>
      <c r="L35" s="108"/>
      <c r="M35" s="300"/>
    </row>
    <row r="36" spans="1:14">
      <c r="A36" s="434" t="s">
        <v>367</v>
      </c>
      <c r="B36" s="169"/>
      <c r="D36" s="222"/>
      <c r="E36" s="249"/>
      <c r="G36" s="3" t="s">
        <v>152</v>
      </c>
      <c r="H36" s="109" t="e">
        <f ca="1">H35/FIRST</f>
        <v>#DIV/0!</v>
      </c>
      <c r="I36" s="109" t="e">
        <f>I35/I31</f>
        <v>#DIV/0!</v>
      </c>
      <c r="J36" s="109" t="e">
        <f>J35/J31</f>
        <v>#DIV/0!</v>
      </c>
      <c r="K36" s="109" t="e">
        <f>K35/K31</f>
        <v>#DIV/0!</v>
      </c>
      <c r="M36" s="425"/>
    </row>
    <row r="37" spans="1:14">
      <c r="A37" s="248" t="s">
        <v>62</v>
      </c>
      <c r="B37" s="260"/>
      <c r="D37" s="13" t="e">
        <f ca="1">NOI/B37</f>
        <v>#DIV/0!</v>
      </c>
      <c r="E37" s="249"/>
      <c r="F37" s="4"/>
      <c r="G37" s="3" t="s">
        <v>40</v>
      </c>
      <c r="H37" s="161" t="e">
        <f ca="1">PMT(H32/12, H33*12, -FIRST, 0)*12</f>
        <v>#DIV/0!</v>
      </c>
      <c r="I37" s="161">
        <f>SECOND*I29</f>
        <v>0</v>
      </c>
      <c r="J37" s="161">
        <f>+J31*J29</f>
        <v>0</v>
      </c>
      <c r="K37" s="161">
        <f>+K31*K29</f>
        <v>0</v>
      </c>
      <c r="L37" s="161" t="e">
        <f ca="1">SUM(H37:J37)</f>
        <v>#DIV/0!</v>
      </c>
      <c r="M37" s="426"/>
    </row>
    <row r="38" spans="1:14">
      <c r="A38" s="235" t="s">
        <v>74</v>
      </c>
      <c r="D38" s="223" t="e">
        <f ca="1">D23/(D29+D37)</f>
        <v>#DIV/0!</v>
      </c>
      <c r="E38" s="17"/>
      <c r="F38" s="250"/>
      <c r="G38" s="251" t="s">
        <v>153</v>
      </c>
      <c r="H38" s="252" t="e">
        <f ca="1">NOI/H37</f>
        <v>#DIV/0!</v>
      </c>
      <c r="I38" s="252" t="e">
        <f ca="1">NOI/(I37+H37)</f>
        <v>#DIV/0!</v>
      </c>
      <c r="J38" s="252" t="e">
        <f ca="1">NOI/(J37+I37+H37)</f>
        <v>#DIV/0!</v>
      </c>
      <c r="K38" s="252" t="e">
        <f ca="1">NOI/(K37+J37+I37)</f>
        <v>#DIV/0!</v>
      </c>
      <c r="L38" s="424" t="e">
        <f ca="1">NOI/L37</f>
        <v>#DIV/0!</v>
      </c>
      <c r="M38" s="300"/>
    </row>
    <row r="39" spans="1:14">
      <c r="A39" s="435" t="s">
        <v>368</v>
      </c>
      <c r="B39" s="169"/>
      <c r="D39" s="222"/>
      <c r="E39" s="17"/>
      <c r="L39" s="2"/>
    </row>
    <row r="40" spans="1:14">
      <c r="A40" s="248" t="s">
        <v>62</v>
      </c>
      <c r="B40" s="261"/>
      <c r="D40" s="13" t="e">
        <f ca="1">D32/B40</f>
        <v>#DIV/0!</v>
      </c>
      <c r="E40" s="17"/>
      <c r="J40" s="28"/>
      <c r="L40" s="5"/>
      <c r="M40" s="2"/>
      <c r="N40" s="2"/>
    </row>
    <row r="41" spans="1:14" ht="15.75">
      <c r="A41" s="200" t="s">
        <v>74</v>
      </c>
      <c r="B41" s="17"/>
      <c r="C41" s="17"/>
      <c r="D41" s="223" t="e">
        <f ca="1">D23/(D29+D40)</f>
        <v>#DIV/0!</v>
      </c>
      <c r="E41" s="17"/>
      <c r="G41" s="15" t="s">
        <v>183</v>
      </c>
      <c r="H41" s="2"/>
      <c r="I41" s="108"/>
      <c r="J41" s="108"/>
      <c r="K41" s="5"/>
      <c r="L41" s="2"/>
      <c r="M41" s="2"/>
      <c r="N41" s="5"/>
    </row>
    <row r="42" spans="1:14">
      <c r="A42" s="236"/>
      <c r="B42" s="2"/>
      <c r="C42" s="2"/>
      <c r="D42" s="224"/>
      <c r="E42" s="2"/>
      <c r="F42" s="262" t="s">
        <v>33</v>
      </c>
      <c r="G42" s="2" t="s">
        <v>307</v>
      </c>
      <c r="H42" s="606"/>
      <c r="I42" s="110" t="s">
        <v>41</v>
      </c>
      <c r="J42" s="108"/>
      <c r="K42" s="5"/>
      <c r="L42" s="2"/>
      <c r="M42" s="2"/>
      <c r="N42" s="5"/>
    </row>
    <row r="43" spans="1:14">
      <c r="A43" s="237"/>
      <c r="B43" s="238"/>
      <c r="C43" s="238"/>
      <c r="D43" s="239"/>
      <c r="E43" s="2"/>
      <c r="F43" s="262" t="s">
        <v>221</v>
      </c>
      <c r="G43" s="2" t="s">
        <v>307</v>
      </c>
      <c r="H43" s="257"/>
      <c r="I43" s="110" t="s">
        <v>41</v>
      </c>
      <c r="J43" s="5"/>
      <c r="K43" s="2"/>
      <c r="L43" s="2"/>
      <c r="M43" s="2"/>
      <c r="N43" s="5"/>
    </row>
    <row r="44" spans="1:14">
      <c r="A44" s="22"/>
      <c r="B44" s="2"/>
      <c r="C44" s="12"/>
      <c r="D44" s="2"/>
      <c r="E44" s="2"/>
      <c r="F44" s="290" t="s">
        <v>222</v>
      </c>
      <c r="G44" s="2" t="s">
        <v>307</v>
      </c>
      <c r="H44" s="257"/>
      <c r="I44" s="110" t="s">
        <v>41</v>
      </c>
      <c r="J44" s="427"/>
      <c r="K44" s="427"/>
      <c r="L44" s="427"/>
      <c r="M44" s="427"/>
      <c r="N44" s="427"/>
    </row>
    <row r="45" spans="1:14">
      <c r="E45" s="22"/>
      <c r="H45" s="159"/>
      <c r="I45" s="429"/>
      <c r="J45" s="430"/>
      <c r="K45" s="430"/>
      <c r="L45" s="430"/>
      <c r="M45" s="430"/>
      <c r="N45" s="430"/>
    </row>
    <row r="46" spans="1:14">
      <c r="K46" s="28"/>
      <c r="L46" s="28"/>
      <c r="M46" s="28"/>
      <c r="N46" s="28"/>
    </row>
    <row r="47" spans="1:14">
      <c r="J47" s="428"/>
      <c r="K47" s="428"/>
      <c r="L47" s="428"/>
      <c r="M47" s="428"/>
      <c r="N47" s="428"/>
    </row>
  </sheetData>
  <customSheetViews>
    <customSheetView guid="{560D4AFA-61E5-46C3-B0CD-D0EB3053A033}" scale="75" colorId="22" showPageBreaks="1" fitToPage="1" printArea="1" showRuler="0" topLeftCell="B10">
      <selection activeCell="H36" sqref="H36"/>
      <pageMargins left="0.75" right="0.5" top="0.75" bottom="0.5" header="0.5" footer="0.5"/>
      <pageSetup scale="64" orientation="landscape" r:id="rId1"/>
      <headerFooter alignWithMargins="0"/>
    </customSheetView>
    <customSheetView guid="{1ECE83C7-A3CE-4F97-BFD3-498FF783C0D9}" scale="75" colorId="22" showPageBreaks="1" fitToPage="1" printArea="1" showRuler="0" topLeftCell="A13">
      <selection activeCell="H29" sqref="H29"/>
      <pageMargins left="0.75" right="0.5" top="0.75" bottom="0.5" header="0.5" footer="0.5"/>
      <pageSetup scale="64" orientation="landscape" r:id="rId2"/>
      <headerFooter alignWithMargins="0"/>
    </customSheetView>
    <customSheetView guid="{6EF643BE-69F3-424E-8A44-3890161370D4}" scale="75" colorId="22" showPageBreaks="1" fitToPage="1" printArea="1" showRuler="0" topLeftCell="D19">
      <selection activeCell="H30" sqref="H30"/>
      <pageMargins left="0.5" right="0.5" top="0.5" bottom="0" header="0.5" footer="0.5"/>
      <pageSetup scale="62" orientation="landscape" r:id="rId3"/>
      <headerFooter alignWithMargins="0"/>
    </customSheetView>
    <customSheetView guid="{FBB4BF8E-8A9F-4E98-A6F9-5F9BF4C55C67}" scale="75" colorId="22" showPageBreaks="1" fitToPage="1" printArea="1" showRuler="0" topLeftCell="F20">
      <selection activeCell="H28" sqref="H28"/>
      <pageMargins left="0.5" right="0.5" top="0.5" bottom="0" header="0.5" footer="0.5"/>
      <pageSetup scale="63" orientation="landscape" r:id="rId4"/>
      <headerFooter alignWithMargins="0"/>
    </customSheetView>
    <customSheetView guid="{EB776EFC-3589-4DB5-BEAF-1E83D9703F9E}" scale="75" colorId="22" fitToPage="1" showRuler="0" topLeftCell="F20">
      <selection activeCell="H39" sqref="H39"/>
      <pageMargins left="0.5" right="0.5" top="0.5" bottom="0" header="0.5" footer="0.5"/>
      <pageSetup scale="63" orientation="landscape" r:id="rId5"/>
      <headerFooter alignWithMargins="0"/>
    </customSheetView>
    <customSheetView guid="{AEA5979F-5357-4ED6-A6CA-1BB80F5C7A74}" scale="75" colorId="22" showPageBreaks="1" fitToPage="1" printArea="1" showRuler="0" topLeftCell="C7">
      <selection activeCell="J36" sqref="J36"/>
      <pageMargins left="0.5" right="0.5" top="0.5" bottom="0" header="0.5" footer="0.5"/>
      <pageSetup scale="62" orientation="landscape" r:id="rId6"/>
      <headerFooter alignWithMargins="0"/>
    </customSheetView>
    <customSheetView guid="{28F81D13-D146-4D67-8981-BA5D7A496326}" scale="75" colorId="22" showPageBreaks="1" fitToPage="1" printArea="1" showRuler="0" topLeftCell="F20">
      <selection activeCell="A11" sqref="A11"/>
      <pageMargins left="0.5" right="0.5" top="0.5" bottom="0" header="0.5" footer="0.5"/>
      <pageSetup scale="62" orientation="landscape" r:id="rId7"/>
      <headerFooter alignWithMargins="0"/>
    </customSheetView>
    <customSheetView guid="{25C4E7E7-1006-4A2D-BC83-AEE4ADF8A914}" scale="75" colorId="22" showPageBreaks="1" fitToPage="1" printArea="1" showRuler="0" topLeftCell="B22">
      <selection activeCell="H30" sqref="H30"/>
      <pageMargins left="0.75" right="0.5" top="0.75" bottom="0.5" header="0.5" footer="0.5"/>
      <pageSetup scale="64" orientation="landscape" r:id="rId8"/>
      <headerFooter alignWithMargins="0"/>
    </customSheetView>
  </customSheetViews>
  <phoneticPr fontId="0" type="noConversion"/>
  <pageMargins left="0.75" right="0.5" top="0.75" bottom="0.5" header="0.5" footer="0.5"/>
  <pageSetup scale="53" firstPageNumber="211" orientation="landscape" useFirstPageNumber="1" r:id="rId9"/>
  <headerFooter alignWithMargins="0"/>
  <legacy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42"/>
  <sheetViews>
    <sheetView workbookViewId="0"/>
  </sheetViews>
  <sheetFormatPr defaultRowHeight="15"/>
  <cols>
    <col min="1" max="1" width="36" customWidth="1"/>
    <col min="2" max="2" width="9.33203125" customWidth="1"/>
    <col min="3" max="14" width="11.77734375" style="113" customWidth="1"/>
    <col min="15" max="32" width="11.77734375" customWidth="1"/>
  </cols>
  <sheetData>
    <row r="1" spans="1:37" ht="15.75">
      <c r="A1" s="1" t="str">
        <f>'Units &amp; Income'!B1</f>
        <v xml:space="preserve">Project Name: </v>
      </c>
      <c r="M1" s="319"/>
      <c r="N1" s="319"/>
    </row>
    <row r="2" spans="1:37" ht="15.75">
      <c r="A2" s="1" t="str">
        <f>'Units &amp; Income'!B2</f>
        <v>Development Team:</v>
      </c>
      <c r="M2" s="319"/>
      <c r="N2" s="319"/>
    </row>
    <row r="3" spans="1:37" ht="15.75">
      <c r="A3" s="1" t="str">
        <f>'Sources and Use'!A3</f>
        <v>Site:</v>
      </c>
      <c r="B3" s="319" t="str">
        <f>'Sources and Use'!C3</f>
        <v>Units:</v>
      </c>
      <c r="C3" s="319">
        <f>'Units &amp; Income'!C24</f>
        <v>0</v>
      </c>
    </row>
    <row r="4" spans="1:37" ht="15.75">
      <c r="A4" s="1"/>
    </row>
    <row r="5" spans="1:37" s="107" customFormat="1">
      <c r="C5" s="745">
        <v>1</v>
      </c>
      <c r="D5" s="745">
        <v>2</v>
      </c>
      <c r="E5" s="745">
        <v>3</v>
      </c>
      <c r="F5" s="745">
        <v>4</v>
      </c>
      <c r="G5" s="745">
        <v>5</v>
      </c>
      <c r="H5" s="745">
        <v>6</v>
      </c>
      <c r="I5" s="745">
        <v>7</v>
      </c>
      <c r="J5" s="745">
        <v>8</v>
      </c>
      <c r="K5" s="745">
        <v>9</v>
      </c>
      <c r="L5" s="745">
        <v>10</v>
      </c>
      <c r="M5" s="745">
        <v>11</v>
      </c>
      <c r="N5" s="745">
        <v>12</v>
      </c>
      <c r="O5" s="745">
        <v>13</v>
      </c>
      <c r="P5" s="745">
        <v>14</v>
      </c>
      <c r="Q5" s="761">
        <v>15</v>
      </c>
      <c r="R5" s="760">
        <v>16</v>
      </c>
      <c r="S5" s="745">
        <v>17</v>
      </c>
      <c r="T5" s="745">
        <v>18</v>
      </c>
      <c r="U5" s="745">
        <v>19</v>
      </c>
      <c r="V5" s="745">
        <v>20</v>
      </c>
      <c r="W5" s="745">
        <v>21</v>
      </c>
      <c r="X5" s="745">
        <v>22</v>
      </c>
      <c r="Y5" s="745">
        <v>23</v>
      </c>
      <c r="Z5" s="745">
        <v>24</v>
      </c>
      <c r="AA5" s="745">
        <v>25</v>
      </c>
      <c r="AB5" s="745">
        <v>26</v>
      </c>
      <c r="AC5" s="745">
        <v>27</v>
      </c>
      <c r="AD5" s="745">
        <v>28</v>
      </c>
      <c r="AE5" s="745">
        <v>29</v>
      </c>
      <c r="AF5" s="745">
        <v>30</v>
      </c>
    </row>
    <row r="6" spans="1:37" s="107" customFormat="1" ht="15.75">
      <c r="A6" s="94" t="s">
        <v>156</v>
      </c>
      <c r="B6" s="799" t="s">
        <v>155</v>
      </c>
      <c r="C6" s="115"/>
      <c r="D6" s="115"/>
      <c r="E6" s="115"/>
      <c r="F6" s="115"/>
      <c r="G6" s="115"/>
      <c r="H6" s="115"/>
      <c r="I6" s="115"/>
      <c r="J6" s="115"/>
      <c r="K6" s="115"/>
      <c r="L6" s="115"/>
      <c r="M6" s="115"/>
      <c r="N6" s="115"/>
      <c r="O6" s="115"/>
      <c r="P6" s="115"/>
      <c r="Q6" s="762"/>
      <c r="R6" s="115"/>
      <c r="S6" s="115"/>
      <c r="T6" s="115"/>
      <c r="U6" s="115"/>
      <c r="V6" s="115"/>
      <c r="W6" s="115"/>
      <c r="X6" s="115"/>
      <c r="Y6" s="115"/>
      <c r="Z6" s="115"/>
      <c r="AA6" s="115"/>
      <c r="AB6" s="115"/>
      <c r="AC6" s="115"/>
      <c r="AD6" s="115"/>
      <c r="AE6" s="115"/>
      <c r="AF6" s="115"/>
    </row>
    <row r="7" spans="1:37">
      <c r="A7" s="107" t="s">
        <v>109</v>
      </c>
      <c r="B7" s="116">
        <v>0.02</v>
      </c>
      <c r="C7" s="113">
        <f>Mort!D12</f>
        <v>0</v>
      </c>
      <c r="D7" s="113">
        <f>C7*(1+$B7)</f>
        <v>0</v>
      </c>
      <c r="E7" s="113">
        <f t="shared" ref="E7:Q7" si="0">D7*(1+$B7)</f>
        <v>0</v>
      </c>
      <c r="F7" s="113">
        <f t="shared" si="0"/>
        <v>0</v>
      </c>
      <c r="G7" s="113">
        <f t="shared" si="0"/>
        <v>0</v>
      </c>
      <c r="H7" s="113">
        <f t="shared" si="0"/>
        <v>0</v>
      </c>
      <c r="I7" s="113">
        <f t="shared" si="0"/>
        <v>0</v>
      </c>
      <c r="J7" s="113">
        <f t="shared" si="0"/>
        <v>0</v>
      </c>
      <c r="K7" s="113">
        <f t="shared" si="0"/>
        <v>0</v>
      </c>
      <c r="L7" s="113">
        <f t="shared" si="0"/>
        <v>0</v>
      </c>
      <c r="M7" s="113">
        <f t="shared" si="0"/>
        <v>0</v>
      </c>
      <c r="N7" s="113">
        <f t="shared" si="0"/>
        <v>0</v>
      </c>
      <c r="O7" s="113">
        <f t="shared" si="0"/>
        <v>0</v>
      </c>
      <c r="P7" s="113">
        <f t="shared" si="0"/>
        <v>0</v>
      </c>
      <c r="Q7" s="763">
        <f t="shared" si="0"/>
        <v>0</v>
      </c>
      <c r="R7" s="113">
        <f t="shared" ref="R7:AF7" si="1">Q7*(1+$B7)</f>
        <v>0</v>
      </c>
      <c r="S7" s="113">
        <f t="shared" si="1"/>
        <v>0</v>
      </c>
      <c r="T7" s="113">
        <f t="shared" si="1"/>
        <v>0</v>
      </c>
      <c r="U7" s="113">
        <f t="shared" si="1"/>
        <v>0</v>
      </c>
      <c r="V7" s="113">
        <f t="shared" si="1"/>
        <v>0</v>
      </c>
      <c r="W7" s="113">
        <f t="shared" si="1"/>
        <v>0</v>
      </c>
      <c r="X7" s="113">
        <f t="shared" si="1"/>
        <v>0</v>
      </c>
      <c r="Y7" s="113">
        <f t="shared" si="1"/>
        <v>0</v>
      </c>
      <c r="Z7" s="113">
        <f t="shared" si="1"/>
        <v>0</v>
      </c>
      <c r="AA7" s="113">
        <f t="shared" si="1"/>
        <v>0</v>
      </c>
      <c r="AB7" s="113">
        <f t="shared" si="1"/>
        <v>0</v>
      </c>
      <c r="AC7" s="113">
        <f t="shared" si="1"/>
        <v>0</v>
      </c>
      <c r="AD7" s="113">
        <f t="shared" si="1"/>
        <v>0</v>
      </c>
      <c r="AE7" s="113">
        <f t="shared" si="1"/>
        <v>0</v>
      </c>
      <c r="AF7" s="113">
        <f t="shared" si="1"/>
        <v>0</v>
      </c>
      <c r="AG7" s="30"/>
      <c r="AH7" s="30"/>
      <c r="AI7" s="30"/>
      <c r="AJ7" s="30"/>
      <c r="AK7" s="30"/>
    </row>
    <row r="8" spans="1:37">
      <c r="A8" s="107" t="s">
        <v>92</v>
      </c>
      <c r="B8" s="116">
        <v>0.02</v>
      </c>
      <c r="C8" s="113">
        <f>Mort!D14+Mort!D18</f>
        <v>0</v>
      </c>
      <c r="D8" s="113">
        <f>C8*(1+$B8)</f>
        <v>0</v>
      </c>
      <c r="E8" s="113">
        <f t="shared" ref="E8:Q8" si="2">D8*(1+$B8)</f>
        <v>0</v>
      </c>
      <c r="F8" s="113">
        <f t="shared" si="2"/>
        <v>0</v>
      </c>
      <c r="G8" s="113">
        <f t="shared" si="2"/>
        <v>0</v>
      </c>
      <c r="H8" s="113">
        <f t="shared" si="2"/>
        <v>0</v>
      </c>
      <c r="I8" s="113">
        <f t="shared" si="2"/>
        <v>0</v>
      </c>
      <c r="J8" s="113">
        <f t="shared" si="2"/>
        <v>0</v>
      </c>
      <c r="K8" s="113">
        <f t="shared" si="2"/>
        <v>0</v>
      </c>
      <c r="L8" s="113">
        <f t="shared" si="2"/>
        <v>0</v>
      </c>
      <c r="M8" s="113">
        <f t="shared" si="2"/>
        <v>0</v>
      </c>
      <c r="N8" s="113">
        <f t="shared" si="2"/>
        <v>0</v>
      </c>
      <c r="O8" s="113">
        <f t="shared" si="2"/>
        <v>0</v>
      </c>
      <c r="P8" s="113">
        <f t="shared" si="2"/>
        <v>0</v>
      </c>
      <c r="Q8" s="763">
        <f t="shared" si="2"/>
        <v>0</v>
      </c>
      <c r="R8" s="113">
        <f t="shared" ref="R8:AF8" si="3">Q8*(1+$B8)</f>
        <v>0</v>
      </c>
      <c r="S8" s="113">
        <f t="shared" si="3"/>
        <v>0</v>
      </c>
      <c r="T8" s="113">
        <f t="shared" si="3"/>
        <v>0</v>
      </c>
      <c r="U8" s="113">
        <f t="shared" si="3"/>
        <v>0</v>
      </c>
      <c r="V8" s="113">
        <f t="shared" si="3"/>
        <v>0</v>
      </c>
      <c r="W8" s="113">
        <f t="shared" si="3"/>
        <v>0</v>
      </c>
      <c r="X8" s="113">
        <f t="shared" si="3"/>
        <v>0</v>
      </c>
      <c r="Y8" s="113">
        <f t="shared" si="3"/>
        <v>0</v>
      </c>
      <c r="Z8" s="113">
        <f t="shared" si="3"/>
        <v>0</v>
      </c>
      <c r="AA8" s="113">
        <f t="shared" si="3"/>
        <v>0</v>
      </c>
      <c r="AB8" s="113">
        <f t="shared" si="3"/>
        <v>0</v>
      </c>
      <c r="AC8" s="113">
        <f t="shared" si="3"/>
        <v>0</v>
      </c>
      <c r="AD8" s="113">
        <f t="shared" si="3"/>
        <v>0</v>
      </c>
      <c r="AE8" s="113">
        <f t="shared" si="3"/>
        <v>0</v>
      </c>
      <c r="AF8" s="113">
        <f t="shared" si="3"/>
        <v>0</v>
      </c>
    </row>
    <row r="9" spans="1:37">
      <c r="A9" s="107" t="s">
        <v>107</v>
      </c>
      <c r="B9" s="116">
        <v>0.02</v>
      </c>
      <c r="C9" s="113">
        <f>Mort!D15+Mort!D19</f>
        <v>0</v>
      </c>
      <c r="D9" s="113">
        <f t="shared" ref="D9:Q11" si="4">C9*(1+$B9)</f>
        <v>0</v>
      </c>
      <c r="E9" s="113">
        <f t="shared" si="4"/>
        <v>0</v>
      </c>
      <c r="F9" s="113">
        <f t="shared" si="4"/>
        <v>0</v>
      </c>
      <c r="G9" s="113">
        <f t="shared" si="4"/>
        <v>0</v>
      </c>
      <c r="H9" s="113">
        <f t="shared" si="4"/>
        <v>0</v>
      </c>
      <c r="I9" s="113">
        <f t="shared" si="4"/>
        <v>0</v>
      </c>
      <c r="J9" s="113">
        <f t="shared" si="4"/>
        <v>0</v>
      </c>
      <c r="K9" s="113">
        <f t="shared" si="4"/>
        <v>0</v>
      </c>
      <c r="L9" s="113">
        <f t="shared" si="4"/>
        <v>0</v>
      </c>
      <c r="M9" s="113">
        <f t="shared" si="4"/>
        <v>0</v>
      </c>
      <c r="N9" s="113">
        <f t="shared" si="4"/>
        <v>0</v>
      </c>
      <c r="O9" s="113">
        <f t="shared" si="4"/>
        <v>0</v>
      </c>
      <c r="P9" s="113">
        <f t="shared" si="4"/>
        <v>0</v>
      </c>
      <c r="Q9" s="763">
        <f t="shared" si="4"/>
        <v>0</v>
      </c>
      <c r="R9" s="113">
        <f t="shared" ref="R9:AF9" si="5">Q9*(1+$B9)</f>
        <v>0</v>
      </c>
      <c r="S9" s="113">
        <f t="shared" si="5"/>
        <v>0</v>
      </c>
      <c r="T9" s="113">
        <f t="shared" si="5"/>
        <v>0</v>
      </c>
      <c r="U9" s="113">
        <f t="shared" si="5"/>
        <v>0</v>
      </c>
      <c r="V9" s="113">
        <f t="shared" si="5"/>
        <v>0</v>
      </c>
      <c r="W9" s="113">
        <f t="shared" si="5"/>
        <v>0</v>
      </c>
      <c r="X9" s="113">
        <f t="shared" si="5"/>
        <v>0</v>
      </c>
      <c r="Y9" s="113">
        <f t="shared" si="5"/>
        <v>0</v>
      </c>
      <c r="Z9" s="113">
        <f t="shared" si="5"/>
        <v>0</v>
      </c>
      <c r="AA9" s="113">
        <f t="shared" si="5"/>
        <v>0</v>
      </c>
      <c r="AB9" s="113">
        <f t="shared" si="5"/>
        <v>0</v>
      </c>
      <c r="AC9" s="113">
        <f t="shared" si="5"/>
        <v>0</v>
      </c>
      <c r="AD9" s="113">
        <f t="shared" si="5"/>
        <v>0</v>
      </c>
      <c r="AE9" s="113">
        <f t="shared" si="5"/>
        <v>0</v>
      </c>
      <c r="AF9" s="113">
        <f t="shared" si="5"/>
        <v>0</v>
      </c>
      <c r="AG9" s="30"/>
      <c r="AH9" s="30"/>
      <c r="AI9" s="30"/>
      <c r="AJ9" s="30"/>
      <c r="AK9" s="30"/>
    </row>
    <row r="10" spans="1:37">
      <c r="A10" s="107" t="s">
        <v>141</v>
      </c>
      <c r="B10" s="116">
        <v>0.02</v>
      </c>
      <c r="C10" s="113">
        <f>Mort!D16+Mort!D20</f>
        <v>0</v>
      </c>
      <c r="D10" s="113">
        <f t="shared" si="4"/>
        <v>0</v>
      </c>
      <c r="E10" s="113">
        <f t="shared" si="4"/>
        <v>0</v>
      </c>
      <c r="F10" s="113">
        <f t="shared" si="4"/>
        <v>0</v>
      </c>
      <c r="G10" s="113">
        <f t="shared" si="4"/>
        <v>0</v>
      </c>
      <c r="H10" s="113">
        <f t="shared" si="4"/>
        <v>0</v>
      </c>
      <c r="I10" s="113">
        <f t="shared" si="4"/>
        <v>0</v>
      </c>
      <c r="J10" s="113">
        <f t="shared" si="4"/>
        <v>0</v>
      </c>
      <c r="K10" s="113">
        <f t="shared" si="4"/>
        <v>0</v>
      </c>
      <c r="L10" s="113">
        <f t="shared" si="4"/>
        <v>0</v>
      </c>
      <c r="M10" s="113">
        <f t="shared" si="4"/>
        <v>0</v>
      </c>
      <c r="N10" s="113">
        <f t="shared" si="4"/>
        <v>0</v>
      </c>
      <c r="O10" s="113">
        <f t="shared" si="4"/>
        <v>0</v>
      </c>
      <c r="P10" s="113">
        <f t="shared" si="4"/>
        <v>0</v>
      </c>
      <c r="Q10" s="763">
        <f t="shared" si="4"/>
        <v>0</v>
      </c>
      <c r="R10" s="113">
        <f t="shared" ref="R10:AF10" si="6">Q10*(1+$B10)</f>
        <v>0</v>
      </c>
      <c r="S10" s="113">
        <f t="shared" si="6"/>
        <v>0</v>
      </c>
      <c r="T10" s="113">
        <f t="shared" si="6"/>
        <v>0</v>
      </c>
      <c r="U10" s="113">
        <f t="shared" si="6"/>
        <v>0</v>
      </c>
      <c r="V10" s="113">
        <f t="shared" si="6"/>
        <v>0</v>
      </c>
      <c r="W10" s="113">
        <f t="shared" si="6"/>
        <v>0</v>
      </c>
      <c r="X10" s="113">
        <f t="shared" si="6"/>
        <v>0</v>
      </c>
      <c r="Y10" s="113">
        <f t="shared" si="6"/>
        <v>0</v>
      </c>
      <c r="Z10" s="113">
        <f t="shared" si="6"/>
        <v>0</v>
      </c>
      <c r="AA10" s="113">
        <f t="shared" si="6"/>
        <v>0</v>
      </c>
      <c r="AB10" s="113">
        <f t="shared" si="6"/>
        <v>0</v>
      </c>
      <c r="AC10" s="113">
        <f t="shared" si="6"/>
        <v>0</v>
      </c>
      <c r="AD10" s="113">
        <f t="shared" si="6"/>
        <v>0</v>
      </c>
      <c r="AE10" s="113">
        <f t="shared" si="6"/>
        <v>0</v>
      </c>
      <c r="AF10" s="113">
        <f t="shared" si="6"/>
        <v>0</v>
      </c>
      <c r="AG10" s="30"/>
      <c r="AH10" s="30"/>
      <c r="AI10" s="30"/>
      <c r="AJ10" s="30"/>
      <c r="AK10" s="30"/>
    </row>
    <row r="11" spans="1:37">
      <c r="A11" s="107" t="s">
        <v>98</v>
      </c>
      <c r="B11" s="116">
        <v>0.02</v>
      </c>
      <c r="C11" s="113">
        <f>Mort!D17+Mort!D21</f>
        <v>0</v>
      </c>
      <c r="D11" s="113">
        <f t="shared" si="4"/>
        <v>0</v>
      </c>
      <c r="E11" s="113">
        <f t="shared" si="4"/>
        <v>0</v>
      </c>
      <c r="F11" s="113">
        <f t="shared" si="4"/>
        <v>0</v>
      </c>
      <c r="G11" s="113">
        <f t="shared" si="4"/>
        <v>0</v>
      </c>
      <c r="H11" s="113">
        <f t="shared" si="4"/>
        <v>0</v>
      </c>
      <c r="I11" s="113">
        <f t="shared" si="4"/>
        <v>0</v>
      </c>
      <c r="J11" s="113">
        <f t="shared" si="4"/>
        <v>0</v>
      </c>
      <c r="K11" s="113">
        <f t="shared" si="4"/>
        <v>0</v>
      </c>
      <c r="L11" s="113">
        <f t="shared" si="4"/>
        <v>0</v>
      </c>
      <c r="M11" s="113">
        <f t="shared" si="4"/>
        <v>0</v>
      </c>
      <c r="N11" s="113">
        <f t="shared" si="4"/>
        <v>0</v>
      </c>
      <c r="O11" s="113">
        <f t="shared" si="4"/>
        <v>0</v>
      </c>
      <c r="P11" s="113">
        <f t="shared" si="4"/>
        <v>0</v>
      </c>
      <c r="Q11" s="763">
        <f t="shared" si="4"/>
        <v>0</v>
      </c>
      <c r="R11" s="113">
        <f t="shared" ref="R11:AF11" si="7">Q11*(1+$B11)</f>
        <v>0</v>
      </c>
      <c r="S11" s="113">
        <f t="shared" si="7"/>
        <v>0</v>
      </c>
      <c r="T11" s="113">
        <f t="shared" si="7"/>
        <v>0</v>
      </c>
      <c r="U11" s="113">
        <f t="shared" si="7"/>
        <v>0</v>
      </c>
      <c r="V11" s="113">
        <f t="shared" si="7"/>
        <v>0</v>
      </c>
      <c r="W11" s="113">
        <f t="shared" si="7"/>
        <v>0</v>
      </c>
      <c r="X11" s="113">
        <f t="shared" si="7"/>
        <v>0</v>
      </c>
      <c r="Y11" s="113">
        <f t="shared" si="7"/>
        <v>0</v>
      </c>
      <c r="Z11" s="113">
        <f t="shared" si="7"/>
        <v>0</v>
      </c>
      <c r="AA11" s="113">
        <f t="shared" si="7"/>
        <v>0</v>
      </c>
      <c r="AB11" s="113">
        <f t="shared" si="7"/>
        <v>0</v>
      </c>
      <c r="AC11" s="113">
        <f t="shared" si="7"/>
        <v>0</v>
      </c>
      <c r="AD11" s="113">
        <f t="shared" si="7"/>
        <v>0</v>
      </c>
      <c r="AE11" s="113">
        <f t="shared" si="7"/>
        <v>0</v>
      </c>
      <c r="AF11" s="113">
        <f t="shared" si="7"/>
        <v>0</v>
      </c>
      <c r="AG11" s="30"/>
      <c r="AH11" s="30"/>
      <c r="AI11" s="30"/>
      <c r="AJ11" s="30"/>
      <c r="AK11" s="30"/>
    </row>
    <row r="12" spans="1:37" s="27" customFormat="1" ht="15.75">
      <c r="A12" s="85" t="s">
        <v>79</v>
      </c>
      <c r="C12" s="84">
        <f t="shared" ref="C12:N12" si="8">SUM(C7:C11)</f>
        <v>0</v>
      </c>
      <c r="D12" s="84">
        <f t="shared" si="8"/>
        <v>0</v>
      </c>
      <c r="E12" s="84">
        <f t="shared" si="8"/>
        <v>0</v>
      </c>
      <c r="F12" s="84">
        <f t="shared" si="8"/>
        <v>0</v>
      </c>
      <c r="G12" s="84">
        <f t="shared" si="8"/>
        <v>0</v>
      </c>
      <c r="H12" s="84">
        <f t="shared" si="8"/>
        <v>0</v>
      </c>
      <c r="I12" s="84">
        <f t="shared" si="8"/>
        <v>0</v>
      </c>
      <c r="J12" s="84">
        <f t="shared" si="8"/>
        <v>0</v>
      </c>
      <c r="K12" s="84">
        <f t="shared" si="8"/>
        <v>0</v>
      </c>
      <c r="L12" s="84">
        <f t="shared" si="8"/>
        <v>0</v>
      </c>
      <c r="M12" s="84">
        <f t="shared" si="8"/>
        <v>0</v>
      </c>
      <c r="N12" s="84">
        <f t="shared" si="8"/>
        <v>0</v>
      </c>
      <c r="O12" s="84">
        <f>SUM(O7:O11)</f>
        <v>0</v>
      </c>
      <c r="P12" s="84">
        <f>SUM(P7:P11)</f>
        <v>0</v>
      </c>
      <c r="Q12" s="764">
        <f>SUM(Q7:Q11)</f>
        <v>0</v>
      </c>
      <c r="R12" s="84">
        <f t="shared" ref="R12:AF12" si="9">SUM(R7:R11)</f>
        <v>0</v>
      </c>
      <c r="S12" s="84">
        <f t="shared" si="9"/>
        <v>0</v>
      </c>
      <c r="T12" s="84">
        <f t="shared" si="9"/>
        <v>0</v>
      </c>
      <c r="U12" s="84">
        <f t="shared" si="9"/>
        <v>0</v>
      </c>
      <c r="V12" s="84">
        <f t="shared" si="9"/>
        <v>0</v>
      </c>
      <c r="W12" s="84">
        <f t="shared" si="9"/>
        <v>0</v>
      </c>
      <c r="X12" s="84">
        <f t="shared" si="9"/>
        <v>0</v>
      </c>
      <c r="Y12" s="84">
        <f t="shared" si="9"/>
        <v>0</v>
      </c>
      <c r="Z12" s="84">
        <f t="shared" si="9"/>
        <v>0</v>
      </c>
      <c r="AA12" s="84">
        <f t="shared" si="9"/>
        <v>0</v>
      </c>
      <c r="AB12" s="84">
        <f t="shared" si="9"/>
        <v>0</v>
      </c>
      <c r="AC12" s="84">
        <f t="shared" si="9"/>
        <v>0</v>
      </c>
      <c r="AD12" s="84">
        <f t="shared" si="9"/>
        <v>0</v>
      </c>
      <c r="AE12" s="84">
        <f t="shared" si="9"/>
        <v>0</v>
      </c>
      <c r="AF12" s="84">
        <f t="shared" si="9"/>
        <v>0</v>
      </c>
    </row>
    <row r="13" spans="1:37">
      <c r="A13" s="107"/>
      <c r="O13" s="113"/>
      <c r="P13" s="113"/>
      <c r="Q13" s="763"/>
      <c r="R13" s="113"/>
      <c r="S13" s="113"/>
      <c r="T13" s="113"/>
      <c r="U13" s="113"/>
      <c r="V13" s="113"/>
      <c r="W13" s="113"/>
      <c r="X13" s="113"/>
      <c r="Y13" s="113"/>
      <c r="Z13" s="113"/>
      <c r="AA13" s="113"/>
      <c r="AB13" s="113"/>
      <c r="AC13" s="113"/>
      <c r="AD13" s="113"/>
      <c r="AE13" s="113"/>
      <c r="AF13" s="113"/>
    </row>
    <row r="14" spans="1:37" ht="15.75">
      <c r="A14" s="94" t="s">
        <v>157</v>
      </c>
      <c r="O14" s="113"/>
      <c r="P14" s="113"/>
      <c r="Q14" s="763"/>
      <c r="R14" s="113"/>
      <c r="S14" s="113"/>
      <c r="T14" s="113"/>
      <c r="U14" s="113"/>
      <c r="V14" s="113"/>
      <c r="W14" s="113"/>
      <c r="X14" s="113"/>
      <c r="Y14" s="113"/>
      <c r="Z14" s="113"/>
      <c r="AA14" s="113"/>
      <c r="AB14" s="113"/>
      <c r="AC14" s="113"/>
      <c r="AD14" s="113"/>
      <c r="AE14" s="113"/>
      <c r="AF14" s="113"/>
    </row>
    <row r="15" spans="1:37">
      <c r="A15" s="107" t="s">
        <v>80</v>
      </c>
      <c r="B15" s="116">
        <v>0.03</v>
      </c>
      <c r="C15" s="113" t="e">
        <f ca="1">Mort!D26+Mort!D27-'M and O'!C13-'M and O'!D37</f>
        <v>#DIV/0!</v>
      </c>
      <c r="D15" s="113" t="e">
        <f t="shared" ref="D15:Q18" ca="1" si="10">C15*(1+$B15)</f>
        <v>#DIV/0!</v>
      </c>
      <c r="E15" s="113" t="e">
        <f t="shared" ca="1" si="10"/>
        <v>#DIV/0!</v>
      </c>
      <c r="F15" s="113" t="e">
        <f t="shared" ca="1" si="10"/>
        <v>#DIV/0!</v>
      </c>
      <c r="G15" s="113" t="e">
        <f t="shared" ca="1" si="10"/>
        <v>#DIV/0!</v>
      </c>
      <c r="H15" s="113" t="e">
        <f t="shared" ca="1" si="10"/>
        <v>#DIV/0!</v>
      </c>
      <c r="I15" s="113" t="e">
        <f t="shared" ca="1" si="10"/>
        <v>#DIV/0!</v>
      </c>
      <c r="J15" s="113" t="e">
        <f t="shared" ca="1" si="10"/>
        <v>#DIV/0!</v>
      </c>
      <c r="K15" s="113" t="e">
        <f t="shared" ca="1" si="10"/>
        <v>#DIV/0!</v>
      </c>
      <c r="L15" s="113" t="e">
        <f t="shared" ca="1" si="10"/>
        <v>#DIV/0!</v>
      </c>
      <c r="M15" s="113" t="e">
        <f t="shared" ca="1" si="10"/>
        <v>#DIV/0!</v>
      </c>
      <c r="N15" s="113" t="e">
        <f t="shared" ca="1" si="10"/>
        <v>#DIV/0!</v>
      </c>
      <c r="O15" s="113" t="e">
        <f t="shared" ca="1" si="10"/>
        <v>#DIV/0!</v>
      </c>
      <c r="P15" s="113" t="e">
        <f t="shared" ca="1" si="10"/>
        <v>#DIV/0!</v>
      </c>
      <c r="Q15" s="763" t="e">
        <f t="shared" ca="1" si="10"/>
        <v>#DIV/0!</v>
      </c>
      <c r="R15" s="113" t="e">
        <f t="shared" ref="R15:AF16" ca="1" si="11">Q15*(1+$B15)</f>
        <v>#DIV/0!</v>
      </c>
      <c r="S15" s="113" t="e">
        <f t="shared" ca="1" si="11"/>
        <v>#DIV/0!</v>
      </c>
      <c r="T15" s="113" t="e">
        <f t="shared" ca="1" si="11"/>
        <v>#DIV/0!</v>
      </c>
      <c r="U15" s="113" t="e">
        <f t="shared" ca="1" si="11"/>
        <v>#DIV/0!</v>
      </c>
      <c r="V15" s="113" t="e">
        <f t="shared" ca="1" si="11"/>
        <v>#DIV/0!</v>
      </c>
      <c r="W15" s="113" t="e">
        <f t="shared" ca="1" si="11"/>
        <v>#DIV/0!</v>
      </c>
      <c r="X15" s="113" t="e">
        <f t="shared" ca="1" si="11"/>
        <v>#DIV/0!</v>
      </c>
      <c r="Y15" s="113" t="e">
        <f t="shared" ca="1" si="11"/>
        <v>#DIV/0!</v>
      </c>
      <c r="Z15" s="113" t="e">
        <f t="shared" ca="1" si="11"/>
        <v>#DIV/0!</v>
      </c>
      <c r="AA15" s="113" t="e">
        <f t="shared" ca="1" si="11"/>
        <v>#DIV/0!</v>
      </c>
      <c r="AB15" s="113" t="e">
        <f t="shared" ca="1" si="11"/>
        <v>#DIV/0!</v>
      </c>
      <c r="AC15" s="113" t="e">
        <f t="shared" ca="1" si="11"/>
        <v>#DIV/0!</v>
      </c>
      <c r="AD15" s="113" t="e">
        <f t="shared" ca="1" si="11"/>
        <v>#DIV/0!</v>
      </c>
      <c r="AE15" s="113" t="e">
        <f t="shared" ca="1" si="11"/>
        <v>#DIV/0!</v>
      </c>
      <c r="AF15" s="113" t="e">
        <f t="shared" ca="1" si="11"/>
        <v>#DIV/0!</v>
      </c>
    </row>
    <row r="16" spans="1:37">
      <c r="A16" s="107" t="s">
        <v>464</v>
      </c>
      <c r="B16" s="116">
        <v>0.02</v>
      </c>
      <c r="C16" s="113">
        <f>'M and O'!C13</f>
        <v>0</v>
      </c>
      <c r="D16" s="113">
        <f t="shared" si="10"/>
        <v>0</v>
      </c>
      <c r="E16" s="113">
        <f t="shared" ref="E16" si="12">D16*(1+$B16)</f>
        <v>0</v>
      </c>
      <c r="F16" s="113">
        <f t="shared" ref="F16" si="13">E16*(1+$B16)</f>
        <v>0</v>
      </c>
      <c r="G16" s="113">
        <f t="shared" ref="G16" si="14">F16*(1+$B16)</f>
        <v>0</v>
      </c>
      <c r="H16" s="113">
        <f t="shared" ref="H16" si="15">G16*(1+$B16)</f>
        <v>0</v>
      </c>
      <c r="I16" s="113">
        <f t="shared" ref="I16" si="16">H16*(1+$B16)</f>
        <v>0</v>
      </c>
      <c r="J16" s="113">
        <f t="shared" ref="J16" si="17">I16*(1+$B16)</f>
        <v>0</v>
      </c>
      <c r="K16" s="113">
        <f t="shared" ref="K16" si="18">J16*(1+$B16)</f>
        <v>0</v>
      </c>
      <c r="L16" s="113">
        <f t="shared" ref="L16" si="19">K16*(1+$B16)</f>
        <v>0</v>
      </c>
      <c r="M16" s="113">
        <f t="shared" ref="M16" si="20">L16*(1+$B16)</f>
        <v>0</v>
      </c>
      <c r="N16" s="113">
        <f t="shared" ref="N16" si="21">M16*(1+$B16)</f>
        <v>0</v>
      </c>
      <c r="O16" s="113">
        <f t="shared" ref="O16" si="22">N16*(1+$B16)</f>
        <v>0</v>
      </c>
      <c r="P16" s="113">
        <f t="shared" ref="P16" si="23">O16*(1+$B16)</f>
        <v>0</v>
      </c>
      <c r="Q16" s="763">
        <f t="shared" ref="Q16" si="24">P16*(1+$B16)</f>
        <v>0</v>
      </c>
      <c r="R16" s="113">
        <f t="shared" si="11"/>
        <v>0</v>
      </c>
      <c r="S16" s="113">
        <f t="shared" si="11"/>
        <v>0</v>
      </c>
      <c r="T16" s="113">
        <f t="shared" si="11"/>
        <v>0</v>
      </c>
      <c r="U16" s="113">
        <f t="shared" si="11"/>
        <v>0</v>
      </c>
      <c r="V16" s="113">
        <f t="shared" si="11"/>
        <v>0</v>
      </c>
      <c r="W16" s="113">
        <f t="shared" si="11"/>
        <v>0</v>
      </c>
      <c r="X16" s="113">
        <f t="shared" si="11"/>
        <v>0</v>
      </c>
      <c r="Y16" s="113">
        <f t="shared" si="11"/>
        <v>0</v>
      </c>
      <c r="Z16" s="113">
        <f t="shared" si="11"/>
        <v>0</v>
      </c>
      <c r="AA16" s="113">
        <f t="shared" si="11"/>
        <v>0</v>
      </c>
      <c r="AB16" s="113">
        <f t="shared" si="11"/>
        <v>0</v>
      </c>
      <c r="AC16" s="113">
        <f t="shared" si="11"/>
        <v>0</v>
      </c>
      <c r="AD16" s="113">
        <f t="shared" si="11"/>
        <v>0</v>
      </c>
      <c r="AE16" s="113">
        <f t="shared" si="11"/>
        <v>0</v>
      </c>
      <c r="AF16" s="113">
        <f t="shared" si="11"/>
        <v>0</v>
      </c>
    </row>
    <row r="17" spans="1:32">
      <c r="A17" s="107" t="s">
        <v>81</v>
      </c>
      <c r="B17" s="116">
        <v>0.03</v>
      </c>
      <c r="C17" s="113">
        <f>Mort!D28</f>
        <v>0</v>
      </c>
      <c r="D17" s="113">
        <f t="shared" si="10"/>
        <v>0</v>
      </c>
      <c r="E17" s="113">
        <f t="shared" si="10"/>
        <v>0</v>
      </c>
      <c r="F17" s="113">
        <f t="shared" si="10"/>
        <v>0</v>
      </c>
      <c r="G17" s="113">
        <f t="shared" si="10"/>
        <v>0</v>
      </c>
      <c r="H17" s="113">
        <f t="shared" si="10"/>
        <v>0</v>
      </c>
      <c r="I17" s="113">
        <f t="shared" si="10"/>
        <v>0</v>
      </c>
      <c r="J17" s="113">
        <f t="shared" si="10"/>
        <v>0</v>
      </c>
      <c r="K17" s="113">
        <f t="shared" si="10"/>
        <v>0</v>
      </c>
      <c r="L17" s="113">
        <f t="shared" si="10"/>
        <v>0</v>
      </c>
      <c r="M17" s="113">
        <f t="shared" si="10"/>
        <v>0</v>
      </c>
      <c r="N17" s="113">
        <f t="shared" si="10"/>
        <v>0</v>
      </c>
      <c r="O17" s="113">
        <f t="shared" si="10"/>
        <v>0</v>
      </c>
      <c r="P17" s="113">
        <f t="shared" si="10"/>
        <v>0</v>
      </c>
      <c r="Q17" s="763">
        <f t="shared" si="10"/>
        <v>0</v>
      </c>
      <c r="R17" s="113">
        <f t="shared" ref="R17:AF18" si="25">Q17*(1+$B17)</f>
        <v>0</v>
      </c>
      <c r="S17" s="113">
        <f t="shared" si="25"/>
        <v>0</v>
      </c>
      <c r="T17" s="113">
        <f t="shared" si="25"/>
        <v>0</v>
      </c>
      <c r="U17" s="113">
        <f t="shared" si="25"/>
        <v>0</v>
      </c>
      <c r="V17" s="113">
        <f t="shared" si="25"/>
        <v>0</v>
      </c>
      <c r="W17" s="113">
        <f t="shared" si="25"/>
        <v>0</v>
      </c>
      <c r="X17" s="113">
        <f t="shared" si="25"/>
        <v>0</v>
      </c>
      <c r="Y17" s="113">
        <f t="shared" si="25"/>
        <v>0</v>
      </c>
      <c r="Z17" s="113">
        <f t="shared" si="25"/>
        <v>0</v>
      </c>
      <c r="AA17" s="113">
        <f t="shared" si="25"/>
        <v>0</v>
      </c>
      <c r="AB17" s="113">
        <f t="shared" si="25"/>
        <v>0</v>
      </c>
      <c r="AC17" s="113">
        <f t="shared" si="25"/>
        <v>0</v>
      </c>
      <c r="AD17" s="113">
        <f t="shared" si="25"/>
        <v>0</v>
      </c>
      <c r="AE17" s="113">
        <f t="shared" si="25"/>
        <v>0</v>
      </c>
      <c r="AF17" s="113">
        <f t="shared" si="25"/>
        <v>0</v>
      </c>
    </row>
    <row r="18" spans="1:32">
      <c r="A18" s="681" t="s">
        <v>507</v>
      </c>
      <c r="B18" s="116">
        <v>0</v>
      </c>
      <c r="C18" s="113" t="e">
        <f ca="1">'M and O'!C37</f>
        <v>#DIV/0!</v>
      </c>
      <c r="D18" s="113" t="e">
        <f t="shared" ca="1" si="10"/>
        <v>#DIV/0!</v>
      </c>
      <c r="E18" s="113" t="e">
        <f t="shared" ref="E18" ca="1" si="26">D18*(1+$B18)</f>
        <v>#DIV/0!</v>
      </c>
      <c r="F18" s="113" t="e">
        <f t="shared" ref="F18" ca="1" si="27">E18*(1+$B18)</f>
        <v>#DIV/0!</v>
      </c>
      <c r="G18" s="113" t="e">
        <f t="shared" ref="G18" ca="1" si="28">F18*(1+$B18)</f>
        <v>#DIV/0!</v>
      </c>
      <c r="H18" s="113" t="e">
        <f t="shared" ref="H18" ca="1" si="29">G18*(1+$B18)</f>
        <v>#DIV/0!</v>
      </c>
      <c r="I18" s="113" t="e">
        <f t="shared" ref="I18" ca="1" si="30">H18*(1+$B18)</f>
        <v>#DIV/0!</v>
      </c>
      <c r="J18" s="113" t="e">
        <f t="shared" ref="J18" ca="1" si="31">I18*(1+$B18)</f>
        <v>#DIV/0!</v>
      </c>
      <c r="K18" s="113" t="e">
        <f t="shared" ref="K18" ca="1" si="32">J18*(1+$B18)</f>
        <v>#DIV/0!</v>
      </c>
      <c r="L18" s="113" t="e">
        <f t="shared" ref="L18" ca="1" si="33">K18*(1+$B18)</f>
        <v>#DIV/0!</v>
      </c>
      <c r="M18" s="113" t="e">
        <f t="shared" ref="M18" ca="1" si="34">L18*(1+$B18)</f>
        <v>#DIV/0!</v>
      </c>
      <c r="N18" s="113" t="e">
        <f t="shared" ref="N18" ca="1" si="35">M18*(1+$B18)</f>
        <v>#DIV/0!</v>
      </c>
      <c r="O18" s="113" t="e">
        <f t="shared" ref="O18" ca="1" si="36">N18*(1+$B18)</f>
        <v>#DIV/0!</v>
      </c>
      <c r="P18" s="113" t="e">
        <f t="shared" ref="P18" ca="1" si="37">O18*(1+$B18)</f>
        <v>#DIV/0!</v>
      </c>
      <c r="Q18" s="763" t="e">
        <f t="shared" ref="Q18" ca="1" si="38">P18*(1+$B18)</f>
        <v>#DIV/0!</v>
      </c>
      <c r="R18" s="113" t="e">
        <f t="shared" ca="1" si="25"/>
        <v>#DIV/0!</v>
      </c>
      <c r="S18" s="113" t="e">
        <f t="shared" ca="1" si="25"/>
        <v>#DIV/0!</v>
      </c>
      <c r="T18" s="113" t="e">
        <f t="shared" ca="1" si="25"/>
        <v>#DIV/0!</v>
      </c>
      <c r="U18" s="113" t="e">
        <f t="shared" ca="1" si="25"/>
        <v>#DIV/0!</v>
      </c>
      <c r="V18" s="113" t="e">
        <f t="shared" ca="1" si="25"/>
        <v>#DIV/0!</v>
      </c>
      <c r="W18" s="113" t="e">
        <f t="shared" ca="1" si="25"/>
        <v>#DIV/0!</v>
      </c>
      <c r="X18" s="113" t="e">
        <f t="shared" ca="1" si="25"/>
        <v>#DIV/0!</v>
      </c>
      <c r="Y18" s="113" t="e">
        <f t="shared" ca="1" si="25"/>
        <v>#DIV/0!</v>
      </c>
      <c r="Z18" s="113" t="e">
        <f t="shared" ca="1" si="25"/>
        <v>#DIV/0!</v>
      </c>
      <c r="AA18" s="113" t="e">
        <f t="shared" ca="1" si="25"/>
        <v>#DIV/0!</v>
      </c>
      <c r="AB18" s="113" t="e">
        <f t="shared" ca="1" si="25"/>
        <v>#DIV/0!</v>
      </c>
      <c r="AC18" s="113" t="e">
        <f t="shared" ca="1" si="25"/>
        <v>#DIV/0!</v>
      </c>
      <c r="AD18" s="113" t="e">
        <f t="shared" ca="1" si="25"/>
        <v>#DIV/0!</v>
      </c>
      <c r="AE18" s="113" t="e">
        <f t="shared" ca="1" si="25"/>
        <v>#DIV/0!</v>
      </c>
      <c r="AF18" s="113" t="e">
        <f t="shared" ca="1" si="25"/>
        <v>#DIV/0!</v>
      </c>
    </row>
    <row r="19" spans="1:32" s="27" customFormat="1" ht="15.75">
      <c r="A19" s="85" t="s">
        <v>24</v>
      </c>
      <c r="C19" s="84" t="e">
        <f ca="1">SUM(C15:C18)</f>
        <v>#DIV/0!</v>
      </c>
      <c r="D19" s="84" t="e">
        <f t="shared" ref="D19:AF19" ca="1" si="39">SUM(D15:D18)</f>
        <v>#DIV/0!</v>
      </c>
      <c r="E19" s="84" t="e">
        <f t="shared" ca="1" si="39"/>
        <v>#DIV/0!</v>
      </c>
      <c r="F19" s="84" t="e">
        <f t="shared" ca="1" si="39"/>
        <v>#DIV/0!</v>
      </c>
      <c r="G19" s="84" t="e">
        <f t="shared" ca="1" si="39"/>
        <v>#DIV/0!</v>
      </c>
      <c r="H19" s="84" t="e">
        <f t="shared" ca="1" si="39"/>
        <v>#DIV/0!</v>
      </c>
      <c r="I19" s="84" t="e">
        <f t="shared" ca="1" si="39"/>
        <v>#DIV/0!</v>
      </c>
      <c r="J19" s="84" t="e">
        <f t="shared" ca="1" si="39"/>
        <v>#DIV/0!</v>
      </c>
      <c r="K19" s="84" t="e">
        <f t="shared" ca="1" si="39"/>
        <v>#DIV/0!</v>
      </c>
      <c r="L19" s="84" t="e">
        <f t="shared" ca="1" si="39"/>
        <v>#DIV/0!</v>
      </c>
      <c r="M19" s="84" t="e">
        <f t="shared" ca="1" si="39"/>
        <v>#DIV/0!</v>
      </c>
      <c r="N19" s="84" t="e">
        <f t="shared" ca="1" si="39"/>
        <v>#DIV/0!</v>
      </c>
      <c r="O19" s="84" t="e">
        <f t="shared" ca="1" si="39"/>
        <v>#DIV/0!</v>
      </c>
      <c r="P19" s="84" t="e">
        <f t="shared" ca="1" si="39"/>
        <v>#DIV/0!</v>
      </c>
      <c r="Q19" s="764" t="e">
        <f t="shared" ca="1" si="39"/>
        <v>#DIV/0!</v>
      </c>
      <c r="R19" s="84" t="e">
        <f t="shared" ca="1" si="39"/>
        <v>#DIV/0!</v>
      </c>
      <c r="S19" s="84" t="e">
        <f t="shared" ca="1" si="39"/>
        <v>#DIV/0!</v>
      </c>
      <c r="T19" s="84" t="e">
        <f t="shared" ca="1" si="39"/>
        <v>#DIV/0!</v>
      </c>
      <c r="U19" s="84" t="e">
        <f t="shared" ca="1" si="39"/>
        <v>#DIV/0!</v>
      </c>
      <c r="V19" s="84" t="e">
        <f t="shared" ca="1" si="39"/>
        <v>#DIV/0!</v>
      </c>
      <c r="W19" s="84" t="e">
        <f t="shared" ca="1" si="39"/>
        <v>#DIV/0!</v>
      </c>
      <c r="X19" s="84" t="e">
        <f t="shared" ca="1" si="39"/>
        <v>#DIV/0!</v>
      </c>
      <c r="Y19" s="84" t="e">
        <f t="shared" ca="1" si="39"/>
        <v>#DIV/0!</v>
      </c>
      <c r="Z19" s="84" t="e">
        <f t="shared" ca="1" si="39"/>
        <v>#DIV/0!</v>
      </c>
      <c r="AA19" s="84" t="e">
        <f t="shared" ca="1" si="39"/>
        <v>#DIV/0!</v>
      </c>
      <c r="AB19" s="84" t="e">
        <f t="shared" ca="1" si="39"/>
        <v>#DIV/0!</v>
      </c>
      <c r="AC19" s="84" t="e">
        <f t="shared" ca="1" si="39"/>
        <v>#DIV/0!</v>
      </c>
      <c r="AD19" s="84" t="e">
        <f t="shared" ca="1" si="39"/>
        <v>#DIV/0!</v>
      </c>
      <c r="AE19" s="84" t="e">
        <f t="shared" ca="1" si="39"/>
        <v>#DIV/0!</v>
      </c>
      <c r="AF19" s="84" t="e">
        <f t="shared" ca="1" si="39"/>
        <v>#DIV/0!</v>
      </c>
    </row>
    <row r="20" spans="1:32">
      <c r="A20" s="107"/>
      <c r="O20" s="113"/>
      <c r="P20" s="113"/>
      <c r="Q20" s="763"/>
      <c r="R20" s="113"/>
      <c r="S20" s="113"/>
      <c r="T20" s="113"/>
      <c r="U20" s="113"/>
      <c r="V20" s="113"/>
      <c r="W20" s="113"/>
      <c r="X20" s="113"/>
      <c r="Y20" s="113"/>
      <c r="Z20" s="113"/>
      <c r="AA20" s="113"/>
      <c r="AB20" s="113"/>
      <c r="AC20" s="113"/>
      <c r="AD20" s="113"/>
      <c r="AE20" s="113"/>
      <c r="AF20" s="113"/>
    </row>
    <row r="21" spans="1:32" s="27" customFormat="1" ht="15.75">
      <c r="A21" s="94" t="s">
        <v>82</v>
      </c>
      <c r="C21" s="84" t="e">
        <f t="shared" ref="C21:N21" ca="1" si="40">C12-C19</f>
        <v>#DIV/0!</v>
      </c>
      <c r="D21" s="84" t="e">
        <f t="shared" ca="1" si="40"/>
        <v>#DIV/0!</v>
      </c>
      <c r="E21" s="84" t="e">
        <f t="shared" ca="1" si="40"/>
        <v>#DIV/0!</v>
      </c>
      <c r="F21" s="84" t="e">
        <f t="shared" ca="1" si="40"/>
        <v>#DIV/0!</v>
      </c>
      <c r="G21" s="84" t="e">
        <f t="shared" ca="1" si="40"/>
        <v>#DIV/0!</v>
      </c>
      <c r="H21" s="84" t="e">
        <f t="shared" ca="1" si="40"/>
        <v>#DIV/0!</v>
      </c>
      <c r="I21" s="84" t="e">
        <f t="shared" ca="1" si="40"/>
        <v>#DIV/0!</v>
      </c>
      <c r="J21" s="84" t="e">
        <f t="shared" ca="1" si="40"/>
        <v>#DIV/0!</v>
      </c>
      <c r="K21" s="84" t="e">
        <f t="shared" ca="1" si="40"/>
        <v>#DIV/0!</v>
      </c>
      <c r="L21" s="84" t="e">
        <f t="shared" ca="1" si="40"/>
        <v>#DIV/0!</v>
      </c>
      <c r="M21" s="84" t="e">
        <f t="shared" ca="1" si="40"/>
        <v>#DIV/0!</v>
      </c>
      <c r="N21" s="84" t="e">
        <f t="shared" ca="1" si="40"/>
        <v>#DIV/0!</v>
      </c>
      <c r="O21" s="84" t="e">
        <f ca="1">O12-O19</f>
        <v>#DIV/0!</v>
      </c>
      <c r="P21" s="84" t="e">
        <f ca="1">P12-P19</f>
        <v>#DIV/0!</v>
      </c>
      <c r="Q21" s="764" t="e">
        <f ca="1">Q12-Q19</f>
        <v>#DIV/0!</v>
      </c>
      <c r="R21" s="84" t="e">
        <f t="shared" ref="R21:AF21" ca="1" si="41">R12-R19</f>
        <v>#DIV/0!</v>
      </c>
      <c r="S21" s="84" t="e">
        <f t="shared" ca="1" si="41"/>
        <v>#DIV/0!</v>
      </c>
      <c r="T21" s="84" t="e">
        <f t="shared" ca="1" si="41"/>
        <v>#DIV/0!</v>
      </c>
      <c r="U21" s="84" t="e">
        <f t="shared" ca="1" si="41"/>
        <v>#DIV/0!</v>
      </c>
      <c r="V21" s="84" t="e">
        <f t="shared" ca="1" si="41"/>
        <v>#DIV/0!</v>
      </c>
      <c r="W21" s="84" t="e">
        <f t="shared" ca="1" si="41"/>
        <v>#DIV/0!</v>
      </c>
      <c r="X21" s="84" t="e">
        <f t="shared" ca="1" si="41"/>
        <v>#DIV/0!</v>
      </c>
      <c r="Y21" s="84" t="e">
        <f t="shared" ca="1" si="41"/>
        <v>#DIV/0!</v>
      </c>
      <c r="Z21" s="84" t="e">
        <f t="shared" ca="1" si="41"/>
        <v>#DIV/0!</v>
      </c>
      <c r="AA21" s="84" t="e">
        <f t="shared" ca="1" si="41"/>
        <v>#DIV/0!</v>
      </c>
      <c r="AB21" s="84" t="e">
        <f t="shared" ca="1" si="41"/>
        <v>#DIV/0!</v>
      </c>
      <c r="AC21" s="84" t="e">
        <f t="shared" ca="1" si="41"/>
        <v>#DIV/0!</v>
      </c>
      <c r="AD21" s="84" t="e">
        <f t="shared" ca="1" si="41"/>
        <v>#DIV/0!</v>
      </c>
      <c r="AE21" s="84" t="e">
        <f t="shared" ca="1" si="41"/>
        <v>#DIV/0!</v>
      </c>
      <c r="AF21" s="84" t="e">
        <f t="shared" ca="1" si="41"/>
        <v>#DIV/0!</v>
      </c>
    </row>
    <row r="22" spans="1:32" s="27" customFormat="1" ht="15.75">
      <c r="A22" s="94"/>
      <c r="C22" s="84"/>
      <c r="D22" s="84"/>
      <c r="E22" s="84"/>
      <c r="F22" s="84"/>
      <c r="G22" s="84"/>
      <c r="H22" s="84"/>
      <c r="I22" s="84"/>
      <c r="J22" s="84"/>
      <c r="K22" s="84"/>
      <c r="L22" s="84"/>
      <c r="M22" s="84"/>
      <c r="N22" s="84"/>
      <c r="O22" s="84"/>
      <c r="P22" s="84"/>
      <c r="Q22" s="764"/>
      <c r="R22" s="84"/>
      <c r="S22" s="84"/>
      <c r="T22" s="84"/>
      <c r="U22" s="84"/>
      <c r="V22" s="84"/>
      <c r="W22" s="84"/>
      <c r="X22" s="84"/>
      <c r="Y22" s="84"/>
      <c r="Z22" s="84"/>
      <c r="AA22" s="84"/>
      <c r="AB22" s="84"/>
      <c r="AC22" s="84"/>
      <c r="AD22" s="84"/>
      <c r="AE22" s="84"/>
      <c r="AF22" s="84"/>
    </row>
    <row r="23" spans="1:32" s="40" customFormat="1">
      <c r="A23" s="85" t="s">
        <v>40</v>
      </c>
      <c r="C23" s="114" t="e">
        <f ca="1">Mort!L37</f>
        <v>#DIV/0!</v>
      </c>
      <c r="D23" s="114" t="e">
        <f t="shared" ref="D23:N23" ca="1" si="42">C23</f>
        <v>#DIV/0!</v>
      </c>
      <c r="E23" s="114" t="e">
        <f t="shared" ca="1" si="42"/>
        <v>#DIV/0!</v>
      </c>
      <c r="F23" s="114" t="e">
        <f t="shared" ca="1" si="42"/>
        <v>#DIV/0!</v>
      </c>
      <c r="G23" s="114" t="e">
        <f t="shared" ca="1" si="42"/>
        <v>#DIV/0!</v>
      </c>
      <c r="H23" s="114" t="e">
        <f t="shared" ca="1" si="42"/>
        <v>#DIV/0!</v>
      </c>
      <c r="I23" s="114" t="e">
        <f t="shared" ca="1" si="42"/>
        <v>#DIV/0!</v>
      </c>
      <c r="J23" s="114" t="e">
        <f t="shared" ca="1" si="42"/>
        <v>#DIV/0!</v>
      </c>
      <c r="K23" s="114" t="e">
        <f t="shared" ca="1" si="42"/>
        <v>#DIV/0!</v>
      </c>
      <c r="L23" s="114" t="e">
        <f t="shared" ca="1" si="42"/>
        <v>#DIV/0!</v>
      </c>
      <c r="M23" s="114" t="e">
        <f t="shared" ca="1" si="42"/>
        <v>#DIV/0!</v>
      </c>
      <c r="N23" s="114" t="e">
        <f t="shared" ca="1" si="42"/>
        <v>#DIV/0!</v>
      </c>
      <c r="O23" s="114" t="e">
        <f ca="1">N23</f>
        <v>#DIV/0!</v>
      </c>
      <c r="P23" s="114" t="e">
        <f ca="1">O23</f>
        <v>#DIV/0!</v>
      </c>
      <c r="Q23" s="765" t="e">
        <f ca="1">P23</f>
        <v>#DIV/0!</v>
      </c>
      <c r="R23" s="114" t="e">
        <f t="shared" ref="R23:AF23" ca="1" si="43">Q23</f>
        <v>#DIV/0!</v>
      </c>
      <c r="S23" s="114" t="e">
        <f t="shared" ca="1" si="43"/>
        <v>#DIV/0!</v>
      </c>
      <c r="T23" s="114" t="e">
        <f t="shared" ca="1" si="43"/>
        <v>#DIV/0!</v>
      </c>
      <c r="U23" s="114" t="e">
        <f t="shared" ca="1" si="43"/>
        <v>#DIV/0!</v>
      </c>
      <c r="V23" s="114" t="e">
        <f t="shared" ca="1" si="43"/>
        <v>#DIV/0!</v>
      </c>
      <c r="W23" s="114" t="e">
        <f t="shared" ca="1" si="43"/>
        <v>#DIV/0!</v>
      </c>
      <c r="X23" s="114" t="e">
        <f t="shared" ca="1" si="43"/>
        <v>#DIV/0!</v>
      </c>
      <c r="Y23" s="114" t="e">
        <f t="shared" ca="1" si="43"/>
        <v>#DIV/0!</v>
      </c>
      <c r="Z23" s="114" t="e">
        <f t="shared" ca="1" si="43"/>
        <v>#DIV/0!</v>
      </c>
      <c r="AA23" s="114" t="e">
        <f t="shared" ca="1" si="43"/>
        <v>#DIV/0!</v>
      </c>
      <c r="AB23" s="114" t="e">
        <f t="shared" ca="1" si="43"/>
        <v>#DIV/0!</v>
      </c>
      <c r="AC23" s="114" t="e">
        <f t="shared" ca="1" si="43"/>
        <v>#DIV/0!</v>
      </c>
      <c r="AD23" s="114" t="e">
        <f t="shared" ca="1" si="43"/>
        <v>#DIV/0!</v>
      </c>
      <c r="AE23" s="114" t="e">
        <f t="shared" ca="1" si="43"/>
        <v>#DIV/0!</v>
      </c>
      <c r="AF23" s="114" t="e">
        <f t="shared" ca="1" si="43"/>
        <v>#DIV/0!</v>
      </c>
    </row>
    <row r="24" spans="1:32" s="27" customFormat="1" ht="15.75">
      <c r="A24" s="94"/>
      <c r="C24" s="84"/>
      <c r="D24" s="84"/>
      <c r="E24" s="84"/>
      <c r="F24" s="84"/>
      <c r="G24" s="84"/>
      <c r="H24" s="84"/>
      <c r="I24" s="84"/>
      <c r="J24" s="84"/>
      <c r="K24" s="84"/>
      <c r="L24" s="84"/>
      <c r="M24" s="84"/>
      <c r="N24" s="84"/>
      <c r="O24" s="84"/>
      <c r="P24" s="84"/>
      <c r="Q24" s="764"/>
      <c r="R24" s="84"/>
      <c r="S24" s="84"/>
      <c r="T24" s="84"/>
      <c r="U24" s="84"/>
      <c r="V24" s="84"/>
      <c r="W24" s="84"/>
      <c r="X24" s="84"/>
      <c r="Y24" s="84"/>
      <c r="Z24" s="84"/>
      <c r="AA24" s="84"/>
      <c r="AB24" s="84"/>
      <c r="AC24" s="84"/>
      <c r="AD24" s="84"/>
      <c r="AE24" s="84"/>
      <c r="AF24" s="84"/>
    </row>
    <row r="25" spans="1:32" s="27" customFormat="1" ht="15.75">
      <c r="A25" s="94" t="s">
        <v>83</v>
      </c>
      <c r="C25" s="84" t="e">
        <f t="shared" ref="C25:N25" ca="1" si="44">C21-C23</f>
        <v>#DIV/0!</v>
      </c>
      <c r="D25" s="84" t="e">
        <f t="shared" ca="1" si="44"/>
        <v>#DIV/0!</v>
      </c>
      <c r="E25" s="84" t="e">
        <f t="shared" ca="1" si="44"/>
        <v>#DIV/0!</v>
      </c>
      <c r="F25" s="84" t="e">
        <f t="shared" ca="1" si="44"/>
        <v>#DIV/0!</v>
      </c>
      <c r="G25" s="84" t="e">
        <f t="shared" ca="1" si="44"/>
        <v>#DIV/0!</v>
      </c>
      <c r="H25" s="84" t="e">
        <f t="shared" ca="1" si="44"/>
        <v>#DIV/0!</v>
      </c>
      <c r="I25" s="84" t="e">
        <f t="shared" ca="1" si="44"/>
        <v>#DIV/0!</v>
      </c>
      <c r="J25" s="84" t="e">
        <f t="shared" ca="1" si="44"/>
        <v>#DIV/0!</v>
      </c>
      <c r="K25" s="84" t="e">
        <f t="shared" ca="1" si="44"/>
        <v>#DIV/0!</v>
      </c>
      <c r="L25" s="84" t="e">
        <f t="shared" ca="1" si="44"/>
        <v>#DIV/0!</v>
      </c>
      <c r="M25" s="84" t="e">
        <f t="shared" ca="1" si="44"/>
        <v>#DIV/0!</v>
      </c>
      <c r="N25" s="84" t="e">
        <f t="shared" ca="1" si="44"/>
        <v>#DIV/0!</v>
      </c>
      <c r="O25" s="84" t="e">
        <f ca="1">O21-O23</f>
        <v>#DIV/0!</v>
      </c>
      <c r="P25" s="84" t="e">
        <f ca="1">P21-P23</f>
        <v>#DIV/0!</v>
      </c>
      <c r="Q25" s="764" t="e">
        <f ca="1">Q21-Q23</f>
        <v>#DIV/0!</v>
      </c>
      <c r="R25" s="84" t="e">
        <f t="shared" ref="R25:AF25" ca="1" si="45">R21-R23</f>
        <v>#DIV/0!</v>
      </c>
      <c r="S25" s="84" t="e">
        <f t="shared" ca="1" si="45"/>
        <v>#DIV/0!</v>
      </c>
      <c r="T25" s="84" t="e">
        <f t="shared" ca="1" si="45"/>
        <v>#DIV/0!</v>
      </c>
      <c r="U25" s="84" t="e">
        <f t="shared" ca="1" si="45"/>
        <v>#DIV/0!</v>
      </c>
      <c r="V25" s="84" t="e">
        <f t="shared" ca="1" si="45"/>
        <v>#DIV/0!</v>
      </c>
      <c r="W25" s="84" t="e">
        <f t="shared" ca="1" si="45"/>
        <v>#DIV/0!</v>
      </c>
      <c r="X25" s="84" t="e">
        <f t="shared" ca="1" si="45"/>
        <v>#DIV/0!</v>
      </c>
      <c r="Y25" s="84" t="e">
        <f t="shared" ca="1" si="45"/>
        <v>#DIV/0!</v>
      </c>
      <c r="Z25" s="84" t="e">
        <f t="shared" ca="1" si="45"/>
        <v>#DIV/0!</v>
      </c>
      <c r="AA25" s="84" t="e">
        <f t="shared" ca="1" si="45"/>
        <v>#DIV/0!</v>
      </c>
      <c r="AB25" s="84" t="e">
        <f t="shared" ca="1" si="45"/>
        <v>#DIV/0!</v>
      </c>
      <c r="AC25" s="84" t="e">
        <f t="shared" ca="1" si="45"/>
        <v>#DIV/0!</v>
      </c>
      <c r="AD25" s="84" t="e">
        <f t="shared" ca="1" si="45"/>
        <v>#DIV/0!</v>
      </c>
      <c r="AE25" s="84" t="e">
        <f t="shared" ca="1" si="45"/>
        <v>#DIV/0!</v>
      </c>
      <c r="AF25" s="84" t="e">
        <f t="shared" ca="1" si="45"/>
        <v>#DIV/0!</v>
      </c>
    </row>
    <row r="26" spans="1:32" s="27" customFormat="1" ht="15.75">
      <c r="A26" s="94" t="s">
        <v>665</v>
      </c>
      <c r="C26" s="773" t="e">
        <f ca="1">SUM(C25:Q25)</f>
        <v>#DIV/0!</v>
      </c>
      <c r="D26" s="84"/>
      <c r="E26" s="84"/>
      <c r="F26" s="84"/>
      <c r="G26" s="84"/>
      <c r="H26" s="84"/>
      <c r="I26" s="84"/>
      <c r="J26" s="84"/>
      <c r="K26" s="84"/>
      <c r="L26" s="84"/>
      <c r="M26" s="84"/>
      <c r="N26" s="84"/>
      <c r="O26" s="84"/>
      <c r="P26" s="84"/>
      <c r="Q26" s="764"/>
      <c r="R26" s="84"/>
      <c r="S26" s="84"/>
      <c r="T26" s="84"/>
      <c r="U26" s="84"/>
      <c r="V26" s="84"/>
      <c r="W26" s="84"/>
      <c r="X26" s="84"/>
      <c r="Y26" s="84"/>
      <c r="Z26" s="84"/>
      <c r="AA26" s="84"/>
      <c r="AB26" s="84"/>
      <c r="AC26" s="84"/>
      <c r="AD26" s="84"/>
      <c r="AE26" s="84"/>
      <c r="AF26" s="84"/>
    </row>
    <row r="27" spans="1:32" s="27" customFormat="1" ht="15.75">
      <c r="A27" s="94"/>
      <c r="C27" s="84"/>
      <c r="D27" s="84"/>
      <c r="E27" s="84"/>
      <c r="F27" s="84"/>
      <c r="G27" s="84"/>
      <c r="H27" s="84"/>
      <c r="I27" s="84"/>
      <c r="J27" s="84"/>
      <c r="K27" s="84"/>
      <c r="L27" s="84"/>
      <c r="M27" s="84"/>
      <c r="N27" s="84"/>
      <c r="O27" s="84"/>
      <c r="P27" s="84"/>
      <c r="Q27" s="764"/>
      <c r="R27" s="84"/>
      <c r="S27" s="84"/>
      <c r="T27" s="84"/>
      <c r="U27" s="84"/>
      <c r="V27" s="84"/>
      <c r="W27" s="84"/>
      <c r="X27" s="84"/>
      <c r="Y27" s="84"/>
      <c r="Z27" s="84"/>
      <c r="AA27" s="84"/>
      <c r="AB27" s="84"/>
      <c r="AC27" s="84"/>
      <c r="AD27" s="84"/>
      <c r="AE27" s="84"/>
      <c r="AF27" s="84"/>
    </row>
    <row r="28" spans="1:32" s="111" customFormat="1" ht="15.75">
      <c r="A28" s="681" t="s">
        <v>663</v>
      </c>
      <c r="B28" s="27"/>
      <c r="C28" s="768"/>
      <c r="D28" s="768"/>
      <c r="E28" s="768"/>
      <c r="F28" s="768"/>
      <c r="G28" s="768"/>
      <c r="H28" s="768"/>
      <c r="I28" s="768"/>
      <c r="J28" s="768"/>
      <c r="K28" s="768"/>
      <c r="L28" s="768"/>
      <c r="M28" s="768"/>
      <c r="N28" s="768"/>
      <c r="O28" s="768"/>
      <c r="P28" s="768"/>
      <c r="Q28" s="768"/>
      <c r="R28" s="768"/>
      <c r="S28" s="768"/>
      <c r="T28" s="768"/>
      <c r="U28" s="768"/>
      <c r="V28" s="768"/>
      <c r="W28" s="768"/>
      <c r="X28" s="768"/>
      <c r="Y28" s="768"/>
      <c r="Z28" s="768"/>
      <c r="AA28" s="768"/>
      <c r="AB28" s="768"/>
      <c r="AC28" s="768"/>
      <c r="AD28" s="768"/>
      <c r="AE28" s="768"/>
      <c r="AF28" s="768"/>
    </row>
    <row r="29" spans="1:32" s="111" customFormat="1" ht="15.75">
      <c r="A29" s="94" t="s">
        <v>666</v>
      </c>
      <c r="B29" s="27"/>
      <c r="C29" s="773">
        <f>SUM(C28:AF28)</f>
        <v>0</v>
      </c>
    </row>
    <row r="30" spans="1:32" s="27" customFormat="1" ht="15.75">
      <c r="A30" s="94" t="s">
        <v>664</v>
      </c>
      <c r="C30" s="84" t="e">
        <f t="shared" ref="C30:AF30" ca="1" si="46">C25-C28</f>
        <v>#DIV/0!</v>
      </c>
      <c r="D30" s="84" t="e">
        <f t="shared" ca="1" si="46"/>
        <v>#DIV/0!</v>
      </c>
      <c r="E30" s="84" t="e">
        <f t="shared" ca="1" si="46"/>
        <v>#DIV/0!</v>
      </c>
      <c r="F30" s="84" t="e">
        <f t="shared" ca="1" si="46"/>
        <v>#DIV/0!</v>
      </c>
      <c r="G30" s="84" t="e">
        <f t="shared" ca="1" si="46"/>
        <v>#DIV/0!</v>
      </c>
      <c r="H30" s="84" t="e">
        <f t="shared" ca="1" si="46"/>
        <v>#DIV/0!</v>
      </c>
      <c r="I30" s="84" t="e">
        <f t="shared" ca="1" si="46"/>
        <v>#DIV/0!</v>
      </c>
      <c r="J30" s="84" t="e">
        <f t="shared" ca="1" si="46"/>
        <v>#DIV/0!</v>
      </c>
      <c r="K30" s="84" t="e">
        <f t="shared" ca="1" si="46"/>
        <v>#DIV/0!</v>
      </c>
      <c r="L30" s="84" t="e">
        <f t="shared" ca="1" si="46"/>
        <v>#DIV/0!</v>
      </c>
      <c r="M30" s="84" t="e">
        <f t="shared" ca="1" si="46"/>
        <v>#DIV/0!</v>
      </c>
      <c r="N30" s="84" t="e">
        <f t="shared" ca="1" si="46"/>
        <v>#DIV/0!</v>
      </c>
      <c r="O30" s="84" t="e">
        <f t="shared" ca="1" si="46"/>
        <v>#DIV/0!</v>
      </c>
      <c r="P30" s="84" t="e">
        <f t="shared" ca="1" si="46"/>
        <v>#DIV/0!</v>
      </c>
      <c r="Q30" s="764" t="e">
        <f t="shared" ca="1" si="46"/>
        <v>#DIV/0!</v>
      </c>
      <c r="R30" s="84" t="e">
        <f t="shared" ca="1" si="46"/>
        <v>#DIV/0!</v>
      </c>
      <c r="S30" s="84" t="e">
        <f t="shared" ca="1" si="46"/>
        <v>#DIV/0!</v>
      </c>
      <c r="T30" s="84" t="e">
        <f t="shared" ca="1" si="46"/>
        <v>#DIV/0!</v>
      </c>
      <c r="U30" s="84" t="e">
        <f t="shared" ca="1" si="46"/>
        <v>#DIV/0!</v>
      </c>
      <c r="V30" s="84" t="e">
        <f t="shared" ca="1" si="46"/>
        <v>#DIV/0!</v>
      </c>
      <c r="W30" s="84" t="e">
        <f t="shared" ca="1" si="46"/>
        <v>#DIV/0!</v>
      </c>
      <c r="X30" s="84" t="e">
        <f t="shared" ca="1" si="46"/>
        <v>#DIV/0!</v>
      </c>
      <c r="Y30" s="84" t="e">
        <f t="shared" ca="1" si="46"/>
        <v>#DIV/0!</v>
      </c>
      <c r="Z30" s="84" t="e">
        <f t="shared" ca="1" si="46"/>
        <v>#DIV/0!</v>
      </c>
      <c r="AA30" s="84" t="e">
        <f t="shared" ca="1" si="46"/>
        <v>#DIV/0!</v>
      </c>
      <c r="AB30" s="84" t="e">
        <f t="shared" ca="1" si="46"/>
        <v>#DIV/0!</v>
      </c>
      <c r="AC30" s="84" t="e">
        <f t="shared" ca="1" si="46"/>
        <v>#DIV/0!</v>
      </c>
      <c r="AD30" s="84" t="e">
        <f t="shared" ca="1" si="46"/>
        <v>#DIV/0!</v>
      </c>
      <c r="AE30" s="84" t="e">
        <f t="shared" ca="1" si="46"/>
        <v>#DIV/0!</v>
      </c>
      <c r="AF30" s="84" t="e">
        <f t="shared" ca="1" si="46"/>
        <v>#DIV/0!</v>
      </c>
    </row>
    <row r="31" spans="1:32" s="27" customFormat="1" ht="15.75">
      <c r="A31" s="94"/>
      <c r="C31" s="84"/>
      <c r="D31" s="84"/>
      <c r="E31" s="84"/>
      <c r="F31" s="84"/>
      <c r="G31" s="84"/>
      <c r="H31" s="84"/>
      <c r="I31" s="84"/>
      <c r="J31" s="84"/>
      <c r="K31" s="84"/>
      <c r="L31" s="84"/>
      <c r="M31" s="84"/>
      <c r="N31" s="84"/>
      <c r="O31" s="84"/>
      <c r="P31" s="84"/>
      <c r="Q31" s="764"/>
      <c r="R31" s="84"/>
      <c r="S31" s="84"/>
      <c r="T31" s="84"/>
      <c r="U31" s="84"/>
      <c r="V31" s="84"/>
      <c r="W31" s="84"/>
      <c r="X31" s="84"/>
      <c r="Y31" s="84"/>
      <c r="Z31" s="84"/>
      <c r="AA31" s="84"/>
      <c r="AB31" s="84"/>
      <c r="AC31" s="84"/>
      <c r="AD31" s="84"/>
      <c r="AE31" s="84"/>
      <c r="AF31" s="84"/>
    </row>
    <row r="32" spans="1:32" s="111" customFormat="1">
      <c r="A32" s="769" t="s">
        <v>662</v>
      </c>
      <c r="B32" s="116">
        <v>0.5</v>
      </c>
      <c r="C32" s="770" t="str">
        <f ca="1">IFERROR(C30*$B$32,"-")</f>
        <v>-</v>
      </c>
      <c r="D32" s="770" t="str">
        <f t="shared" ref="D32:AF32" ca="1" si="47">IFERROR(D30*$B$32,"-")</f>
        <v>-</v>
      </c>
      <c r="E32" s="770" t="str">
        <f t="shared" ca="1" si="47"/>
        <v>-</v>
      </c>
      <c r="F32" s="770" t="str">
        <f t="shared" ca="1" si="47"/>
        <v>-</v>
      </c>
      <c r="G32" s="770" t="str">
        <f t="shared" ca="1" si="47"/>
        <v>-</v>
      </c>
      <c r="H32" s="770" t="str">
        <f t="shared" ca="1" si="47"/>
        <v>-</v>
      </c>
      <c r="I32" s="770" t="str">
        <f t="shared" ca="1" si="47"/>
        <v>-</v>
      </c>
      <c r="J32" s="770" t="str">
        <f t="shared" ca="1" si="47"/>
        <v>-</v>
      </c>
      <c r="K32" s="770" t="str">
        <f t="shared" ca="1" si="47"/>
        <v>-</v>
      </c>
      <c r="L32" s="770" t="str">
        <f t="shared" ca="1" si="47"/>
        <v>-</v>
      </c>
      <c r="M32" s="770" t="str">
        <f t="shared" ca="1" si="47"/>
        <v>-</v>
      </c>
      <c r="N32" s="770" t="str">
        <f t="shared" ca="1" si="47"/>
        <v>-</v>
      </c>
      <c r="O32" s="770" t="str">
        <f t="shared" ca="1" si="47"/>
        <v>-</v>
      </c>
      <c r="P32" s="770" t="str">
        <f t="shared" ca="1" si="47"/>
        <v>-</v>
      </c>
      <c r="Q32" s="771" t="str">
        <f t="shared" ca="1" si="47"/>
        <v>-</v>
      </c>
      <c r="R32" s="772" t="str">
        <f t="shared" ca="1" si="47"/>
        <v>-</v>
      </c>
      <c r="S32" s="770" t="str">
        <f t="shared" ca="1" si="47"/>
        <v>-</v>
      </c>
      <c r="T32" s="770" t="str">
        <f t="shared" ca="1" si="47"/>
        <v>-</v>
      </c>
      <c r="U32" s="770" t="str">
        <f t="shared" ca="1" si="47"/>
        <v>-</v>
      </c>
      <c r="V32" s="770" t="str">
        <f t="shared" ca="1" si="47"/>
        <v>-</v>
      </c>
      <c r="W32" s="770" t="str">
        <f t="shared" ca="1" si="47"/>
        <v>-</v>
      </c>
      <c r="X32" s="770" t="str">
        <f t="shared" ca="1" si="47"/>
        <v>-</v>
      </c>
      <c r="Y32" s="770" t="str">
        <f t="shared" ca="1" si="47"/>
        <v>-</v>
      </c>
      <c r="Z32" s="770" t="str">
        <f t="shared" ca="1" si="47"/>
        <v>-</v>
      </c>
      <c r="AA32" s="770" t="str">
        <f t="shared" ca="1" si="47"/>
        <v>-</v>
      </c>
      <c r="AB32" s="770" t="str">
        <f t="shared" ca="1" si="47"/>
        <v>-</v>
      </c>
      <c r="AC32" s="770" t="str">
        <f t="shared" ca="1" si="47"/>
        <v>-</v>
      </c>
      <c r="AD32" s="770" t="str">
        <f t="shared" ca="1" si="47"/>
        <v>-</v>
      </c>
      <c r="AE32" s="770" t="str">
        <f t="shared" ca="1" si="47"/>
        <v>-</v>
      </c>
      <c r="AF32" s="770" t="str">
        <f t="shared" ca="1" si="47"/>
        <v>-</v>
      </c>
    </row>
    <row r="33" spans="1:32" s="27" customFormat="1" ht="15.75">
      <c r="A33" s="767" t="s">
        <v>661</v>
      </c>
      <c r="C33" s="84" t="e">
        <f ca="1">C30-C32</f>
        <v>#DIV/0!</v>
      </c>
      <c r="D33" s="84" t="e">
        <f t="shared" ref="D33:AF33" ca="1" si="48">D30-D32</f>
        <v>#DIV/0!</v>
      </c>
      <c r="E33" s="84" t="e">
        <f t="shared" ca="1" si="48"/>
        <v>#DIV/0!</v>
      </c>
      <c r="F33" s="84" t="e">
        <f t="shared" ca="1" si="48"/>
        <v>#DIV/0!</v>
      </c>
      <c r="G33" s="84" t="e">
        <f t="shared" ca="1" si="48"/>
        <v>#DIV/0!</v>
      </c>
      <c r="H33" s="84" t="e">
        <f t="shared" ca="1" si="48"/>
        <v>#DIV/0!</v>
      </c>
      <c r="I33" s="84" t="e">
        <f t="shared" ca="1" si="48"/>
        <v>#DIV/0!</v>
      </c>
      <c r="J33" s="84" t="e">
        <f t="shared" ca="1" si="48"/>
        <v>#DIV/0!</v>
      </c>
      <c r="K33" s="84" t="e">
        <f t="shared" ca="1" si="48"/>
        <v>#DIV/0!</v>
      </c>
      <c r="L33" s="84" t="e">
        <f t="shared" ca="1" si="48"/>
        <v>#DIV/0!</v>
      </c>
      <c r="M33" s="84" t="e">
        <f t="shared" ca="1" si="48"/>
        <v>#DIV/0!</v>
      </c>
      <c r="N33" s="84" t="e">
        <f t="shared" ca="1" si="48"/>
        <v>#DIV/0!</v>
      </c>
      <c r="O33" s="84" t="e">
        <f t="shared" ca="1" si="48"/>
        <v>#DIV/0!</v>
      </c>
      <c r="P33" s="84" t="e">
        <f t="shared" ca="1" si="48"/>
        <v>#DIV/0!</v>
      </c>
      <c r="Q33" s="801" t="e">
        <f t="shared" ca="1" si="48"/>
        <v>#DIV/0!</v>
      </c>
      <c r="R33" s="800" t="e">
        <f t="shared" ca="1" si="48"/>
        <v>#DIV/0!</v>
      </c>
      <c r="S33" s="84" t="e">
        <f t="shared" ca="1" si="48"/>
        <v>#DIV/0!</v>
      </c>
      <c r="T33" s="84" t="e">
        <f t="shared" ca="1" si="48"/>
        <v>#DIV/0!</v>
      </c>
      <c r="U33" s="84" t="e">
        <f t="shared" ca="1" si="48"/>
        <v>#DIV/0!</v>
      </c>
      <c r="V33" s="84" t="e">
        <f t="shared" ca="1" si="48"/>
        <v>#DIV/0!</v>
      </c>
      <c r="W33" s="84" t="e">
        <f t="shared" ca="1" si="48"/>
        <v>#DIV/0!</v>
      </c>
      <c r="X33" s="84" t="e">
        <f t="shared" ca="1" si="48"/>
        <v>#DIV/0!</v>
      </c>
      <c r="Y33" s="84" t="e">
        <f t="shared" ca="1" si="48"/>
        <v>#DIV/0!</v>
      </c>
      <c r="Z33" s="84" t="e">
        <f t="shared" ca="1" si="48"/>
        <v>#DIV/0!</v>
      </c>
      <c r="AA33" s="84" t="e">
        <f t="shared" ca="1" si="48"/>
        <v>#DIV/0!</v>
      </c>
      <c r="AB33" s="84" t="e">
        <f t="shared" ca="1" si="48"/>
        <v>#DIV/0!</v>
      </c>
      <c r="AC33" s="84" t="e">
        <f t="shared" ca="1" si="48"/>
        <v>#DIV/0!</v>
      </c>
      <c r="AD33" s="84" t="e">
        <f t="shared" ca="1" si="48"/>
        <v>#DIV/0!</v>
      </c>
      <c r="AE33" s="84" t="e">
        <f t="shared" ca="1" si="48"/>
        <v>#DIV/0!</v>
      </c>
      <c r="AF33" s="84" t="e">
        <f t="shared" ca="1" si="48"/>
        <v>#DIV/0!</v>
      </c>
    </row>
    <row r="34" spans="1:32" s="27" customFormat="1" ht="15.75">
      <c r="A34" s="94"/>
      <c r="C34" s="84"/>
      <c r="D34" s="84"/>
      <c r="E34" s="84"/>
      <c r="F34" s="84"/>
      <c r="G34" s="84"/>
      <c r="H34" s="84"/>
      <c r="I34" s="84"/>
      <c r="J34" s="84"/>
      <c r="K34" s="84"/>
      <c r="L34" s="84"/>
      <c r="M34" s="84"/>
      <c r="N34" s="84"/>
      <c r="Q34" s="802"/>
    </row>
    <row r="35" spans="1:32" s="27" customFormat="1" ht="15.75">
      <c r="A35" s="94" t="s">
        <v>667</v>
      </c>
      <c r="C35" s="111" t="e">
        <f ca="1">C12/(C19+C23)</f>
        <v>#DIV/0!</v>
      </c>
      <c r="D35" s="111" t="e">
        <f t="shared" ref="D35:AF35" ca="1" si="49">D12/(D19+D23)</f>
        <v>#DIV/0!</v>
      </c>
      <c r="E35" s="111" t="e">
        <f t="shared" ca="1" si="49"/>
        <v>#DIV/0!</v>
      </c>
      <c r="F35" s="111" t="e">
        <f t="shared" ca="1" si="49"/>
        <v>#DIV/0!</v>
      </c>
      <c r="G35" s="111" t="e">
        <f t="shared" ca="1" si="49"/>
        <v>#DIV/0!</v>
      </c>
      <c r="H35" s="111" t="e">
        <f t="shared" ca="1" si="49"/>
        <v>#DIV/0!</v>
      </c>
      <c r="I35" s="111" t="e">
        <f t="shared" ca="1" si="49"/>
        <v>#DIV/0!</v>
      </c>
      <c r="J35" s="111" t="e">
        <f t="shared" ca="1" si="49"/>
        <v>#DIV/0!</v>
      </c>
      <c r="K35" s="111" t="e">
        <f t="shared" ca="1" si="49"/>
        <v>#DIV/0!</v>
      </c>
      <c r="L35" s="111" t="e">
        <f t="shared" ca="1" si="49"/>
        <v>#DIV/0!</v>
      </c>
      <c r="M35" s="111" t="e">
        <f t="shared" ca="1" si="49"/>
        <v>#DIV/0!</v>
      </c>
      <c r="N35" s="111" t="e">
        <f t="shared" ca="1" si="49"/>
        <v>#DIV/0!</v>
      </c>
      <c r="O35" s="111" t="e">
        <f t="shared" ca="1" si="49"/>
        <v>#DIV/0!</v>
      </c>
      <c r="P35" s="111" t="e">
        <f t="shared" ca="1" si="49"/>
        <v>#DIV/0!</v>
      </c>
      <c r="Q35" s="803" t="e">
        <f t="shared" ca="1" si="49"/>
        <v>#DIV/0!</v>
      </c>
      <c r="R35" s="111" t="e">
        <f t="shared" ca="1" si="49"/>
        <v>#DIV/0!</v>
      </c>
      <c r="S35" s="111" t="e">
        <f t="shared" ca="1" si="49"/>
        <v>#DIV/0!</v>
      </c>
      <c r="T35" s="111" t="e">
        <f t="shared" ca="1" si="49"/>
        <v>#DIV/0!</v>
      </c>
      <c r="U35" s="111" t="e">
        <f t="shared" ca="1" si="49"/>
        <v>#DIV/0!</v>
      </c>
      <c r="V35" s="111" t="e">
        <f t="shared" ca="1" si="49"/>
        <v>#DIV/0!</v>
      </c>
      <c r="W35" s="111" t="e">
        <f t="shared" ca="1" si="49"/>
        <v>#DIV/0!</v>
      </c>
      <c r="X35" s="111" t="e">
        <f t="shared" ca="1" si="49"/>
        <v>#DIV/0!</v>
      </c>
      <c r="Y35" s="111" t="e">
        <f t="shared" ca="1" si="49"/>
        <v>#DIV/0!</v>
      </c>
      <c r="Z35" s="111" t="e">
        <f t="shared" ca="1" si="49"/>
        <v>#DIV/0!</v>
      </c>
      <c r="AA35" s="111" t="e">
        <f t="shared" ca="1" si="49"/>
        <v>#DIV/0!</v>
      </c>
      <c r="AB35" s="111" t="e">
        <f t="shared" ca="1" si="49"/>
        <v>#DIV/0!</v>
      </c>
      <c r="AC35" s="111" t="e">
        <f t="shared" ca="1" si="49"/>
        <v>#DIV/0!</v>
      </c>
      <c r="AD35" s="111" t="e">
        <f t="shared" ca="1" si="49"/>
        <v>#DIV/0!</v>
      </c>
      <c r="AE35" s="111" t="e">
        <f t="shared" ca="1" si="49"/>
        <v>#DIV/0!</v>
      </c>
      <c r="AF35" s="111" t="e">
        <f t="shared" ca="1" si="49"/>
        <v>#DIV/0!</v>
      </c>
    </row>
    <row r="36" spans="1:32" s="27" customFormat="1" ht="15.75">
      <c r="A36" s="94" t="s">
        <v>668</v>
      </c>
      <c r="C36" s="111" t="e">
        <f ca="1">C21/C23</f>
        <v>#DIV/0!</v>
      </c>
      <c r="D36" s="111" t="e">
        <f t="shared" ref="D36:AF36" ca="1" si="50">D21/D23</f>
        <v>#DIV/0!</v>
      </c>
      <c r="E36" s="111" t="e">
        <f t="shared" ca="1" si="50"/>
        <v>#DIV/0!</v>
      </c>
      <c r="F36" s="111" t="e">
        <f t="shared" ca="1" si="50"/>
        <v>#DIV/0!</v>
      </c>
      <c r="G36" s="111" t="e">
        <f t="shared" ca="1" si="50"/>
        <v>#DIV/0!</v>
      </c>
      <c r="H36" s="111" t="e">
        <f t="shared" ca="1" si="50"/>
        <v>#DIV/0!</v>
      </c>
      <c r="I36" s="111" t="e">
        <f t="shared" ca="1" si="50"/>
        <v>#DIV/0!</v>
      </c>
      <c r="J36" s="111" t="e">
        <f t="shared" ca="1" si="50"/>
        <v>#DIV/0!</v>
      </c>
      <c r="K36" s="111" t="e">
        <f t="shared" ca="1" si="50"/>
        <v>#DIV/0!</v>
      </c>
      <c r="L36" s="111" t="e">
        <f t="shared" ca="1" si="50"/>
        <v>#DIV/0!</v>
      </c>
      <c r="M36" s="111" t="e">
        <f t="shared" ca="1" si="50"/>
        <v>#DIV/0!</v>
      </c>
      <c r="N36" s="111" t="e">
        <f t="shared" ca="1" si="50"/>
        <v>#DIV/0!</v>
      </c>
      <c r="O36" s="111" t="e">
        <f t="shared" ca="1" si="50"/>
        <v>#DIV/0!</v>
      </c>
      <c r="P36" s="111" t="e">
        <f t="shared" ca="1" si="50"/>
        <v>#DIV/0!</v>
      </c>
      <c r="Q36" s="803" t="e">
        <f t="shared" ca="1" si="50"/>
        <v>#DIV/0!</v>
      </c>
      <c r="R36" s="111" t="e">
        <f t="shared" ca="1" si="50"/>
        <v>#DIV/0!</v>
      </c>
      <c r="S36" s="111" t="e">
        <f t="shared" ca="1" si="50"/>
        <v>#DIV/0!</v>
      </c>
      <c r="T36" s="111" t="e">
        <f t="shared" ca="1" si="50"/>
        <v>#DIV/0!</v>
      </c>
      <c r="U36" s="111" t="e">
        <f t="shared" ca="1" si="50"/>
        <v>#DIV/0!</v>
      </c>
      <c r="V36" s="111" t="e">
        <f t="shared" ca="1" si="50"/>
        <v>#DIV/0!</v>
      </c>
      <c r="W36" s="111" t="e">
        <f t="shared" ca="1" si="50"/>
        <v>#DIV/0!</v>
      </c>
      <c r="X36" s="111" t="e">
        <f t="shared" ca="1" si="50"/>
        <v>#DIV/0!</v>
      </c>
      <c r="Y36" s="111" t="e">
        <f t="shared" ca="1" si="50"/>
        <v>#DIV/0!</v>
      </c>
      <c r="Z36" s="111" t="e">
        <f t="shared" ca="1" si="50"/>
        <v>#DIV/0!</v>
      </c>
      <c r="AA36" s="111" t="e">
        <f t="shared" ca="1" si="50"/>
        <v>#DIV/0!</v>
      </c>
      <c r="AB36" s="111" t="e">
        <f t="shared" ca="1" si="50"/>
        <v>#DIV/0!</v>
      </c>
      <c r="AC36" s="111" t="e">
        <f t="shared" ca="1" si="50"/>
        <v>#DIV/0!</v>
      </c>
      <c r="AD36" s="111" t="e">
        <f t="shared" ca="1" si="50"/>
        <v>#DIV/0!</v>
      </c>
      <c r="AE36" s="111" t="e">
        <f t="shared" ca="1" si="50"/>
        <v>#DIV/0!</v>
      </c>
      <c r="AF36" s="111" t="e">
        <f t="shared" ca="1" si="50"/>
        <v>#DIV/0!</v>
      </c>
    </row>
    <row r="38" spans="1:32">
      <c r="A38" s="10"/>
      <c r="B38" s="112"/>
      <c r="C38" s="12"/>
      <c r="D38" s="112"/>
    </row>
    <row r="40" spans="1:32">
      <c r="A40" s="39"/>
    </row>
    <row r="41" spans="1:32">
      <c r="A41" s="42"/>
    </row>
    <row r="42" spans="1:32">
      <c r="A42" s="42"/>
    </row>
  </sheetData>
  <customSheetViews>
    <customSheetView guid="{560D4AFA-61E5-46C3-B0CD-D0EB3053A033}" scale="75" showPageBreaks="1" fitToPage="1" showRuler="0">
      <selection activeCell="C9" sqref="C9"/>
      <pageMargins left="0.75" right="0.5" top="0.75" bottom="0.5" header="0.5" footer="0.5"/>
      <pageSetup scale="51" orientation="landscape" r:id="rId1"/>
      <headerFooter alignWithMargins="0"/>
    </customSheetView>
    <customSheetView guid="{1ECE83C7-A3CE-4F97-BFD3-498FF783C0D9}" scale="75" showPageBreaks="1" fitToPage="1" showRuler="0">
      <selection activeCell="H29" sqref="H29"/>
      <pageMargins left="0.75" right="0.5" top="0.75" bottom="0.5" header="0.5" footer="0.5"/>
      <pageSetup scale="51" orientation="landscape" r:id="rId2"/>
      <headerFooter alignWithMargins="0"/>
    </customSheetView>
    <customSheetView guid="{6EF643BE-69F3-424E-8A44-3890161370D4}" fitToPage="1" showRuler="0" topLeftCell="J1">
      <selection activeCell="N4" sqref="N4"/>
      <pageMargins left="0.75" right="0.75" top="1" bottom="1" header="0.5" footer="0.5"/>
      <pageSetup scale="61" orientation="landscape" horizontalDpi="1200" verticalDpi="1200" r:id="rId3"/>
      <headerFooter alignWithMargins="0"/>
    </customSheetView>
    <customSheetView guid="{FBB4BF8E-8A9F-4E98-A6F9-5F9BF4C55C67}" showPageBreaks="1" fitToPage="1" showRuler="0" topLeftCell="A11">
      <pageMargins left="0.75" right="0.75" top="1" bottom="1" header="0.5" footer="0.5"/>
      <pageSetup scale="61" orientation="landscape" horizontalDpi="1200" verticalDpi="1200" r:id="rId4"/>
      <headerFooter alignWithMargins="0"/>
    </customSheetView>
    <customSheetView guid="{EB776EFC-3589-4DB5-BEAF-1E83D9703F9E}" fitToPage="1" showRuler="0" topLeftCell="A14">
      <selection activeCell="B28" sqref="B28"/>
      <pageMargins left="0.75" right="0.75" top="1" bottom="1" header="0.5" footer="0.5"/>
      <pageSetup scale="64" orientation="landscape" horizontalDpi="1200" verticalDpi="1200" r:id="rId5"/>
      <headerFooter alignWithMargins="0"/>
    </customSheetView>
    <customSheetView guid="{AEA5979F-5357-4ED6-A6CA-1BB80F5C7A74}" showPageBreaks="1" fitToPage="1" showRuler="0">
      <selection activeCell="A5" sqref="A5"/>
      <pageMargins left="0.75" right="0.75" top="1" bottom="1" header="0.5" footer="0.5"/>
      <pageSetup scale="61" orientation="landscape" horizontalDpi="1200" verticalDpi="1200" r:id="rId6"/>
      <headerFooter alignWithMargins="0"/>
    </customSheetView>
    <customSheetView guid="{28F81D13-D146-4D67-8981-BA5D7A496326}" showPageBreaks="1" fitToPage="1" showRuler="0" topLeftCell="K6">
      <selection activeCell="O6" sqref="O6"/>
      <pageMargins left="0.75" right="0.75" top="1" bottom="1" header="0.5" footer="0.5"/>
      <pageSetup scale="50" orientation="landscape" horizontalDpi="1200" verticalDpi="1200" r:id="rId7"/>
      <headerFooter alignWithMargins="0"/>
    </customSheetView>
    <customSheetView guid="{25C4E7E7-1006-4A2D-BC83-AEE4ADF8A914}" scale="75" showPageBreaks="1" fitToPage="1" showRuler="0" topLeftCell="A10">
      <selection activeCell="H29" sqref="H29"/>
      <pageMargins left="0.75" right="0.5" top="0.75" bottom="0.5" header="0.5" footer="0.5"/>
      <pageSetup scale="51" orientation="landscape" r:id="rId8"/>
      <headerFooter alignWithMargins="0"/>
    </customSheetView>
  </customSheetViews>
  <phoneticPr fontId="0" type="noConversion"/>
  <pageMargins left="0.25" right="0.25" top="0.75" bottom="0.75" header="0.3" footer="0.3"/>
  <pageSetup scale="39" firstPageNumber="212" fitToWidth="2" orientation="landscape" useFirstPageNumber="1" r:id="rId9"/>
  <headerFooter alignWithMargins="0"/>
  <colBreaks count="1" manualBreakCount="1">
    <brk id="17" max="1048575" man="1"/>
  </colBreaks>
  <ignoredErrors>
    <ignoredError sqref="C23:Q23 C25:Q25"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7bdfbfc-9248-4195-bec4-81978b4e8c47">
      <Terms xmlns="http://schemas.microsoft.com/office/infopath/2007/PartnerControls"/>
    </lcf76f155ced4ddcb4097134ff3c332f>
    <Populator xmlns="c7bdfbfc-9248-4195-bec4-81978b4e8c47">
      <UserInfo>
        <DisplayName/>
        <AccountId xsi:nil="true"/>
        <AccountType/>
      </UserInfo>
    </Populator>
    <TaxCatchAll xmlns="9dcd973c-93ec-42ea-a9af-ca61d469e8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4BA68D5A9E2C4C9E46D70CF9201E9C" ma:contentTypeVersion="16" ma:contentTypeDescription="Create a new document." ma:contentTypeScope="" ma:versionID="c071783c50019a328337ac3ab66d9488">
  <xsd:schema xmlns:xsd="http://www.w3.org/2001/XMLSchema" xmlns:xs="http://www.w3.org/2001/XMLSchema" xmlns:p="http://schemas.microsoft.com/office/2006/metadata/properties" xmlns:ns2="c7bdfbfc-9248-4195-bec4-81978b4e8c47" xmlns:ns3="9dcd973c-93ec-42ea-a9af-ca61d469e86c" targetNamespace="http://schemas.microsoft.com/office/2006/metadata/properties" ma:root="true" ma:fieldsID="1143ac0f2001b15cc34ca6ae36198b31" ns2:_="" ns3:_="">
    <xsd:import namespace="c7bdfbfc-9248-4195-bec4-81978b4e8c47"/>
    <xsd:import namespace="9dcd973c-93ec-42ea-a9af-ca61d469e86c"/>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MediaLengthInSeconds" minOccurs="0"/>
                <xsd:element ref="ns2:Popul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bdfbfc-9248-4195-bec4-81978b4e8c4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Populator" ma:index="22" nillable="true" ma:displayName="Populator" ma:format="Dropdown" ma:list="UserInfo" ma:SharePointGroup="0" ma:internalName="Popula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dcd973c-93ec-42ea-a9af-ca61d469e86c"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b8875c2-11f4-4e84-83a5-5e3940383568}" ma:internalName="TaxCatchAll" ma:showField="CatchAllData" ma:web="9dcd973c-93ec-42ea-a9af-ca61d469e86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29B707-E3A5-44B3-BC15-5676D234A0C5}">
  <ds:schemaRefs>
    <ds:schemaRef ds:uri="http://schemas.microsoft.com/sharepoint/v3/contenttype/forms"/>
  </ds:schemaRefs>
</ds:datastoreItem>
</file>

<file path=customXml/itemProps2.xml><?xml version="1.0" encoding="utf-8"?>
<ds:datastoreItem xmlns:ds="http://schemas.openxmlformats.org/officeDocument/2006/customXml" ds:itemID="{A01AB6FE-B58A-413E-BB6A-F2467DE5BF94}">
  <ds:schemaRefs>
    <ds:schemaRef ds:uri="http://schemas.microsoft.com/office/2006/metadata/properties"/>
    <ds:schemaRef ds:uri="http://schemas.microsoft.com/office/infopath/2007/PartnerControls"/>
    <ds:schemaRef ds:uri="c73aaa08-2dec-40dc-8a72-02ca9ca9aaf4"/>
    <ds:schemaRef ds:uri="c7bdfbfc-9248-4195-bec4-81978b4e8c47"/>
    <ds:schemaRef ds:uri="9dcd973c-93ec-42ea-a9af-ca61d469e86c"/>
  </ds:schemaRefs>
</ds:datastoreItem>
</file>

<file path=customXml/itemProps3.xml><?xml version="1.0" encoding="utf-8"?>
<ds:datastoreItem xmlns:ds="http://schemas.openxmlformats.org/officeDocument/2006/customXml" ds:itemID="{1B194280-D8E1-4D4D-AC33-D42521681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bdfbfc-9248-4195-bec4-81978b4e8c47"/>
    <ds:schemaRef ds:uri="9dcd973c-93ec-42ea-a9af-ca61d469e8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Proposal Intake Form</vt:lpstr>
      <vt:lpstr>Instructions</vt:lpstr>
      <vt:lpstr>Sources and Use</vt:lpstr>
      <vt:lpstr>Devel. Bud</vt:lpstr>
      <vt:lpstr>Cons Int &amp; Neg Arb</vt:lpstr>
      <vt:lpstr>Units &amp; Income</vt:lpstr>
      <vt:lpstr>M and O</vt:lpstr>
      <vt:lpstr>Mort</vt:lpstr>
      <vt:lpstr>Cash Flow</vt:lpstr>
      <vt:lpstr>Tax Credit </vt:lpstr>
      <vt:lpstr>Trade Pmt</vt:lpstr>
      <vt:lpstr>Pro Forma Summary</vt:lpstr>
      <vt:lpstr>Fl Area Summary</vt:lpstr>
      <vt:lpstr>AMI &amp; Rent 2025</vt:lpstr>
      <vt:lpstr>Expanded UA Table</vt:lpstr>
      <vt:lpstr>Project Summary</vt:lpstr>
      <vt:lpstr>Expenses</vt:lpstr>
      <vt:lpstr>FIRST</vt:lpstr>
      <vt:lpstr>LAUNDRY</vt:lpstr>
      <vt:lpstr>NOI</vt:lpstr>
      <vt:lpstr>'AMI &amp; Rent 2025'!Print_Area</vt:lpstr>
      <vt:lpstr>'Cons Int &amp; Neg Arb'!Print_Area</vt:lpstr>
      <vt:lpstr>'Devel. Bud'!Print_Area</vt:lpstr>
      <vt:lpstr>'M and O'!Print_Area</vt:lpstr>
      <vt:lpstr>Mort!Print_Area</vt:lpstr>
      <vt:lpstr>'Project Summary'!Print_Area</vt:lpstr>
      <vt:lpstr>'Sources and Use'!Print_Area</vt:lpstr>
      <vt:lpstr>'Tax Credit '!Print_Area</vt:lpstr>
      <vt:lpstr>'Units &amp; Income'!Print_Area</vt:lpstr>
      <vt:lpstr>'Cash Flow'!Print_Titles</vt:lpstr>
      <vt:lpstr>ROOMS</vt:lpstr>
      <vt:lpstr>SECOND</vt:lpstr>
      <vt:lpstr>Second_Mortgage</vt:lpstr>
      <vt:lpstr>TOTALLOAN</vt:lpstr>
      <vt:lpstr>UNITS</vt:lpstr>
    </vt:vector>
  </TitlesOfParts>
  <Company>NYC Housing Development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mschatz</dc:creator>
  <cp:lastModifiedBy>Christman, Ryan</cp:lastModifiedBy>
  <cp:lastPrinted>2025-07-07T19:00:47Z</cp:lastPrinted>
  <dcterms:created xsi:type="dcterms:W3CDTF">1998-09-24T19:31:31Z</dcterms:created>
  <dcterms:modified xsi:type="dcterms:W3CDTF">2025-07-09T13:57:08Z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2024-07-22T17:05:30Z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75760b0d-36bd-4b06-8611-1bb03812968e</vt:lpwstr>
  </property>
  <property fmtid="{D5CDD505-2E9C-101B-9397-08002B2CF9AE}" pid="8" name="MSIP_Label_ebba276f-0474-4e48-a2bc-69b0eb22318c_ContentBits">
    <vt:lpwstr>0</vt:lpwstr>
  </property>
  <property fmtid="{D5CDD505-2E9C-101B-9397-08002B2CF9AE}" pid="9" name="ContentTypeId">
    <vt:lpwstr>0x010100594BA68D5A9E2C4C9E46D70CF9201E9C</vt:lpwstr>
  </property>
  <property fmtid="{D5CDD505-2E9C-101B-9397-08002B2CF9AE}" pid="10" name="Order">
    <vt:r8>98800</vt:r8>
  </property>
  <property fmtid="{D5CDD505-2E9C-101B-9397-08002B2CF9AE}" pid="11" name="MediaServiceImageTags">
    <vt:lpwstr/>
  </property>
</Properties>
</file>