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defaultThemeVersion="124226"/>
  <mc:AlternateContent xmlns:mc="http://schemas.openxmlformats.org/markup-compatibility/2006">
    <mc:Choice Requires="x15">
      <x15ac:absPath xmlns:x15ac="http://schemas.microsoft.com/office/spreadsheetml/2010/11/ac" url="C:\Users\anandp\Desktop\anju\"/>
    </mc:Choice>
  </mc:AlternateContent>
  <xr:revisionPtr revIDLastSave="0" documentId="8_{D1B7D88C-08C2-4A5B-AC82-11434CBA27B8}" xr6:coauthVersionLast="47" xr6:coauthVersionMax="47" xr10:uidLastSave="{00000000-0000-0000-0000-000000000000}"/>
  <bookViews>
    <workbookView xWindow="-98" yWindow="-98" windowWidth="20715" windowHeight="13155" tabRatio="680" firstSheet="1" activeTab="9" xr2:uid="{00000000-000D-0000-FFFF-FFFF00000000}"/>
  </bookViews>
  <sheets>
    <sheet name="Instructions" sheetId="34" r:id="rId1"/>
    <sheet name="Project Overview" sheetId="25" r:id="rId2"/>
    <sheet name="S+U" sheetId="1" r:id="rId3"/>
    <sheet name="Dev Budget" sheetId="2" r:id="rId4"/>
    <sheet name="Const. Loan Interest" sheetId="24" r:id="rId5"/>
    <sheet name="Sale Proceeds OLD" sheetId="22" state="hidden" r:id="rId6"/>
    <sheet name="Permanent Loan" sheetId="10" state="hidden" r:id="rId7"/>
    <sheet name="Sale Proceeds" sheetId="30" r:id="rId8"/>
    <sheet name="HH Factor" sheetId="26" state="hidden" r:id="rId9"/>
    <sheet name="CAM Charges &amp; Cashflow" sheetId="31" r:id="rId10"/>
    <sheet name="Project Sellout" sheetId="3" r:id="rId11"/>
    <sheet name="Draw Schedule" sheetId="32" r:id="rId12"/>
  </sheets>
  <externalReferences>
    <externalReference r:id="rId13"/>
  </externalReferences>
  <definedNames>
    <definedName name="_Fill" hidden="1">#REF!</definedName>
    <definedName name="_xlnm._FilterDatabase" localSheetId="7" hidden="1">'Sale Proceeds'!#REF!</definedName>
    <definedName name="_xlnm._FilterDatabase" localSheetId="5" hidden="1">'Sale Proceeds OLD'!#REF!</definedName>
    <definedName name="Average_NSF" localSheetId="5">INDEX(#REF!,MATCH('Sale Proceeds OLD'!#REF!,#REF!,0),1): INDEX(#REF!,MATCH('Sale Proceeds OLD'!#REF!,#REF!,1),1)</definedName>
    <definedName name="CAM" localSheetId="9">'CAM Charges &amp; Cashflow'!$C$28</definedName>
    <definedName name="CAM">'Project Sellout'!#REF!</definedName>
    <definedName name="FIRST" localSheetId="9">#REF!</definedName>
    <definedName name="FIRST">#REF!</definedName>
    <definedName name="GSF">'Project Overview'!$B$13</definedName>
    <definedName name="NOI" localSheetId="9">#REF!</definedName>
    <definedName name="NOI">#REF!</definedName>
    <definedName name="NSF" localSheetId="9">#REF!</definedName>
    <definedName name="NSF">#REF!</definedName>
    <definedName name="_xlnm.Print_Area" localSheetId="9">'CAM Charges &amp; Cashflow'!$A$1:$R$52</definedName>
    <definedName name="_xlnm.Print_Area" localSheetId="4">'Const. Loan Interest'!$A$1:$F$24</definedName>
    <definedName name="_xlnm.Print_Area" localSheetId="3">'Dev Budget'!$A$1:$F$75</definedName>
    <definedName name="_xlnm.Print_Area" localSheetId="6">'Permanent Loan'!$A$4:$L$39</definedName>
    <definedName name="_xlnm.Print_Area" localSheetId="10">'Project Sellout'!$A$1:$R$25</definedName>
    <definedName name="_xlnm.Print_Area" localSheetId="2">'S+U'!$A$1:$D$30</definedName>
    <definedName name="_xlnm.Print_Area" localSheetId="7">'Sale Proceeds'!$A$1:$E$65</definedName>
    <definedName name="_xlnm.Print_Area" localSheetId="5">'Sale Proceeds OLD'!$A$1:$E$64</definedName>
    <definedName name="ProjectType">[1]Sheet1!$A$1:$A$2</definedName>
    <definedName name="SalesRange" localSheetId="9">INDEX(#REF!,MATCH(#REF!,#REF!,0),0):INDEX(#REF!,MATCH(#REF!,#REF!,0),1)+#REF!</definedName>
    <definedName name="SalesRange" localSheetId="7">INDEX(#REF!,MATCH('Sale Proceeds'!#REF!,#REF!,0),0):INDEX(#REF!,MATCH('Sale Proceeds'!#REF!,#REF!,0),1)+'Sale Proceeds'!#REF!</definedName>
    <definedName name="SalesRange" localSheetId="5">INDEX(#REF!,MATCH('Sale Proceeds OLD'!#REF!,#REF!,0),0):INDEX(#REF!,MATCH('Sale Proceeds OLD'!#REF!,#REF!,0),1)+'Sale Proceeds OLD'!#REF!</definedName>
    <definedName name="SalesRange">INDEX(#REF!,MATCH(#REF!,#REF!,0),0):INDEX(#REF!,MATCH(#REF!,#REF!,0),1)+#REF!</definedName>
    <definedName name="SECOND" localSheetId="9">#REF!</definedName>
    <definedName name="SECOND">#REF!</definedName>
    <definedName name="solver_eng" localSheetId="2" hidden="1">1</definedName>
    <definedName name="solver_neg" localSheetId="2" hidden="1">1</definedName>
    <definedName name="solver_num" localSheetId="2" hidden="1">0</definedName>
    <definedName name="solver_opt" localSheetId="2" hidden="1">'S+U'!$C$57</definedName>
    <definedName name="solver_typ" localSheetId="2" hidden="1">3</definedName>
    <definedName name="solver_val" localSheetId="2" hidden="1">0</definedName>
    <definedName name="solver_ver" localSheetId="2" hidden="1">3</definedName>
    <definedName name="TDC">'Dev Budget'!$B$75</definedName>
    <definedName name="TOTALAHC">'Project Overview'!$D$40</definedName>
    <definedName name="TOTALAHOP">'Project Overview'!$D$47</definedName>
    <definedName name="TOTALDU">'Project Overview'!$B$22</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1" l="1"/>
  <c r="C9" i="31"/>
  <c r="C17" i="31"/>
  <c r="D23" i="24"/>
  <c r="B93" i="2"/>
  <c r="H31" i="25" l="1"/>
  <c r="G31" i="25"/>
  <c r="F31" i="25"/>
  <c r="E31" i="25"/>
  <c r="H30" i="25"/>
  <c r="G30" i="25"/>
  <c r="F30" i="25"/>
  <c r="E30" i="25"/>
  <c r="H29" i="25"/>
  <c r="G29" i="25"/>
  <c r="F29" i="25"/>
  <c r="E29" i="25"/>
  <c r="H28" i="25"/>
  <c r="G28" i="25"/>
  <c r="F28" i="25"/>
  <c r="E28" i="25"/>
  <c r="H27" i="25"/>
  <c r="G27" i="25"/>
  <c r="F27" i="25"/>
  <c r="E27" i="25"/>
  <c r="D27" i="25" l="1"/>
  <c r="D28" i="25"/>
  <c r="D29" i="25"/>
  <c r="D30" i="25"/>
  <c r="D31" i="25"/>
  <c r="C31" i="25"/>
  <c r="C30" i="25"/>
  <c r="C29" i="25"/>
  <c r="C28" i="25"/>
  <c r="C27" i="25"/>
  <c r="B13" i="25"/>
  <c r="B20" i="25"/>
  <c r="B19" i="25"/>
  <c r="B18" i="25"/>
  <c r="B17" i="25"/>
  <c r="E32" i="25" l="1"/>
  <c r="F32" i="25"/>
  <c r="C38" i="25" l="1"/>
  <c r="D38" i="25" s="1"/>
  <c r="N14" i="30"/>
  <c r="M14" i="30"/>
  <c r="B21" i="2"/>
  <c r="E3" i="2"/>
  <c r="C18" i="31"/>
  <c r="E33" i="2" l="1"/>
  <c r="E29" i="2"/>
  <c r="D22" i="30"/>
  <c r="H22" i="30" s="1"/>
  <c r="C10" i="31"/>
  <c r="M24" i="30"/>
  <c r="N24" i="30" s="1"/>
  <c r="M25" i="30"/>
  <c r="M26" i="30"/>
  <c r="M27" i="30"/>
  <c r="M28" i="30"/>
  <c r="N28" i="30" s="1"/>
  <c r="M29" i="30"/>
  <c r="M30" i="30"/>
  <c r="N30" i="30" s="1"/>
  <c r="M31" i="30"/>
  <c r="M32" i="30"/>
  <c r="M33" i="30"/>
  <c r="M34" i="30"/>
  <c r="M35" i="30"/>
  <c r="M36" i="30"/>
  <c r="M37" i="30"/>
  <c r="M38" i="30"/>
  <c r="N38" i="30" s="1"/>
  <c r="M39" i="30"/>
  <c r="M40" i="30"/>
  <c r="M41" i="30"/>
  <c r="N41" i="30" s="1"/>
  <c r="M42" i="30"/>
  <c r="M43" i="30"/>
  <c r="M44" i="30"/>
  <c r="M45" i="30"/>
  <c r="M46" i="30"/>
  <c r="N46" i="30" s="1"/>
  <c r="M47" i="30"/>
  <c r="M48" i="30"/>
  <c r="M49" i="30"/>
  <c r="N49" i="30" s="1"/>
  <c r="M50" i="30"/>
  <c r="M51" i="30"/>
  <c r="M52" i="30"/>
  <c r="M53" i="30"/>
  <c r="N53" i="30" s="1"/>
  <c r="M54" i="30"/>
  <c r="N54" i="30" s="1"/>
  <c r="M55" i="30"/>
  <c r="M56" i="30"/>
  <c r="N56" i="30" s="1"/>
  <c r="M57" i="30"/>
  <c r="N57" i="30" s="1"/>
  <c r="M58" i="30"/>
  <c r="M59" i="30"/>
  <c r="M60" i="30"/>
  <c r="M61" i="30"/>
  <c r="M62" i="30"/>
  <c r="M63" i="30"/>
  <c r="M64" i="30"/>
  <c r="M65" i="30"/>
  <c r="M66" i="30"/>
  <c r="M67" i="30"/>
  <c r="M68" i="30"/>
  <c r="M69" i="30"/>
  <c r="M70" i="30"/>
  <c r="M71" i="30"/>
  <c r="M72" i="30"/>
  <c r="M73" i="30"/>
  <c r="M74" i="30"/>
  <c r="N74" i="30" s="1"/>
  <c r="M75" i="30"/>
  <c r="M76" i="30"/>
  <c r="M77" i="30"/>
  <c r="N77" i="30" s="1"/>
  <c r="M78" i="30"/>
  <c r="N78" i="30" s="1"/>
  <c r="M23" i="30"/>
  <c r="D1" i="31"/>
  <c r="C20" i="31" s="1"/>
  <c r="B10" i="32"/>
  <c r="B11" i="32"/>
  <c r="B12" i="32"/>
  <c r="B13" i="32"/>
  <c r="B14" i="32"/>
  <c r="D56" i="32"/>
  <c r="C56" i="32"/>
  <c r="C65" i="32" s="1"/>
  <c r="C69" i="32" s="1"/>
  <c r="F74" i="32" s="1"/>
  <c r="D42" i="32"/>
  <c r="D65" i="32" s="1"/>
  <c r="D69" i="32" s="1"/>
  <c r="F90" i="32" s="1"/>
  <c r="C42" i="32"/>
  <c r="C6" i="32"/>
  <c r="C16" i="32"/>
  <c r="C34" i="32"/>
  <c r="C28"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D34" i="32"/>
  <c r="D16" i="32"/>
  <c r="D6" i="32"/>
  <c r="G61" i="32"/>
  <c r="G56" i="32"/>
  <c r="G42" i="32"/>
  <c r="G34" i="32"/>
  <c r="G65" i="32"/>
  <c r="G69" i="32" s="1"/>
  <c r="G16" i="32"/>
  <c r="G6" i="32"/>
  <c r="H61" i="32"/>
  <c r="H56" i="32"/>
  <c r="H42" i="32"/>
  <c r="H34" i="32"/>
  <c r="H16" i="32"/>
  <c r="H6" i="32"/>
  <c r="I61" i="32"/>
  <c r="I56" i="32"/>
  <c r="I42" i="32"/>
  <c r="I34" i="32"/>
  <c r="I16" i="32"/>
  <c r="I6" i="32"/>
  <c r="J61" i="32"/>
  <c r="J65" i="32" s="1"/>
  <c r="J56" i="32"/>
  <c r="J42" i="32"/>
  <c r="J34" i="32"/>
  <c r="J69" i="32"/>
  <c r="J16" i="32"/>
  <c r="J6" i="32"/>
  <c r="K61" i="32"/>
  <c r="K56" i="32"/>
  <c r="K42" i="32"/>
  <c r="K34" i="32"/>
  <c r="K16" i="32"/>
  <c r="K6" i="32"/>
  <c r="L61" i="32"/>
  <c r="L56" i="32"/>
  <c r="L42" i="32"/>
  <c r="L34" i="32"/>
  <c r="L65" i="32" s="1"/>
  <c r="L69" i="32" s="1"/>
  <c r="L16" i="32"/>
  <c r="L6" i="32"/>
  <c r="M61" i="32"/>
  <c r="M56" i="32"/>
  <c r="M42" i="32"/>
  <c r="M34" i="32"/>
  <c r="M16" i="32"/>
  <c r="M6" i="32"/>
  <c r="N61" i="32"/>
  <c r="N56" i="32"/>
  <c r="N42" i="32"/>
  <c r="N34" i="32"/>
  <c r="N16" i="32"/>
  <c r="N6" i="32"/>
  <c r="O61" i="32"/>
  <c r="O56" i="32"/>
  <c r="O42" i="32"/>
  <c r="O34" i="32"/>
  <c r="O16" i="32"/>
  <c r="O6" i="32"/>
  <c r="P61" i="32"/>
  <c r="P56" i="32"/>
  <c r="P42" i="32"/>
  <c r="P34" i="32"/>
  <c r="P16" i="32"/>
  <c r="P6" i="32"/>
  <c r="Q61" i="32"/>
  <c r="Q65" i="32"/>
  <c r="Q56" i="32"/>
  <c r="Q42" i="32"/>
  <c r="Q34" i="32"/>
  <c r="Q16" i="32"/>
  <c r="Q6" i="32"/>
  <c r="R61" i="32"/>
  <c r="R56" i="32"/>
  <c r="R42" i="32"/>
  <c r="R34" i="32"/>
  <c r="R16" i="32"/>
  <c r="R6" i="32"/>
  <c r="S61" i="32"/>
  <c r="S56" i="32"/>
  <c r="S42" i="32"/>
  <c r="S34" i="32"/>
  <c r="S65" i="32"/>
  <c r="S69" i="32" s="1"/>
  <c r="S16" i="32"/>
  <c r="S6" i="32"/>
  <c r="T61" i="32"/>
  <c r="T56" i="32"/>
  <c r="T42" i="32"/>
  <c r="T34" i="32"/>
  <c r="T16" i="32"/>
  <c r="T6" i="32"/>
  <c r="U61" i="32"/>
  <c r="U56" i="32"/>
  <c r="U42" i="32"/>
  <c r="U34" i="32"/>
  <c r="U16" i="32"/>
  <c r="U6" i="32"/>
  <c r="V61" i="32"/>
  <c r="V56" i="32"/>
  <c r="V42" i="32"/>
  <c r="V34" i="32"/>
  <c r="V16" i="32"/>
  <c r="V6" i="32"/>
  <c r="W61" i="32"/>
  <c r="W56" i="32"/>
  <c r="W42" i="32"/>
  <c r="W34" i="32"/>
  <c r="W16" i="32"/>
  <c r="W6" i="32"/>
  <c r="X61" i="32"/>
  <c r="X56" i="32"/>
  <c r="X65" i="32" s="1"/>
  <c r="X42" i="32"/>
  <c r="X34" i="32"/>
  <c r="X16" i="32"/>
  <c r="X6" i="32"/>
  <c r="Y61" i="32"/>
  <c r="Y56" i="32"/>
  <c r="Y42" i="32"/>
  <c r="Y34" i="32"/>
  <c r="Y16" i="32"/>
  <c r="Y6" i="32"/>
  <c r="Z61" i="32"/>
  <c r="Z56" i="32"/>
  <c r="Z42" i="32"/>
  <c r="Z34" i="32"/>
  <c r="Z16" i="32"/>
  <c r="Z6" i="32"/>
  <c r="AA61" i="32"/>
  <c r="AA56" i="32"/>
  <c r="AA42" i="32"/>
  <c r="AA34" i="32"/>
  <c r="AA65" i="32" s="1"/>
  <c r="AA69" i="32" s="1"/>
  <c r="AA16" i="32"/>
  <c r="AA6" i="32"/>
  <c r="AB61" i="32"/>
  <c r="AB56" i="32"/>
  <c r="AB42" i="32"/>
  <c r="AB34" i="32"/>
  <c r="AB16" i="32"/>
  <c r="AB6" i="32"/>
  <c r="AC61" i="32"/>
  <c r="AC56" i="32"/>
  <c r="AC42" i="32"/>
  <c r="AC34" i="32"/>
  <c r="AC16" i="32"/>
  <c r="AC6" i="32"/>
  <c r="AD61" i="32"/>
  <c r="AD56" i="32"/>
  <c r="AD42" i="32"/>
  <c r="AD34" i="32"/>
  <c r="AD16" i="32"/>
  <c r="AD6" i="32"/>
  <c r="AE61" i="32"/>
  <c r="AE56" i="32"/>
  <c r="AE42" i="32"/>
  <c r="AE34" i="32"/>
  <c r="AE16" i="32"/>
  <c r="AE6" i="32"/>
  <c r="AF61" i="32"/>
  <c r="AF56" i="32"/>
  <c r="AF65" i="32" s="1"/>
  <c r="AF69" i="32" s="1"/>
  <c r="AF42" i="32"/>
  <c r="AF34" i="32"/>
  <c r="AF16" i="32"/>
  <c r="AF6" i="32"/>
  <c r="AG61" i="32"/>
  <c r="AG56" i="32"/>
  <c r="AG42" i="32"/>
  <c r="AG34" i="32"/>
  <c r="AG16" i="32"/>
  <c r="AG6" i="32"/>
  <c r="F61" i="32"/>
  <c r="F56" i="32"/>
  <c r="F65" i="32" s="1"/>
  <c r="F42" i="32"/>
  <c r="F34" i="32"/>
  <c r="F16" i="32"/>
  <c r="F6" i="32"/>
  <c r="B12" i="2"/>
  <c r="B26" i="1" s="1"/>
  <c r="B9" i="32"/>
  <c r="B15" i="32"/>
  <c r="B20" i="32"/>
  <c r="B21" i="32"/>
  <c r="B22" i="32"/>
  <c r="B23" i="32"/>
  <c r="B24" i="32"/>
  <c r="B25" i="32"/>
  <c r="B26" i="32"/>
  <c r="B27" i="32"/>
  <c r="B28" i="32"/>
  <c r="B29" i="32"/>
  <c r="B30" i="32"/>
  <c r="B31" i="32"/>
  <c r="B32" i="32"/>
  <c r="B33" i="32"/>
  <c r="B40" i="2"/>
  <c r="D40" i="2" s="1"/>
  <c r="B38" i="32"/>
  <c r="B40" i="32"/>
  <c r="B48" i="32"/>
  <c r="B50" i="32"/>
  <c r="B53" i="32"/>
  <c r="B54" i="32"/>
  <c r="B55" i="32"/>
  <c r="B5" i="32"/>
  <c r="C20" i="3"/>
  <c r="D20" i="3"/>
  <c r="C13" i="3"/>
  <c r="D13" i="3"/>
  <c r="E13" i="3"/>
  <c r="E20" i="3"/>
  <c r="F20" i="3" s="1"/>
  <c r="G20" i="3" s="1"/>
  <c r="C13" i="31"/>
  <c r="B4" i="31"/>
  <c r="A4" i="31"/>
  <c r="B3" i="31"/>
  <c r="A3" i="31"/>
  <c r="B2" i="31"/>
  <c r="A2" i="31"/>
  <c r="B1" i="31"/>
  <c r="A1" i="31"/>
  <c r="N15" i="30"/>
  <c r="N16" i="30"/>
  <c r="N17" i="30"/>
  <c r="N18" i="30"/>
  <c r="M15" i="30"/>
  <c r="M16" i="30"/>
  <c r="M17" i="30"/>
  <c r="M18" i="30"/>
  <c r="C79" i="30"/>
  <c r="P23" i="30"/>
  <c r="P24" i="30"/>
  <c r="P25" i="30"/>
  <c r="P26" i="30"/>
  <c r="P27" i="30"/>
  <c r="P28" i="30"/>
  <c r="P29" i="30"/>
  <c r="P30" i="30"/>
  <c r="P31" i="30"/>
  <c r="P32" i="30"/>
  <c r="P33" i="30"/>
  <c r="P34" i="30"/>
  <c r="P35" i="30"/>
  <c r="P36" i="30"/>
  <c r="P37" i="30"/>
  <c r="P38" i="30"/>
  <c r="P39" i="30"/>
  <c r="P40" i="30"/>
  <c r="P41" i="30"/>
  <c r="P42" i="30"/>
  <c r="P43" i="30"/>
  <c r="P44" i="30"/>
  <c r="P45" i="30"/>
  <c r="P46" i="30"/>
  <c r="P47" i="30"/>
  <c r="P48" i="30"/>
  <c r="P49" i="30"/>
  <c r="P50" i="30"/>
  <c r="P51" i="30"/>
  <c r="P52" i="30"/>
  <c r="P53" i="30"/>
  <c r="P54" i="30"/>
  <c r="P55" i="30"/>
  <c r="P56" i="30"/>
  <c r="P57" i="30"/>
  <c r="P58" i="30"/>
  <c r="P59" i="30"/>
  <c r="P60" i="30"/>
  <c r="P61" i="30"/>
  <c r="P62" i="30"/>
  <c r="P63" i="30"/>
  <c r="P64" i="30"/>
  <c r="P65" i="30"/>
  <c r="P66" i="30"/>
  <c r="P67" i="30"/>
  <c r="P68" i="30"/>
  <c r="P69" i="30"/>
  <c r="P70" i="30"/>
  <c r="P71" i="30"/>
  <c r="P72" i="30"/>
  <c r="P73" i="30"/>
  <c r="P74" i="30"/>
  <c r="P75" i="30"/>
  <c r="P76" i="30"/>
  <c r="P77" i="30"/>
  <c r="P78" i="30"/>
  <c r="P22" i="30"/>
  <c r="L23" i="30"/>
  <c r="N23" i="30" s="1"/>
  <c r="L24" i="30"/>
  <c r="L25" i="30"/>
  <c r="L26" i="30"/>
  <c r="L27" i="30"/>
  <c r="N27" i="30" s="1"/>
  <c r="L28" i="30"/>
  <c r="L29" i="30"/>
  <c r="L30" i="30"/>
  <c r="L31" i="30"/>
  <c r="N31" i="30" s="1"/>
  <c r="L32" i="30"/>
  <c r="L33" i="30"/>
  <c r="L34" i="30"/>
  <c r="L35" i="30"/>
  <c r="L36" i="30"/>
  <c r="L37" i="30"/>
  <c r="L38" i="30"/>
  <c r="L39" i="30"/>
  <c r="L40" i="30"/>
  <c r="L41" i="30"/>
  <c r="L42" i="30"/>
  <c r="L43" i="30"/>
  <c r="N43" i="30" s="1"/>
  <c r="L44" i="30"/>
  <c r="L45" i="30"/>
  <c r="L46" i="30"/>
  <c r="L47" i="30"/>
  <c r="L48" i="30"/>
  <c r="L49" i="30"/>
  <c r="L50" i="30"/>
  <c r="L51" i="30"/>
  <c r="L52" i="30"/>
  <c r="L53" i="30"/>
  <c r="L54" i="30"/>
  <c r="L55" i="30"/>
  <c r="L56" i="30"/>
  <c r="L57" i="30"/>
  <c r="L58" i="30"/>
  <c r="N58" i="30" s="1"/>
  <c r="L59" i="30"/>
  <c r="L60" i="30"/>
  <c r="L61" i="30"/>
  <c r="L62" i="30"/>
  <c r="L63" i="30"/>
  <c r="N63" i="30" s="1"/>
  <c r="L64" i="30"/>
  <c r="L65" i="30"/>
  <c r="L66" i="30"/>
  <c r="L67" i="30"/>
  <c r="N67" i="30" s="1"/>
  <c r="L68" i="30"/>
  <c r="L69" i="30"/>
  <c r="L70" i="30"/>
  <c r="L71" i="30"/>
  <c r="L72" i="30"/>
  <c r="L73" i="30"/>
  <c r="L74" i="30"/>
  <c r="L75" i="30"/>
  <c r="N75" i="30" s="1"/>
  <c r="L76" i="30"/>
  <c r="L77" i="30"/>
  <c r="L78" i="30"/>
  <c r="L22" i="30"/>
  <c r="N22" i="30" s="1"/>
  <c r="D23" i="30"/>
  <c r="H23" i="30"/>
  <c r="D24" i="30"/>
  <c r="H24" i="30" s="1"/>
  <c r="D25" i="30"/>
  <c r="H25" i="30" s="1"/>
  <c r="D26" i="30"/>
  <c r="H26" i="30"/>
  <c r="D27" i="30"/>
  <c r="H27" i="30" s="1"/>
  <c r="D28" i="30"/>
  <c r="H28" i="30" s="1"/>
  <c r="D29" i="30"/>
  <c r="H29" i="30"/>
  <c r="D30" i="30"/>
  <c r="H30" i="30" s="1"/>
  <c r="D31" i="30"/>
  <c r="H31" i="30" s="1"/>
  <c r="D32" i="30"/>
  <c r="H32" i="30"/>
  <c r="D33" i="30"/>
  <c r="H33" i="30" s="1"/>
  <c r="D34" i="30"/>
  <c r="H34" i="30" s="1"/>
  <c r="D35" i="30"/>
  <c r="H35" i="30"/>
  <c r="D36" i="30"/>
  <c r="H36" i="30" s="1"/>
  <c r="D37" i="30"/>
  <c r="H37" i="30" s="1"/>
  <c r="D38" i="30"/>
  <c r="H38" i="30"/>
  <c r="D39" i="30"/>
  <c r="H39" i="30" s="1"/>
  <c r="D40" i="30"/>
  <c r="H40" i="30" s="1"/>
  <c r="D41" i="30"/>
  <c r="H41" i="30"/>
  <c r="D42" i="30"/>
  <c r="H42" i="30" s="1"/>
  <c r="D43" i="30"/>
  <c r="H43" i="30" s="1"/>
  <c r="D44" i="30"/>
  <c r="H44" i="30"/>
  <c r="D45" i="30"/>
  <c r="H45" i="30" s="1"/>
  <c r="D46" i="30"/>
  <c r="H46" i="30" s="1"/>
  <c r="D47" i="30"/>
  <c r="H47" i="30"/>
  <c r="D48" i="30"/>
  <c r="H48" i="30" s="1"/>
  <c r="D49" i="30"/>
  <c r="H49" i="30" s="1"/>
  <c r="D50" i="30"/>
  <c r="H50" i="30"/>
  <c r="D51" i="30"/>
  <c r="H51" i="30" s="1"/>
  <c r="D52" i="30"/>
  <c r="H52" i="30" s="1"/>
  <c r="D53" i="30"/>
  <c r="H53" i="30"/>
  <c r="D54" i="30"/>
  <c r="H54" i="30" s="1"/>
  <c r="D55" i="30"/>
  <c r="H55" i="30" s="1"/>
  <c r="D56" i="30"/>
  <c r="H56" i="30"/>
  <c r="D57" i="30"/>
  <c r="H57" i="30" s="1"/>
  <c r="D58" i="30"/>
  <c r="H58" i="30" s="1"/>
  <c r="D59" i="30"/>
  <c r="H59" i="30"/>
  <c r="D60" i="30"/>
  <c r="H60" i="30" s="1"/>
  <c r="D61" i="30"/>
  <c r="H61" i="30" s="1"/>
  <c r="D62" i="30"/>
  <c r="H62" i="30"/>
  <c r="D63" i="30"/>
  <c r="H63" i="30" s="1"/>
  <c r="D64" i="30"/>
  <c r="H64" i="30" s="1"/>
  <c r="D65" i="30"/>
  <c r="H65" i="30"/>
  <c r="D66" i="30"/>
  <c r="H66" i="30" s="1"/>
  <c r="D67" i="30"/>
  <c r="H67" i="30" s="1"/>
  <c r="D68" i="30"/>
  <c r="H68" i="30"/>
  <c r="D69" i="30"/>
  <c r="H69" i="30" s="1"/>
  <c r="D70" i="30"/>
  <c r="H70" i="30" s="1"/>
  <c r="D71" i="30"/>
  <c r="H71" i="30"/>
  <c r="D72" i="30"/>
  <c r="H72" i="30" s="1"/>
  <c r="D73" i="30"/>
  <c r="H73" i="30" s="1"/>
  <c r="D74" i="30"/>
  <c r="H74" i="30"/>
  <c r="D75" i="30"/>
  <c r="H75" i="30" s="1"/>
  <c r="D76" i="30"/>
  <c r="H76" i="30" s="1"/>
  <c r="D77" i="30"/>
  <c r="H77" i="30"/>
  <c r="D78" i="30"/>
  <c r="H78" i="30" s="1"/>
  <c r="B1" i="30"/>
  <c r="B2" i="30"/>
  <c r="B3" i="30"/>
  <c r="B4" i="30"/>
  <c r="B7" i="30"/>
  <c r="D7" i="30" s="1"/>
  <c r="C36" i="31" s="1"/>
  <c r="B10" i="30"/>
  <c r="D10" i="30" s="1"/>
  <c r="B11" i="30"/>
  <c r="D11" i="30" s="1"/>
  <c r="E21" i="25"/>
  <c r="E79" i="30"/>
  <c r="I17" i="30"/>
  <c r="I16" i="30"/>
  <c r="I15" i="30"/>
  <c r="I14" i="30"/>
  <c r="B3" i="1"/>
  <c r="D3" i="30"/>
  <c r="E3" i="24"/>
  <c r="D3" i="2"/>
  <c r="D3" i="1"/>
  <c r="B4" i="3"/>
  <c r="B3" i="3"/>
  <c r="B2" i="3"/>
  <c r="B1" i="3"/>
  <c r="A1" i="3"/>
  <c r="A2" i="3"/>
  <c r="A3" i="3"/>
  <c r="A4" i="3"/>
  <c r="C4" i="24"/>
  <c r="C3" i="24"/>
  <c r="C2" i="24"/>
  <c r="C1" i="24"/>
  <c r="B4" i="2"/>
  <c r="B3" i="2"/>
  <c r="B2" i="2"/>
  <c r="B1" i="2"/>
  <c r="B4" i="1"/>
  <c r="B2" i="1"/>
  <c r="B1" i="1"/>
  <c r="B1" i="10" s="1"/>
  <c r="L11" i="30"/>
  <c r="L10" i="30"/>
  <c r="L9" i="30"/>
  <c r="L8" i="30"/>
  <c r="L7" i="30"/>
  <c r="D15" i="2"/>
  <c r="D20" i="2"/>
  <c r="D19" i="2"/>
  <c r="D18" i="2"/>
  <c r="D17" i="2"/>
  <c r="D33" i="2"/>
  <c r="A13" i="1"/>
  <c r="A11" i="25"/>
  <c r="A10" i="25"/>
  <c r="D56" i="2"/>
  <c r="D54" i="2"/>
  <c r="D44" i="2"/>
  <c r="D61" i="2"/>
  <c r="D39" i="2"/>
  <c r="D31" i="2"/>
  <c r="D38" i="2"/>
  <c r="D30" i="2"/>
  <c r="D32" i="2"/>
  <c r="D28" i="2"/>
  <c r="D29" i="2"/>
  <c r="D27" i="2"/>
  <c r="D26" i="2"/>
  <c r="A4" i="30"/>
  <c r="A3" i="30"/>
  <c r="A2" i="30"/>
  <c r="A1" i="30"/>
  <c r="M16" i="22"/>
  <c r="N16" i="22" s="1"/>
  <c r="M15" i="22"/>
  <c r="M14" i="22"/>
  <c r="I28" i="22" s="1"/>
  <c r="J28" i="22" s="1"/>
  <c r="M13" i="22"/>
  <c r="I27" i="22" s="1"/>
  <c r="J27" i="22" s="1"/>
  <c r="N13" i="22"/>
  <c r="M12" i="22"/>
  <c r="M11" i="22"/>
  <c r="I25" i="22" s="1"/>
  <c r="M25" i="22" s="1"/>
  <c r="N25" i="22" s="1"/>
  <c r="M10" i="22"/>
  <c r="M9" i="22"/>
  <c r="N9" i="22" s="1"/>
  <c r="A4" i="26"/>
  <c r="A3" i="26"/>
  <c r="A2" i="26"/>
  <c r="A1" i="26"/>
  <c r="A4" i="22"/>
  <c r="A3" i="22"/>
  <c r="A2" i="22"/>
  <c r="A1" i="22"/>
  <c r="A4" i="24"/>
  <c r="A3" i="24"/>
  <c r="A2" i="24"/>
  <c r="A1" i="24"/>
  <c r="A4" i="2"/>
  <c r="A3" i="2"/>
  <c r="A2" i="2"/>
  <c r="A1" i="2"/>
  <c r="A4" i="1"/>
  <c r="A3" i="1"/>
  <c r="A2" i="10" s="1"/>
  <c r="A2" i="1"/>
  <c r="A1" i="1"/>
  <c r="A1" i="10" s="1"/>
  <c r="M28" i="22"/>
  <c r="N28" i="22" s="1"/>
  <c r="J16" i="22"/>
  <c r="J15" i="22"/>
  <c r="J14" i="22"/>
  <c r="J13" i="22"/>
  <c r="J12" i="22"/>
  <c r="J11" i="22"/>
  <c r="C30" i="22" s="1"/>
  <c r="J10" i="22"/>
  <c r="J9" i="22"/>
  <c r="I10" i="26"/>
  <c r="D29" i="26"/>
  <c r="L28" i="26"/>
  <c r="L27" i="26" s="1"/>
  <c r="L26" i="26" s="1"/>
  <c r="L25" i="26" s="1"/>
  <c r="L24" i="26" s="1"/>
  <c r="L23" i="26" s="1"/>
  <c r="L22" i="26" s="1"/>
  <c r="F28" i="26"/>
  <c r="G28" i="26" s="1"/>
  <c r="F26" i="26"/>
  <c r="D24" i="26"/>
  <c r="F24" i="26" s="1"/>
  <c r="G24" i="26" s="1"/>
  <c r="M23" i="26"/>
  <c r="M24" i="26"/>
  <c r="N24" i="26" s="1"/>
  <c r="N22" i="26"/>
  <c r="F25" i="26" s="1"/>
  <c r="I15" i="26"/>
  <c r="I14" i="26"/>
  <c r="I13" i="26"/>
  <c r="I12" i="26"/>
  <c r="I11" i="26"/>
  <c r="N23" i="26"/>
  <c r="E22" i="24"/>
  <c r="B50" i="22"/>
  <c r="B53" i="22" s="1"/>
  <c r="E20" i="24"/>
  <c r="E21" i="24" s="1"/>
  <c r="A90" i="2"/>
  <c r="A18" i="1"/>
  <c r="A19" i="1"/>
  <c r="A10" i="1"/>
  <c r="A11" i="1"/>
  <c r="A12" i="1"/>
  <c r="A9" i="1"/>
  <c r="D11" i="2"/>
  <c r="A12" i="25"/>
  <c r="B11" i="24"/>
  <c r="D22" i="24" s="1"/>
  <c r="D21" i="24"/>
  <c r="D20" i="24"/>
  <c r="D46" i="2"/>
  <c r="D1" i="10"/>
  <c r="C1" i="10"/>
  <c r="L21" i="10"/>
  <c r="D20" i="10"/>
  <c r="E20" i="10"/>
  <c r="F20" i="10" s="1"/>
  <c r="G20" i="10" s="1"/>
  <c r="H20" i="10" s="1"/>
  <c r="I20" i="10" s="1"/>
  <c r="J20" i="10" s="1"/>
  <c r="K20" i="10" s="1"/>
  <c r="E22" i="10" s="1"/>
  <c r="B7" i="10"/>
  <c r="B6" i="10"/>
  <c r="B5" i="10"/>
  <c r="B25" i="10"/>
  <c r="L25" i="10" s="1"/>
  <c r="D36" i="2"/>
  <c r="D37" i="2"/>
  <c r="D35" i="2"/>
  <c r="D60" i="2"/>
  <c r="D59" i="2"/>
  <c r="D34" i="2"/>
  <c r="B23" i="10"/>
  <c r="B24" i="10"/>
  <c r="K24" i="10" s="1"/>
  <c r="B11" i="10"/>
  <c r="B12" i="10"/>
  <c r="A21" i="1"/>
  <c r="B52" i="22"/>
  <c r="B51" i="22"/>
  <c r="B21" i="22"/>
  <c r="E21" i="22" s="1"/>
  <c r="B20" i="22"/>
  <c r="E20" i="22"/>
  <c r="B19" i="22"/>
  <c r="E19" i="22" s="1"/>
  <c r="D27" i="22" s="1"/>
  <c r="E3" i="1"/>
  <c r="D1" i="3"/>
  <c r="F3" i="24"/>
  <c r="E3" i="30"/>
  <c r="N37" i="30"/>
  <c r="C29" i="22"/>
  <c r="D31" i="22"/>
  <c r="B35" i="10"/>
  <c r="B38" i="10" s="1"/>
  <c r="B39" i="10" s="1"/>
  <c r="N11" i="22"/>
  <c r="N14" i="22"/>
  <c r="AC65" i="32"/>
  <c r="AC69" i="32" s="1"/>
  <c r="C32" i="22"/>
  <c r="G46" i="30"/>
  <c r="G78" i="30"/>
  <c r="B9" i="25"/>
  <c r="A9" i="25" s="1"/>
  <c r="A13" i="25" s="1"/>
  <c r="N72" i="30"/>
  <c r="N32" i="30"/>
  <c r="N44" i="30"/>
  <c r="N39" i="30"/>
  <c r="N51" i="30"/>
  <c r="N68" i="30"/>
  <c r="N36" i="30"/>
  <c r="N29" i="30"/>
  <c r="N48" i="30"/>
  <c r="N61" i="30"/>
  <c r="N76" i="30"/>
  <c r="N60" i="30"/>
  <c r="N55" i="30"/>
  <c r="N64" i="30"/>
  <c r="N52" i="30"/>
  <c r="N47" i="30"/>
  <c r="J25" i="22"/>
  <c r="D12" i="2" l="1"/>
  <c r="B6" i="32"/>
  <c r="E15" i="3"/>
  <c r="E16" i="3" s="1"/>
  <c r="G25" i="26"/>
  <c r="B9" i="22"/>
  <c r="C9" i="22" s="1"/>
  <c r="D9" i="22" s="1"/>
  <c r="E9" i="22" s="1"/>
  <c r="G22" i="3"/>
  <c r="G23" i="3" s="1"/>
  <c r="H20" i="3"/>
  <c r="F69" i="32"/>
  <c r="M27" i="22"/>
  <c r="N27" i="22" s="1"/>
  <c r="G35" i="30"/>
  <c r="G62" i="30"/>
  <c r="G25" i="30"/>
  <c r="G48" i="30"/>
  <c r="G50" i="30"/>
  <c r="G36" i="30"/>
  <c r="X69" i="32"/>
  <c r="Q69" i="32"/>
  <c r="C24" i="31"/>
  <c r="C12" i="31"/>
  <c r="G67" i="30"/>
  <c r="G51" i="30"/>
  <c r="N70" i="30"/>
  <c r="N66" i="30"/>
  <c r="N62" i="30"/>
  <c r="N50" i="30"/>
  <c r="N42" i="30"/>
  <c r="N34" i="30"/>
  <c r="N26" i="30"/>
  <c r="AD65" i="32"/>
  <c r="AD69" i="32" s="1"/>
  <c r="V65" i="32"/>
  <c r="C26" i="31"/>
  <c r="C47" i="31" s="1"/>
  <c r="D47" i="31" s="1"/>
  <c r="E47" i="31" s="1"/>
  <c r="F47" i="31" s="1"/>
  <c r="G47" i="31" s="1"/>
  <c r="H47" i="31" s="1"/>
  <c r="I47" i="31" s="1"/>
  <c r="J47" i="31" s="1"/>
  <c r="K47" i="31" s="1"/>
  <c r="L47" i="31" s="1"/>
  <c r="M47" i="31" s="1"/>
  <c r="N47" i="31" s="1"/>
  <c r="O47" i="31" s="1"/>
  <c r="P47" i="31" s="1"/>
  <c r="Q47" i="31" s="1"/>
  <c r="B16" i="25"/>
  <c r="G73" i="30"/>
  <c r="C37" i="31"/>
  <c r="D36" i="31"/>
  <c r="F22" i="3"/>
  <c r="F23" i="3" s="1"/>
  <c r="E22" i="3"/>
  <c r="E23" i="3" s="1"/>
  <c r="C22" i="3"/>
  <c r="C23" i="3" s="1"/>
  <c r="D15" i="3"/>
  <c r="D16" i="3" s="1"/>
  <c r="D22" i="3"/>
  <c r="D23" i="3" s="1"/>
  <c r="C15" i="3"/>
  <c r="C16" i="3" s="1"/>
  <c r="C31" i="22"/>
  <c r="D29" i="22"/>
  <c r="D30" i="22"/>
  <c r="E31" i="22"/>
  <c r="E29" i="22"/>
  <c r="N73" i="30"/>
  <c r="N69" i="30"/>
  <c r="N65" i="30"/>
  <c r="AG65" i="32"/>
  <c r="AE65" i="32"/>
  <c r="AE69" i="32" s="1"/>
  <c r="C40" i="31"/>
  <c r="N45" i="30"/>
  <c r="N33" i="30"/>
  <c r="N25" i="30"/>
  <c r="R65" i="32"/>
  <c r="R69" i="32" s="1"/>
  <c r="K65" i="32"/>
  <c r="K69" i="32" s="1"/>
  <c r="B34" i="32"/>
  <c r="C6" i="10"/>
  <c r="B12" i="22"/>
  <c r="C12" i="22" s="1"/>
  <c r="D12" i="22" s="1"/>
  <c r="E12" i="22" s="1"/>
  <c r="N40" i="30"/>
  <c r="W65" i="32"/>
  <c r="W69" i="32" s="1"/>
  <c r="U65" i="32"/>
  <c r="N65" i="32"/>
  <c r="N69" i="32" s="1"/>
  <c r="H65" i="32"/>
  <c r="H69" i="32" s="1"/>
  <c r="N71" i="30"/>
  <c r="N59" i="30"/>
  <c r="N35" i="30"/>
  <c r="C34" i="22"/>
  <c r="D33" i="22"/>
  <c r="E33" i="22"/>
  <c r="D35" i="22"/>
  <c r="C33" i="22"/>
  <c r="E32" i="22"/>
  <c r="D32" i="22"/>
  <c r="E34" i="22"/>
  <c r="D34" i="22"/>
  <c r="I28" i="26"/>
  <c r="H28" i="26"/>
  <c r="J28" i="26" s="1"/>
  <c r="N10" i="22"/>
  <c r="I24" i="22"/>
  <c r="N15" i="22"/>
  <c r="I29" i="22"/>
  <c r="G65" i="30"/>
  <c r="G71" i="30"/>
  <c r="G58" i="30"/>
  <c r="G74" i="30"/>
  <c r="G32" i="30"/>
  <c r="G49" i="30"/>
  <c r="G54" i="30"/>
  <c r="G69" i="30"/>
  <c r="G29" i="30"/>
  <c r="G52" i="30"/>
  <c r="G68" i="30"/>
  <c r="G26" i="30"/>
  <c r="G37" i="30"/>
  <c r="G45" i="30"/>
  <c r="G76" i="30"/>
  <c r="G28" i="30"/>
  <c r="G44" i="30"/>
  <c r="G61" i="30"/>
  <c r="G22" i="30"/>
  <c r="G72" i="30"/>
  <c r="G75" i="30"/>
  <c r="G64" i="30"/>
  <c r="G38" i="30"/>
  <c r="G55" i="30"/>
  <c r="G60" i="30"/>
  <c r="B51" i="2"/>
  <c r="B21" i="1"/>
  <c r="G77" i="30"/>
  <c r="F13" i="3"/>
  <c r="I20" i="3"/>
  <c r="H22" i="3"/>
  <c r="H23" i="3" s="1"/>
  <c r="O65" i="32"/>
  <c r="O69" i="32" s="1"/>
  <c r="G42" i="30"/>
  <c r="G31" i="30"/>
  <c r="G40" i="30"/>
  <c r="G63" i="30"/>
  <c r="E35" i="22"/>
  <c r="I30" i="22"/>
  <c r="C35" i="22"/>
  <c r="AG69" i="32"/>
  <c r="E27" i="22"/>
  <c r="C27" i="22"/>
  <c r="D28" i="22"/>
  <c r="E28" i="22"/>
  <c r="C28" i="22"/>
  <c r="G22" i="10"/>
  <c r="C22" i="10"/>
  <c r="H22" i="10"/>
  <c r="K22" i="10"/>
  <c r="G24" i="10"/>
  <c r="I22" i="10"/>
  <c r="F22" i="10"/>
  <c r="D22" i="10"/>
  <c r="C24" i="10"/>
  <c r="L24" i="10" s="1"/>
  <c r="J22" i="10"/>
  <c r="H24" i="10"/>
  <c r="J24" i="10"/>
  <c r="D24" i="10"/>
  <c r="E24" i="10"/>
  <c r="I24" i="10"/>
  <c r="C23" i="10"/>
  <c r="L23" i="10" s="1"/>
  <c r="H23" i="10"/>
  <c r="E23" i="10"/>
  <c r="F23" i="10"/>
  <c r="J23" i="10"/>
  <c r="K23" i="10"/>
  <c r="D23" i="10"/>
  <c r="I23" i="10"/>
  <c r="G23" i="10"/>
  <c r="G26" i="26"/>
  <c r="B10" i="22"/>
  <c r="C10" i="22" s="1"/>
  <c r="D10" i="22" s="1"/>
  <c r="D21" i="2"/>
  <c r="B22" i="2"/>
  <c r="F24" i="10"/>
  <c r="D19" i="22"/>
  <c r="C45" i="22" s="1"/>
  <c r="Y65" i="32"/>
  <c r="Y69" i="32" s="1"/>
  <c r="T65" i="32"/>
  <c r="T69" i="32" s="1"/>
  <c r="I65" i="32"/>
  <c r="I69" i="32" s="1"/>
  <c r="H24" i="26"/>
  <c r="J24" i="26" s="1"/>
  <c r="I24" i="26"/>
  <c r="G59" i="30"/>
  <c r="G27" i="30"/>
  <c r="G39" i="30"/>
  <c r="G53" i="30"/>
  <c r="G24" i="30"/>
  <c r="G33" i="30"/>
  <c r="G23" i="30"/>
  <c r="G41" i="30"/>
  <c r="G57" i="30"/>
  <c r="G47" i="30"/>
  <c r="G70" i="30"/>
  <c r="G34" i="30"/>
  <c r="G56" i="30"/>
  <c r="G43" i="30"/>
  <c r="G66" i="30"/>
  <c r="G30" i="30"/>
  <c r="V69" i="32"/>
  <c r="U69" i="32"/>
  <c r="M25" i="26"/>
  <c r="N12" i="22"/>
  <c r="I26" i="22"/>
  <c r="Z65" i="32"/>
  <c r="Z69" i="32" s="1"/>
  <c r="P65" i="32"/>
  <c r="P69" i="32" s="1"/>
  <c r="M65" i="32"/>
  <c r="M69" i="32" s="1"/>
  <c r="AB65" i="32"/>
  <c r="AB69" i="32" s="1"/>
  <c r="E30" i="22"/>
  <c r="I23" i="22"/>
  <c r="D32" i="25" l="1"/>
  <c r="E18" i="25"/>
  <c r="B29" i="25"/>
  <c r="D37" i="31"/>
  <c r="E36" i="31"/>
  <c r="B31" i="25"/>
  <c r="E20" i="25"/>
  <c r="C7" i="10"/>
  <c r="B30" i="25"/>
  <c r="E19" i="25"/>
  <c r="I25" i="26"/>
  <c r="H25" i="26"/>
  <c r="J25" i="26" s="1"/>
  <c r="D6" i="10"/>
  <c r="F6" i="10"/>
  <c r="D40" i="31"/>
  <c r="C41" i="31"/>
  <c r="E16" i="25"/>
  <c r="B27" i="25"/>
  <c r="D20" i="22"/>
  <c r="C46" i="22" s="1"/>
  <c r="E10" i="22"/>
  <c r="I26" i="26"/>
  <c r="H26" i="26"/>
  <c r="J26" i="26" s="1"/>
  <c r="J23" i="22"/>
  <c r="M23" i="22"/>
  <c r="N23" i="22" s="1"/>
  <c r="M26" i="22"/>
  <c r="N26" i="22" s="1"/>
  <c r="J26" i="22"/>
  <c r="M29" i="22"/>
  <c r="N29" i="22" s="1"/>
  <c r="J29" i="22"/>
  <c r="B28" i="25"/>
  <c r="C5" i="10"/>
  <c r="E17" i="25"/>
  <c r="B22" i="25"/>
  <c r="L22" i="10"/>
  <c r="L28" i="10" s="1"/>
  <c r="J20" i="3"/>
  <c r="I22" i="3"/>
  <c r="I23" i="3" s="1"/>
  <c r="G13" i="3"/>
  <c r="F15" i="3"/>
  <c r="F16" i="3" s="1"/>
  <c r="N25" i="26"/>
  <c r="D19" i="26"/>
  <c r="M26" i="26"/>
  <c r="D22" i="2"/>
  <c r="B16" i="32"/>
  <c r="B27" i="1"/>
  <c r="J24" i="22"/>
  <c r="M24" i="22"/>
  <c r="N24" i="22" s="1"/>
  <c r="C53" i="22"/>
  <c r="D45" i="22"/>
  <c r="D50" i="22" s="1"/>
  <c r="D53" i="22" s="1"/>
  <c r="C50" i="22"/>
  <c r="J30" i="22"/>
  <c r="M30" i="22"/>
  <c r="N30" i="22" s="1"/>
  <c r="D51" i="2"/>
  <c r="B45" i="32"/>
  <c r="C85" i="32"/>
  <c r="C86" i="32" s="1"/>
  <c r="C46" i="25" l="1"/>
  <c r="D46" i="25" s="1"/>
  <c r="C22" i="2"/>
  <c r="B66" i="2"/>
  <c r="C51" i="2"/>
  <c r="E22" i="25"/>
  <c r="B32" i="25"/>
  <c r="F36" i="31"/>
  <c r="E37" i="31"/>
  <c r="F7" i="10"/>
  <c r="D7" i="10"/>
  <c r="D41" i="31"/>
  <c r="E40" i="31"/>
  <c r="C17" i="25"/>
  <c r="Q86" i="32"/>
  <c r="K86" i="32"/>
  <c r="AA86" i="32"/>
  <c r="AF86" i="32"/>
  <c r="P86" i="32"/>
  <c r="W86" i="32"/>
  <c r="Y86" i="32"/>
  <c r="AB86" i="32"/>
  <c r="T86" i="32"/>
  <c r="AC86" i="32"/>
  <c r="O86" i="32"/>
  <c r="R86" i="32"/>
  <c r="M86" i="32"/>
  <c r="Z86" i="32"/>
  <c r="L86" i="32"/>
  <c r="AG86" i="32"/>
  <c r="F86" i="32"/>
  <c r="F87" i="32" s="1"/>
  <c r="G85" i="32" s="1"/>
  <c r="X86" i="32"/>
  <c r="G86" i="32"/>
  <c r="H86" i="32"/>
  <c r="AD86" i="32"/>
  <c r="I86" i="32"/>
  <c r="S86" i="32"/>
  <c r="AE86" i="32"/>
  <c r="V86" i="32"/>
  <c r="N86" i="32"/>
  <c r="U86" i="32"/>
  <c r="J86" i="32"/>
  <c r="N26" i="26"/>
  <c r="F27" i="26" s="1"/>
  <c r="M27" i="26"/>
  <c r="J22" i="3"/>
  <c r="J23" i="3" s="1"/>
  <c r="K20" i="3"/>
  <c r="F5" i="10"/>
  <c r="C8" i="10"/>
  <c r="D5" i="10"/>
  <c r="D2" i="3"/>
  <c r="D2" i="31"/>
  <c r="H13" i="3"/>
  <c r="G15" i="3"/>
  <c r="G16" i="3" s="1"/>
  <c r="C27" i="1"/>
  <c r="C39" i="2"/>
  <c r="B45" i="2"/>
  <c r="C29" i="2"/>
  <c r="C40" i="2"/>
  <c r="C27" i="2"/>
  <c r="B53" i="2"/>
  <c r="C37" i="2"/>
  <c r="C54" i="2"/>
  <c r="C44" i="2"/>
  <c r="C34" i="2"/>
  <c r="C21" i="25"/>
  <c r="C16" i="25"/>
  <c r="C31" i="2"/>
  <c r="C19" i="25"/>
  <c r="C15" i="2"/>
  <c r="C30" i="2"/>
  <c r="C17" i="2"/>
  <c r="C32" i="2"/>
  <c r="C21" i="2"/>
  <c r="C35" i="2"/>
  <c r="C28" i="2"/>
  <c r="C18" i="25"/>
  <c r="C93" i="2"/>
  <c r="C21" i="1" s="1"/>
  <c r="B57" i="2"/>
  <c r="C38" i="2"/>
  <c r="C26" i="2"/>
  <c r="C20" i="25"/>
  <c r="B55" i="2"/>
  <c r="C61" i="2"/>
  <c r="C19" i="2"/>
  <c r="C36" i="2"/>
  <c r="C20" i="2"/>
  <c r="C11" i="2"/>
  <c r="C56" i="2"/>
  <c r="C60" i="2"/>
  <c r="C59" i="2"/>
  <c r="C46" i="2"/>
  <c r="C12" i="2"/>
  <c r="C33" i="2"/>
  <c r="C18" i="2"/>
  <c r="C26" i="1"/>
  <c r="D46" i="22"/>
  <c r="D51" i="22" s="1"/>
  <c r="C51" i="22"/>
  <c r="F8" i="10" l="1"/>
  <c r="E41" i="31"/>
  <c r="F40" i="31"/>
  <c r="F37" i="31"/>
  <c r="G36" i="31"/>
  <c r="G87" i="32"/>
  <c r="H85" i="32" s="1"/>
  <c r="H87" i="32" s="1"/>
  <c r="I85" i="32" s="1"/>
  <c r="I87" i="32" s="1"/>
  <c r="J85" i="32" s="1"/>
  <c r="J87" i="32" s="1"/>
  <c r="K85" i="32" s="1"/>
  <c r="K87" i="32" s="1"/>
  <c r="L85" i="32" s="1"/>
  <c r="L87" i="32" s="1"/>
  <c r="M85" i="32" s="1"/>
  <c r="M87" i="32" s="1"/>
  <c r="N85" i="32" s="1"/>
  <c r="N87" i="32" s="1"/>
  <c r="O85" i="32" s="1"/>
  <c r="O87" i="32" s="1"/>
  <c r="P85" i="32" s="1"/>
  <c r="P87" i="32" s="1"/>
  <c r="Q85" i="32" s="1"/>
  <c r="Q87" i="32" s="1"/>
  <c r="R85" i="32" s="1"/>
  <c r="R87" i="32" s="1"/>
  <c r="S85" i="32" s="1"/>
  <c r="S87" i="32" s="1"/>
  <c r="T85" i="32" s="1"/>
  <c r="T87" i="32" s="1"/>
  <c r="U85" i="32" s="1"/>
  <c r="U87" i="32" s="1"/>
  <c r="V85" i="32" s="1"/>
  <c r="V87" i="32" s="1"/>
  <c r="W85" i="32" s="1"/>
  <c r="W87" i="32" s="1"/>
  <c r="X85" i="32" s="1"/>
  <c r="X87" i="32" s="1"/>
  <c r="Y85" i="32" s="1"/>
  <c r="Y87" i="32" s="1"/>
  <c r="Z85" i="32" s="1"/>
  <c r="Z87" i="32" s="1"/>
  <c r="AA85" i="32" s="1"/>
  <c r="AA87" i="32" s="1"/>
  <c r="AB85" i="32" s="1"/>
  <c r="AB87" i="32" s="1"/>
  <c r="AC85" i="32" s="1"/>
  <c r="AC87" i="32" s="1"/>
  <c r="AD85" i="32" s="1"/>
  <c r="AD87" i="32" s="1"/>
  <c r="AE85" i="32" s="1"/>
  <c r="AE87" i="32" s="1"/>
  <c r="AF85" i="32" s="1"/>
  <c r="AF87" i="32" s="1"/>
  <c r="AG85" i="32" s="1"/>
  <c r="AG87" i="32" s="1"/>
  <c r="B11" i="22"/>
  <c r="C11" i="22" s="1"/>
  <c r="D11" i="22" s="1"/>
  <c r="G27" i="26"/>
  <c r="C45" i="2"/>
  <c r="D45" i="2"/>
  <c r="B39" i="32"/>
  <c r="C57" i="2"/>
  <c r="D57" i="2"/>
  <c r="B51" i="32"/>
  <c r="H15" i="3"/>
  <c r="H16" i="3" s="1"/>
  <c r="I13" i="3"/>
  <c r="C55" i="2"/>
  <c r="B49" i="32"/>
  <c r="D55" i="2"/>
  <c r="K22" i="3"/>
  <c r="K23" i="3" s="1"/>
  <c r="L20" i="3"/>
  <c r="B60" i="32"/>
  <c r="D66" i="2"/>
  <c r="C66" i="2"/>
  <c r="D53" i="2"/>
  <c r="C53" i="2"/>
  <c r="B47" i="32"/>
  <c r="M28" i="26"/>
  <c r="N27" i="26"/>
  <c r="C16" i="31"/>
  <c r="C15" i="31"/>
  <c r="C21" i="31"/>
  <c r="D8" i="10"/>
  <c r="E5" i="10" s="1"/>
  <c r="E8" i="10" s="1"/>
  <c r="G37" i="31" l="1"/>
  <c r="H36" i="31"/>
  <c r="F41" i="31"/>
  <c r="G40" i="31"/>
  <c r="M20" i="3"/>
  <c r="L22" i="3"/>
  <c r="L23" i="3" s="1"/>
  <c r="M29" i="26"/>
  <c r="N29" i="26" s="1"/>
  <c r="N28" i="26"/>
  <c r="B26" i="10"/>
  <c r="E7" i="10"/>
  <c r="E6" i="10"/>
  <c r="J13" i="3"/>
  <c r="I15" i="3"/>
  <c r="I16" i="3" s="1"/>
  <c r="I27" i="26"/>
  <c r="H27" i="26"/>
  <c r="J27" i="26" s="1"/>
  <c r="D21" i="22"/>
  <c r="C47" i="22" s="1"/>
  <c r="E11" i="22"/>
  <c r="H40" i="31" l="1"/>
  <c r="G41" i="31"/>
  <c r="H37" i="31"/>
  <c r="I36" i="31"/>
  <c r="F29" i="26"/>
  <c r="G29" i="26"/>
  <c r="B13" i="22"/>
  <c r="C13" i="22" s="1"/>
  <c r="D13" i="22" s="1"/>
  <c r="E13" i="22" s="1"/>
  <c r="K13" i="3"/>
  <c r="J15" i="3"/>
  <c r="J16" i="3" s="1"/>
  <c r="C52" i="22"/>
  <c r="D47" i="22"/>
  <c r="D52" i="22" s="1"/>
  <c r="N20" i="3"/>
  <c r="M22" i="3"/>
  <c r="M23" i="3" s="1"/>
  <c r="C26" i="10"/>
  <c r="G26" i="10"/>
  <c r="H26" i="10"/>
  <c r="D26" i="10"/>
  <c r="F26" i="10"/>
  <c r="J26" i="10"/>
  <c r="E26" i="10"/>
  <c r="K26" i="10"/>
  <c r="I26" i="10"/>
  <c r="I37" i="31" l="1"/>
  <c r="J36" i="31"/>
  <c r="I40" i="31"/>
  <c r="H41" i="31"/>
  <c r="L13" i="3"/>
  <c r="K15" i="3"/>
  <c r="K16" i="3" s="1"/>
  <c r="N22" i="3"/>
  <c r="N23" i="3" s="1"/>
  <c r="O20" i="3"/>
  <c r="I29" i="26"/>
  <c r="H29" i="26"/>
  <c r="J29" i="26" s="1"/>
  <c r="C28" i="10"/>
  <c r="L26" i="10"/>
  <c r="G32" i="25" l="1"/>
  <c r="H32" i="25"/>
  <c r="C32" i="25"/>
  <c r="I41" i="31"/>
  <c r="J40" i="31"/>
  <c r="J37" i="31"/>
  <c r="K36" i="31"/>
  <c r="D28" i="10"/>
  <c r="P20" i="3"/>
  <c r="O22" i="3"/>
  <c r="O23" i="3" s="1"/>
  <c r="M13" i="3"/>
  <c r="L15" i="3"/>
  <c r="L16" i="3" s="1"/>
  <c r="C39" i="25" l="1"/>
  <c r="C45" i="25"/>
  <c r="D45" i="25" s="1"/>
  <c r="D47" i="25" s="1"/>
  <c r="C37" i="25"/>
  <c r="D37" i="25" s="1"/>
  <c r="D39" i="25"/>
  <c r="K37" i="31"/>
  <c r="L36" i="31"/>
  <c r="K40" i="31"/>
  <c r="J41" i="31"/>
  <c r="Q20" i="3"/>
  <c r="P22" i="3"/>
  <c r="P23" i="3" s="1"/>
  <c r="N13" i="3"/>
  <c r="M15" i="3"/>
  <c r="M16" i="3" s="1"/>
  <c r="E28" i="10"/>
  <c r="B92" i="2" l="1"/>
  <c r="B82" i="2"/>
  <c r="C82" i="2" s="1"/>
  <c r="D40" i="25"/>
  <c r="L40" i="31"/>
  <c r="K41" i="31"/>
  <c r="M36" i="31"/>
  <c r="L37" i="31"/>
  <c r="O13" i="3"/>
  <c r="N15" i="3"/>
  <c r="N16" i="3" s="1"/>
  <c r="R20" i="3"/>
  <c r="Q22" i="3"/>
  <c r="Q23" i="3" s="1"/>
  <c r="F28" i="10"/>
  <c r="B23" i="24" l="1"/>
  <c r="F23" i="24" s="1"/>
  <c r="B20" i="1"/>
  <c r="C92" i="2"/>
  <c r="C20" i="1" s="1"/>
  <c r="B91" i="2"/>
  <c r="B19" i="1" s="1"/>
  <c r="B81" i="2"/>
  <c r="C81" i="2" s="1"/>
  <c r="N36" i="31"/>
  <c r="M37" i="31"/>
  <c r="M40" i="31"/>
  <c r="L41" i="31"/>
  <c r="R22" i="3"/>
  <c r="R23" i="3" s="1"/>
  <c r="S20" i="3"/>
  <c r="G28" i="10"/>
  <c r="P13" i="3"/>
  <c r="O15" i="3"/>
  <c r="O16" i="3" s="1"/>
  <c r="C91" i="2" l="1"/>
  <c r="C19" i="1" s="1"/>
  <c r="M41" i="31"/>
  <c r="N40" i="31"/>
  <c r="N37" i="31"/>
  <c r="O36" i="31"/>
  <c r="H28" i="10"/>
  <c r="T20" i="3"/>
  <c r="S22" i="3"/>
  <c r="S23" i="3" s="1"/>
  <c r="Q13" i="3"/>
  <c r="P15" i="3"/>
  <c r="P16" i="3" s="1"/>
  <c r="O40" i="31" l="1"/>
  <c r="N41" i="31"/>
  <c r="P36" i="31"/>
  <c r="O37" i="31"/>
  <c r="R13" i="3"/>
  <c r="Q15" i="3"/>
  <c r="Q16" i="3" s="1"/>
  <c r="U20" i="3"/>
  <c r="T22" i="3"/>
  <c r="T23" i="3" s="1"/>
  <c r="I28" i="10"/>
  <c r="P37" i="31" l="1"/>
  <c r="Q36" i="31"/>
  <c r="Q37" i="31" s="1"/>
  <c r="P40" i="31"/>
  <c r="O41" i="31"/>
  <c r="V20" i="3"/>
  <c r="U22" i="3"/>
  <c r="U23" i="3" s="1"/>
  <c r="J28" i="10"/>
  <c r="S13" i="3"/>
  <c r="R15" i="3"/>
  <c r="R16" i="3" s="1"/>
  <c r="P41" i="31" l="1"/>
  <c r="Q40" i="31"/>
  <c r="Q41" i="31" s="1"/>
  <c r="W20" i="3"/>
  <c r="V22" i="3"/>
  <c r="V23" i="3" s="1"/>
  <c r="T13" i="3"/>
  <c r="S15" i="3"/>
  <c r="S16" i="3" s="1"/>
  <c r="U13" i="3" l="1"/>
  <c r="T15" i="3"/>
  <c r="T16" i="3" s="1"/>
  <c r="X20" i="3"/>
  <c r="W22" i="3"/>
  <c r="W23" i="3" s="1"/>
  <c r="V13" i="3" l="1"/>
  <c r="U15" i="3"/>
  <c r="U16" i="3" s="1"/>
  <c r="Y20" i="3"/>
  <c r="X22" i="3"/>
  <c r="X23" i="3" s="1"/>
  <c r="Y22" i="3" l="1"/>
  <c r="Y23" i="3" s="1"/>
  <c r="Z20" i="3"/>
  <c r="W13" i="3"/>
  <c r="V15" i="3"/>
  <c r="V16" i="3" s="1"/>
  <c r="X13" i="3" l="1"/>
  <c r="W15" i="3"/>
  <c r="W16" i="3" s="1"/>
  <c r="Z22" i="3"/>
  <c r="Z23" i="3" s="1"/>
  <c r="AA20" i="3"/>
  <c r="Y13" i="3" l="1"/>
  <c r="X15" i="3"/>
  <c r="X16" i="3" s="1"/>
  <c r="AB20" i="3"/>
  <c r="AA22" i="3"/>
  <c r="AA23" i="3" s="1"/>
  <c r="Y15" i="3" l="1"/>
  <c r="Y16" i="3" s="1"/>
  <c r="Z13" i="3"/>
  <c r="AC20" i="3"/>
  <c r="AB22" i="3"/>
  <c r="AB23" i="3" s="1"/>
  <c r="AA13" i="3" l="1"/>
  <c r="Z15" i="3"/>
  <c r="Z16" i="3" s="1"/>
  <c r="AC22" i="3"/>
  <c r="AC23" i="3" s="1"/>
  <c r="AD20" i="3"/>
  <c r="AD22" i="3" s="1"/>
  <c r="AD23" i="3" s="1"/>
  <c r="AB13" i="3" l="1"/>
  <c r="AA15" i="3"/>
  <c r="AA16" i="3" s="1"/>
  <c r="AB15" i="3" l="1"/>
  <c r="AB16" i="3" s="1"/>
  <c r="AC13" i="3"/>
  <c r="AC15" i="3" l="1"/>
  <c r="AC16" i="3" s="1"/>
  <c r="AD13" i="3"/>
  <c r="AD15" i="3" s="1"/>
  <c r="AD16" i="3" s="1"/>
  <c r="C30" i="1" l="1"/>
  <c r="C83" i="2" l="1"/>
  <c r="C11" i="1" s="1"/>
  <c r="B35" i="3"/>
  <c r="C34" i="3" s="1"/>
  <c r="B11" i="1"/>
  <c r="F92" i="32" l="1"/>
  <c r="F93" i="32" s="1"/>
  <c r="G90" i="32" s="1"/>
  <c r="C35" i="3"/>
  <c r="D34" i="3" l="1"/>
  <c r="G92" i="32" s="1"/>
  <c r="G93" i="32"/>
  <c r="H90" i="32" s="1"/>
  <c r="D35" i="3" l="1"/>
  <c r="E34" i="3" l="1"/>
  <c r="H92" i="32" s="1"/>
  <c r="H93" i="32" s="1"/>
  <c r="I90" i="32" s="1"/>
  <c r="E35" i="3"/>
  <c r="F34" i="3" l="1"/>
  <c r="I92" i="32" s="1"/>
  <c r="I93" i="32"/>
  <c r="J90" i="32" s="1"/>
  <c r="F35" i="3" l="1"/>
  <c r="G34" i="3" l="1"/>
  <c r="J92" i="32" s="1"/>
  <c r="J93" i="32" s="1"/>
  <c r="K90" i="32" s="1"/>
  <c r="G35" i="3"/>
  <c r="H34" i="3" l="1"/>
  <c r="K92" i="32" s="1"/>
  <c r="K93" i="32" s="1"/>
  <c r="L90" i="32" s="1"/>
  <c r="H35" i="3" l="1"/>
  <c r="I34" i="3" l="1"/>
  <c r="L92" i="32" s="1"/>
  <c r="L93" i="32" s="1"/>
  <c r="M90" i="32" s="1"/>
  <c r="I35" i="3" l="1"/>
  <c r="J34" i="3" l="1"/>
  <c r="M92" i="32" s="1"/>
  <c r="M93" i="32" s="1"/>
  <c r="N90" i="32" s="1"/>
  <c r="J35" i="3" l="1"/>
  <c r="K34" i="3" l="1"/>
  <c r="N92" i="32" s="1"/>
  <c r="N93" i="32" s="1"/>
  <c r="O90" i="32" s="1"/>
  <c r="K35" i="3"/>
  <c r="L34" i="3" l="1"/>
  <c r="O92" i="32" s="1"/>
  <c r="O93" i="32"/>
  <c r="P90" i="32" s="1"/>
  <c r="L35" i="3" l="1"/>
  <c r="M34" i="3" l="1"/>
  <c r="P92" i="32" s="1"/>
  <c r="P93" i="32" s="1"/>
  <c r="Q90" i="32" s="1"/>
  <c r="M35" i="3"/>
  <c r="N34" i="3" l="1"/>
  <c r="Q92" i="32" s="1"/>
  <c r="Q93" i="32"/>
  <c r="R90" i="32" s="1"/>
  <c r="N35" i="3" l="1"/>
  <c r="O34" i="3" l="1"/>
  <c r="R92" i="32" s="1"/>
  <c r="R93" i="32" s="1"/>
  <c r="S90" i="32" s="1"/>
  <c r="O35" i="3"/>
  <c r="P34" i="3" l="1"/>
  <c r="S92" i="32" s="1"/>
  <c r="S93" i="32" s="1"/>
  <c r="T90" i="32" s="1"/>
  <c r="P35" i="3" l="1"/>
  <c r="Q34" i="3" l="1"/>
  <c r="T92" i="32" s="1"/>
  <c r="T93" i="32" s="1"/>
  <c r="U90" i="32" s="1"/>
  <c r="Q35" i="3" l="1"/>
  <c r="R34" i="3" l="1"/>
  <c r="U92" i="32" s="1"/>
  <c r="U93" i="32" s="1"/>
  <c r="V90" i="32" s="1"/>
  <c r="R35" i="3" l="1"/>
  <c r="S34" i="3" l="1"/>
  <c r="V92" i="32" s="1"/>
  <c r="V93" i="32" s="1"/>
  <c r="W90" i="32" s="1"/>
  <c r="S35" i="3" l="1"/>
  <c r="T34" i="3" l="1"/>
  <c r="W92" i="32" s="1"/>
  <c r="W93" i="32" s="1"/>
  <c r="X90" i="32" s="1"/>
  <c r="T35" i="3" l="1"/>
  <c r="U34" i="3" l="1"/>
  <c r="X92" i="32" s="1"/>
  <c r="X93" i="32" s="1"/>
  <c r="Y90" i="32" s="1"/>
  <c r="U35" i="3" l="1"/>
  <c r="V34" i="3" l="1"/>
  <c r="Y92" i="32" s="1"/>
  <c r="Y93" i="32" s="1"/>
  <c r="Z90" i="32" s="1"/>
  <c r="V35" i="3" l="1"/>
  <c r="W34" i="3" l="1"/>
  <c r="Z92" i="32" s="1"/>
  <c r="Z93" i="32" s="1"/>
  <c r="AA90" i="32" s="1"/>
  <c r="W35" i="3"/>
  <c r="X34" i="3" l="1"/>
  <c r="AA92" i="32" s="1"/>
  <c r="X35" i="3"/>
  <c r="AA93" i="32"/>
  <c r="AB90" i="32" s="1"/>
  <c r="Y34" i="3" l="1"/>
  <c r="AB92" i="32" s="1"/>
  <c r="AB93" i="32" s="1"/>
  <c r="AC90" i="32" s="1"/>
  <c r="Y35" i="3"/>
  <c r="Z34" i="3" l="1"/>
  <c r="AC92" i="32" s="1"/>
  <c r="AC93" i="32" s="1"/>
  <c r="AD90" i="32" s="1"/>
  <c r="Z35" i="3"/>
  <c r="AA34" i="3" l="1"/>
  <c r="AD92" i="32" s="1"/>
  <c r="AD93" i="32" s="1"/>
  <c r="AE90" i="32" s="1"/>
  <c r="AA35" i="3"/>
  <c r="AB34" i="3" l="1"/>
  <c r="AE92" i="32" s="1"/>
  <c r="AE93" i="32" s="1"/>
  <c r="AF90" i="32" s="1"/>
  <c r="AB35" i="3"/>
  <c r="AC34" i="3" l="1"/>
  <c r="AF92" i="32" s="1"/>
  <c r="AF93" i="32" s="1"/>
  <c r="AG90" i="32" s="1"/>
  <c r="AC35" i="3"/>
  <c r="AD34" i="3" l="1"/>
  <c r="AG92" i="32" s="1"/>
  <c r="AG93" i="32" s="1"/>
  <c r="AD35" i="3" l="1"/>
  <c r="C11" i="31"/>
  <c r="C28" i="31"/>
  <c r="D28" i="31"/>
  <c r="D29" i="31"/>
  <c r="C38" i="31"/>
  <c r="D38" i="31"/>
  <c r="E38" i="31"/>
  <c r="F38" i="31"/>
  <c r="G38" i="31"/>
  <c r="H38" i="31"/>
  <c r="I38" i="31"/>
  <c r="J38" i="31"/>
  <c r="K38" i="31"/>
  <c r="L38" i="31"/>
  <c r="M38" i="31"/>
  <c r="N38" i="31"/>
  <c r="O38" i="31"/>
  <c r="P38" i="31"/>
  <c r="Q38" i="31"/>
  <c r="C39" i="31"/>
  <c r="D39" i="31"/>
  <c r="E39" i="31"/>
  <c r="F39" i="31"/>
  <c r="G39" i="31"/>
  <c r="H39" i="31"/>
  <c r="I39" i="31"/>
  <c r="J39" i="31"/>
  <c r="K39" i="31"/>
  <c r="L39" i="31"/>
  <c r="M39" i="31"/>
  <c r="N39" i="31"/>
  <c r="O39" i="31"/>
  <c r="P39" i="31"/>
  <c r="Q39" i="31"/>
  <c r="C42" i="31"/>
  <c r="D42" i="31"/>
  <c r="E42" i="31"/>
  <c r="F42" i="31"/>
  <c r="G42" i="31"/>
  <c r="H42" i="31"/>
  <c r="I42" i="31"/>
  <c r="J42" i="31"/>
  <c r="K42" i="31"/>
  <c r="L42" i="31"/>
  <c r="M42" i="31"/>
  <c r="N42" i="31"/>
  <c r="O42" i="31"/>
  <c r="P42" i="31"/>
  <c r="Q42" i="31"/>
  <c r="C45" i="31"/>
  <c r="D45" i="31"/>
  <c r="E45" i="31"/>
  <c r="F45" i="31"/>
  <c r="G45" i="31"/>
  <c r="H45" i="31"/>
  <c r="I45" i="31"/>
  <c r="J45" i="31"/>
  <c r="K45" i="31"/>
  <c r="L45" i="31"/>
  <c r="M45" i="31"/>
  <c r="N45" i="31"/>
  <c r="O45" i="31"/>
  <c r="P45" i="31"/>
  <c r="Q45" i="31"/>
  <c r="C46" i="31"/>
  <c r="D46" i="31"/>
  <c r="E46" i="31"/>
  <c r="F46" i="31"/>
  <c r="G46" i="31"/>
  <c r="H46" i="31"/>
  <c r="I46" i="31"/>
  <c r="J46" i="31"/>
  <c r="K46" i="31"/>
  <c r="L46" i="31"/>
  <c r="M46" i="31"/>
  <c r="N46" i="31"/>
  <c r="O46" i="31"/>
  <c r="P46" i="31"/>
  <c r="Q46" i="31"/>
  <c r="C48" i="31"/>
  <c r="D48" i="31"/>
  <c r="E48" i="31"/>
  <c r="F48" i="31"/>
  <c r="G48" i="31"/>
  <c r="H48" i="31"/>
  <c r="I48" i="31"/>
  <c r="J48" i="31"/>
  <c r="K48" i="31"/>
  <c r="L48" i="31"/>
  <c r="M48" i="31"/>
  <c r="N48" i="31"/>
  <c r="O48" i="31"/>
  <c r="P48" i="31"/>
  <c r="Q48" i="31"/>
  <c r="C50" i="31"/>
  <c r="D50" i="31"/>
  <c r="E50" i="31"/>
  <c r="F50" i="31"/>
  <c r="G50" i="31"/>
  <c r="H50" i="31"/>
  <c r="I50" i="31"/>
  <c r="J50" i="31"/>
  <c r="K50" i="31"/>
  <c r="L50" i="31"/>
  <c r="M50" i="31"/>
  <c r="N50" i="31"/>
  <c r="O50" i="31"/>
  <c r="P50" i="31"/>
  <c r="Q50" i="31"/>
  <c r="C52" i="31"/>
  <c r="D52" i="31"/>
  <c r="E52" i="31"/>
  <c r="F52" i="31"/>
  <c r="G52" i="31"/>
  <c r="H52" i="31"/>
  <c r="I52" i="31"/>
  <c r="J52" i="31"/>
  <c r="K52" i="31"/>
  <c r="L52" i="31"/>
  <c r="M52" i="31"/>
  <c r="N52" i="31"/>
  <c r="O52" i="31"/>
  <c r="P52" i="31"/>
  <c r="Q52" i="31"/>
  <c r="B20" i="24"/>
  <c r="F20" i="24"/>
  <c r="B21" i="24"/>
  <c r="F21" i="24"/>
  <c r="B22" i="24"/>
  <c r="F22" i="24"/>
  <c r="F24" i="24"/>
  <c r="B43" i="2"/>
  <c r="C43" i="2"/>
  <c r="D43" i="2"/>
  <c r="B47" i="2"/>
  <c r="C47" i="2"/>
  <c r="D47" i="2"/>
  <c r="B48" i="2"/>
  <c r="C48" i="2"/>
  <c r="D48" i="2"/>
  <c r="B52" i="2"/>
  <c r="C52" i="2"/>
  <c r="D52" i="2"/>
  <c r="B58" i="2"/>
  <c r="C58" i="2"/>
  <c r="D58" i="2"/>
  <c r="B62" i="2"/>
  <c r="C62" i="2"/>
  <c r="D62" i="2"/>
  <c r="B65" i="2"/>
  <c r="C65" i="2"/>
  <c r="D65" i="2"/>
  <c r="B67" i="2"/>
  <c r="C67" i="2"/>
  <c r="D67" i="2"/>
  <c r="B69" i="2"/>
  <c r="C69" i="2"/>
  <c r="D69" i="2"/>
  <c r="B71" i="2"/>
  <c r="C71" i="2"/>
  <c r="D71" i="2"/>
  <c r="B73" i="2"/>
  <c r="C73" i="2"/>
  <c r="D73" i="2"/>
  <c r="B75" i="2"/>
  <c r="C75" i="2"/>
  <c r="D75" i="2"/>
  <c r="B79" i="2"/>
  <c r="C79" i="2"/>
  <c r="D79" i="2"/>
  <c r="B80" i="2"/>
  <c r="C80" i="2"/>
  <c r="D80" i="2"/>
  <c r="D81" i="2"/>
  <c r="D82" i="2"/>
  <c r="D83" i="2"/>
  <c r="B84" i="2"/>
  <c r="C84" i="2"/>
  <c r="D84" i="2"/>
  <c r="B85" i="2"/>
  <c r="C85" i="2"/>
  <c r="D85" i="2"/>
  <c r="B86" i="2"/>
  <c r="C86" i="2"/>
  <c r="D86" i="2"/>
  <c r="B87" i="2"/>
  <c r="C87" i="2"/>
  <c r="D87" i="2"/>
  <c r="B90" i="2"/>
  <c r="C90" i="2"/>
  <c r="D90" i="2"/>
  <c r="D91" i="2"/>
  <c r="D92" i="2"/>
  <c r="D93" i="2"/>
  <c r="B94" i="2"/>
  <c r="C94" i="2"/>
  <c r="D94" i="2"/>
  <c r="B95" i="2"/>
  <c r="C95" i="2"/>
  <c r="D95" i="2"/>
  <c r="B37" i="32"/>
  <c r="B41" i="32"/>
  <c r="B42" i="32"/>
  <c r="B46" i="32"/>
  <c r="B52" i="32"/>
  <c r="B56" i="32"/>
  <c r="B61" i="32"/>
  <c r="B63" i="32"/>
  <c r="B65" i="32"/>
  <c r="B67" i="32"/>
  <c r="B69" i="32"/>
  <c r="G74" i="32"/>
  <c r="H74" i="32"/>
  <c r="I74" i="32"/>
  <c r="J74" i="32"/>
  <c r="K74" i="32"/>
  <c r="L74" i="32"/>
  <c r="M74" i="32"/>
  <c r="N74" i="32"/>
  <c r="O74" i="32"/>
  <c r="P74" i="32"/>
  <c r="Q74" i="32"/>
  <c r="R74" i="32"/>
  <c r="S74" i="32"/>
  <c r="T74" i="32"/>
  <c r="U74" i="32"/>
  <c r="V74" i="32"/>
  <c r="W74" i="32"/>
  <c r="X74" i="32"/>
  <c r="Y74" i="32"/>
  <c r="Z74" i="32"/>
  <c r="AA74" i="32"/>
  <c r="AB74" i="32"/>
  <c r="AC74" i="32"/>
  <c r="AD74" i="32"/>
  <c r="AE74" i="32"/>
  <c r="AF74" i="32"/>
  <c r="AG74" i="32"/>
  <c r="C75" i="32"/>
  <c r="C76" i="32"/>
  <c r="F76" i="32"/>
  <c r="G76" i="32"/>
  <c r="H76" i="32"/>
  <c r="I76" i="32"/>
  <c r="J76" i="32"/>
  <c r="K76" i="32"/>
  <c r="L76" i="32"/>
  <c r="M76" i="32"/>
  <c r="N76" i="32"/>
  <c r="O76" i="32"/>
  <c r="P76" i="32"/>
  <c r="Q76" i="32"/>
  <c r="R76" i="32"/>
  <c r="S76" i="32"/>
  <c r="T76" i="32"/>
  <c r="U76" i="32"/>
  <c r="V76" i="32"/>
  <c r="W76" i="32"/>
  <c r="X76" i="32"/>
  <c r="Y76" i="32"/>
  <c r="Z76" i="32"/>
  <c r="AA76" i="32"/>
  <c r="AB76" i="32"/>
  <c r="AC76" i="32"/>
  <c r="AD76" i="32"/>
  <c r="AE76" i="32"/>
  <c r="AF76" i="32"/>
  <c r="AG76" i="32"/>
  <c r="F77" i="32"/>
  <c r="G77" i="32"/>
  <c r="H77" i="32"/>
  <c r="I77" i="32"/>
  <c r="J77" i="32"/>
  <c r="K77" i="32"/>
  <c r="L77" i="32"/>
  <c r="M77" i="32"/>
  <c r="N77" i="32"/>
  <c r="O77" i="32"/>
  <c r="P77" i="32"/>
  <c r="Q77" i="32"/>
  <c r="R77" i="32"/>
  <c r="S77" i="32"/>
  <c r="T77" i="32"/>
  <c r="U77" i="32"/>
  <c r="V77" i="32"/>
  <c r="W77" i="32"/>
  <c r="X77" i="32"/>
  <c r="Y77" i="32"/>
  <c r="Z77" i="32"/>
  <c r="AA77" i="32"/>
  <c r="AB77" i="32"/>
  <c r="AC77" i="32"/>
  <c r="AD77" i="32"/>
  <c r="AE77" i="32"/>
  <c r="AF77" i="32"/>
  <c r="AG77" i="32"/>
  <c r="C80" i="32"/>
  <c r="G80" i="32"/>
  <c r="H80" i="32"/>
  <c r="I80" i="32"/>
  <c r="J80" i="32"/>
  <c r="K80" i="32"/>
  <c r="L80" i="32"/>
  <c r="M80" i="32"/>
  <c r="N80" i="32"/>
  <c r="O80" i="32"/>
  <c r="P80" i="32"/>
  <c r="Q80" i="32"/>
  <c r="R80" i="32"/>
  <c r="S80" i="32"/>
  <c r="T80" i="32"/>
  <c r="U80" i="32"/>
  <c r="V80" i="32"/>
  <c r="W80" i="32"/>
  <c r="X80" i="32"/>
  <c r="Y80" i="32"/>
  <c r="Z80" i="32"/>
  <c r="AA80" i="32"/>
  <c r="AB80" i="32"/>
  <c r="AC80" i="32"/>
  <c r="AD80" i="32"/>
  <c r="AE80" i="32"/>
  <c r="AF80" i="32"/>
  <c r="AG80" i="32"/>
  <c r="C81" i="32"/>
  <c r="F81" i="32"/>
  <c r="G81" i="32"/>
  <c r="H81" i="32"/>
  <c r="I81" i="32"/>
  <c r="J81" i="32"/>
  <c r="K81" i="32"/>
  <c r="L81" i="32"/>
  <c r="M81" i="32"/>
  <c r="N81" i="32"/>
  <c r="O81" i="32"/>
  <c r="P81" i="32"/>
  <c r="Q81" i="32"/>
  <c r="R81" i="32"/>
  <c r="S81" i="32"/>
  <c r="T81" i="32"/>
  <c r="U81" i="32"/>
  <c r="V81" i="32"/>
  <c r="W81" i="32"/>
  <c r="X81" i="32"/>
  <c r="Y81" i="32"/>
  <c r="Z81" i="32"/>
  <c r="AA81" i="32"/>
  <c r="AB81" i="32"/>
  <c r="AC81" i="32"/>
  <c r="AD81" i="32"/>
  <c r="AE81" i="32"/>
  <c r="AF81" i="32"/>
  <c r="AG81" i="32"/>
  <c r="F82" i="32"/>
  <c r="G82" i="32"/>
  <c r="H82" i="32"/>
  <c r="I82" i="32"/>
  <c r="J82" i="32"/>
  <c r="K82" i="32"/>
  <c r="L82" i="32"/>
  <c r="M82" i="32"/>
  <c r="N82" i="32"/>
  <c r="O82" i="32"/>
  <c r="P82" i="32"/>
  <c r="Q82" i="32"/>
  <c r="R82" i="32"/>
  <c r="S82" i="32"/>
  <c r="T82" i="32"/>
  <c r="U82" i="32"/>
  <c r="V82" i="32"/>
  <c r="W82" i="32"/>
  <c r="X82" i="32"/>
  <c r="Y82" i="32"/>
  <c r="Z82" i="32"/>
  <c r="AA82" i="32"/>
  <c r="AB82" i="32"/>
  <c r="AC82" i="32"/>
  <c r="AD82" i="32"/>
  <c r="AE82" i="32"/>
  <c r="AF82" i="32"/>
  <c r="AG82" i="32"/>
  <c r="F96" i="32"/>
  <c r="G96" i="32"/>
  <c r="H96" i="32"/>
  <c r="I96" i="32"/>
  <c r="J96" i="32"/>
  <c r="K96" i="32"/>
  <c r="L96" i="32"/>
  <c r="M96" i="32"/>
  <c r="N96" i="32"/>
  <c r="O96" i="32"/>
  <c r="P96" i="32"/>
  <c r="Q96" i="32"/>
  <c r="R96" i="32"/>
  <c r="S96" i="32"/>
  <c r="T96" i="32"/>
  <c r="U96" i="32"/>
  <c r="V96" i="32"/>
  <c r="W96" i="32"/>
  <c r="X96" i="32"/>
  <c r="Y96" i="32"/>
  <c r="Z96" i="32"/>
  <c r="AA96" i="32"/>
  <c r="AB96" i="32"/>
  <c r="AC96" i="32"/>
  <c r="AD96" i="32"/>
  <c r="AE96" i="32"/>
  <c r="AF96" i="32"/>
  <c r="AG96" i="32"/>
  <c r="B10" i="10"/>
  <c r="B13" i="10"/>
  <c r="B16" i="10"/>
  <c r="B17" i="10"/>
  <c r="B18" i="10"/>
  <c r="B27" i="10"/>
  <c r="K27" i="10"/>
  <c r="K28" i="10"/>
  <c r="C29" i="10"/>
  <c r="D29" i="10"/>
  <c r="E29" i="10"/>
  <c r="F29" i="10"/>
  <c r="G29" i="10"/>
  <c r="H29" i="10"/>
  <c r="I29" i="10"/>
  <c r="J29" i="10"/>
  <c r="K29" i="10"/>
  <c r="C31"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B32" i="3"/>
  <c r="C32"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C37"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B9" i="1"/>
  <c r="C9" i="1"/>
  <c r="D9" i="1"/>
  <c r="B10" i="1"/>
  <c r="C10" i="1"/>
  <c r="D10" i="1"/>
  <c r="D11" i="1"/>
  <c r="B12" i="1"/>
  <c r="C12" i="1"/>
  <c r="D12" i="1"/>
  <c r="B13" i="1"/>
  <c r="C13" i="1"/>
  <c r="D13" i="1"/>
  <c r="B14" i="1"/>
  <c r="C14" i="1"/>
  <c r="D14" i="1"/>
  <c r="B15" i="1"/>
  <c r="C15" i="1"/>
  <c r="D15" i="1"/>
  <c r="B18" i="1"/>
  <c r="C18" i="1"/>
  <c r="D18" i="1"/>
  <c r="D19" i="1"/>
  <c r="D20" i="1"/>
  <c r="D21" i="1"/>
  <c r="B22" i="1"/>
  <c r="C22" i="1"/>
  <c r="D22" i="1"/>
  <c r="B23" i="1"/>
  <c r="C23" i="1"/>
  <c r="D23" i="1"/>
  <c r="D26" i="1"/>
  <c r="D27" i="1"/>
  <c r="B28" i="1"/>
  <c r="C28" i="1"/>
  <c r="D28" i="1"/>
  <c r="B29" i="1"/>
  <c r="C29" i="1"/>
  <c r="D29" i="1"/>
  <c r="B30" i="1"/>
  <c r="D30" i="1"/>
  <c r="F22" i="30"/>
  <c r="I22" i="30"/>
  <c r="J22" i="30"/>
  <c r="K22" i="30"/>
  <c r="F23" i="30"/>
  <c r="I23" i="30"/>
  <c r="J23" i="30"/>
  <c r="K23" i="30"/>
  <c r="F24" i="30"/>
  <c r="I24" i="30"/>
  <c r="J24" i="30"/>
  <c r="K24" i="30"/>
  <c r="F25" i="30"/>
  <c r="I25" i="30"/>
  <c r="J25" i="30"/>
  <c r="K25" i="30"/>
  <c r="F26" i="30"/>
  <c r="I26" i="30"/>
  <c r="J26" i="30"/>
  <c r="K26" i="30"/>
  <c r="F27" i="30"/>
  <c r="I27" i="30"/>
  <c r="J27" i="30"/>
  <c r="K27" i="30"/>
  <c r="F28" i="30"/>
  <c r="I28" i="30"/>
  <c r="J28" i="30"/>
  <c r="K28" i="30"/>
  <c r="F29" i="30"/>
  <c r="I29" i="30"/>
  <c r="J29" i="30"/>
  <c r="K29" i="30"/>
  <c r="F30" i="30"/>
  <c r="I30" i="30"/>
  <c r="J30" i="30"/>
  <c r="K30" i="30"/>
  <c r="F31" i="30"/>
  <c r="I31" i="30"/>
  <c r="J31" i="30"/>
  <c r="K31" i="30"/>
  <c r="F32" i="30"/>
  <c r="I32" i="30"/>
  <c r="J32" i="30"/>
  <c r="K32" i="30"/>
  <c r="F33" i="30"/>
  <c r="I33" i="30"/>
  <c r="J33" i="30"/>
  <c r="K33" i="30"/>
  <c r="F34" i="30"/>
  <c r="I34" i="30"/>
  <c r="J34" i="30"/>
  <c r="K34" i="30"/>
  <c r="F35" i="30"/>
  <c r="I35" i="30"/>
  <c r="J35" i="30"/>
  <c r="K35" i="30"/>
  <c r="F36" i="30"/>
  <c r="I36" i="30"/>
  <c r="J36" i="30"/>
  <c r="K36" i="30"/>
  <c r="F37" i="30"/>
  <c r="I37" i="30"/>
  <c r="J37" i="30"/>
  <c r="K37" i="30"/>
  <c r="F38" i="30"/>
  <c r="I38" i="30"/>
  <c r="J38" i="30"/>
  <c r="K38" i="30"/>
  <c r="F39" i="30"/>
  <c r="I39" i="30"/>
  <c r="J39" i="30"/>
  <c r="K39" i="30"/>
  <c r="F40" i="30"/>
  <c r="I40" i="30"/>
  <c r="J40" i="30"/>
  <c r="K40" i="30"/>
  <c r="F41" i="30"/>
  <c r="I41" i="30"/>
  <c r="J41" i="30"/>
  <c r="K41" i="30"/>
  <c r="F42" i="30"/>
  <c r="I42" i="30"/>
  <c r="J42" i="30"/>
  <c r="K42" i="30"/>
  <c r="F43" i="30"/>
  <c r="I43" i="30"/>
  <c r="J43" i="30"/>
  <c r="K43" i="30"/>
  <c r="F44" i="30"/>
  <c r="I44" i="30"/>
  <c r="J44" i="30"/>
  <c r="K44" i="30"/>
  <c r="F45" i="30"/>
  <c r="I45" i="30"/>
  <c r="J45" i="30"/>
  <c r="K45" i="30"/>
  <c r="F46" i="30"/>
  <c r="I46" i="30"/>
  <c r="J46" i="30"/>
  <c r="K46" i="30"/>
  <c r="F47" i="30"/>
  <c r="I47" i="30"/>
  <c r="J47" i="30"/>
  <c r="K47" i="30"/>
  <c r="F48" i="30"/>
  <c r="I48" i="30"/>
  <c r="J48" i="30"/>
  <c r="K48" i="30"/>
  <c r="F49" i="30"/>
  <c r="I49" i="30"/>
  <c r="J49" i="30"/>
  <c r="K49" i="30"/>
  <c r="F50" i="30"/>
  <c r="I50" i="30"/>
  <c r="J50" i="30"/>
  <c r="K50" i="30"/>
  <c r="F51" i="30"/>
  <c r="I51" i="30"/>
  <c r="J51" i="30"/>
  <c r="K51" i="30"/>
  <c r="F52" i="30"/>
  <c r="I52" i="30"/>
  <c r="J52" i="30"/>
  <c r="K52" i="30"/>
  <c r="F53" i="30"/>
  <c r="I53" i="30"/>
  <c r="J53" i="30"/>
  <c r="K53" i="30"/>
  <c r="F54" i="30"/>
  <c r="I54" i="30"/>
  <c r="J54" i="30"/>
  <c r="K54" i="30"/>
  <c r="F55" i="30"/>
  <c r="I55" i="30"/>
  <c r="J55" i="30"/>
  <c r="K55" i="30"/>
  <c r="F56" i="30"/>
  <c r="I56" i="30"/>
  <c r="J56" i="30"/>
  <c r="K56" i="30"/>
  <c r="F57" i="30"/>
  <c r="I57" i="30"/>
  <c r="J57" i="30"/>
  <c r="K57" i="30"/>
  <c r="F58" i="30"/>
  <c r="I58" i="30"/>
  <c r="J58" i="30"/>
  <c r="K58" i="30"/>
  <c r="F59" i="30"/>
  <c r="I59" i="30"/>
  <c r="J59" i="30"/>
  <c r="K59" i="30"/>
  <c r="F60" i="30"/>
  <c r="I60" i="30"/>
  <c r="J60" i="30"/>
  <c r="K60" i="30"/>
  <c r="F61" i="30"/>
  <c r="I61" i="30"/>
  <c r="J61" i="30"/>
  <c r="K61" i="30"/>
  <c r="F62" i="30"/>
  <c r="I62" i="30"/>
  <c r="J62" i="30"/>
  <c r="K62" i="30"/>
  <c r="F63" i="30"/>
  <c r="I63" i="30"/>
  <c r="J63" i="30"/>
  <c r="K63" i="30"/>
  <c r="F64" i="30"/>
  <c r="I64" i="30"/>
  <c r="J64" i="30"/>
  <c r="K64" i="30"/>
  <c r="F65" i="30"/>
  <c r="I65" i="30"/>
  <c r="J65" i="30"/>
  <c r="K65" i="30"/>
  <c r="F66" i="30"/>
  <c r="I66" i="30"/>
  <c r="J66" i="30"/>
  <c r="K66" i="30"/>
  <c r="F67" i="30"/>
  <c r="I67" i="30"/>
  <c r="J67" i="30"/>
  <c r="K67" i="30"/>
  <c r="F68" i="30"/>
  <c r="I68" i="30"/>
  <c r="J68" i="30"/>
  <c r="K68" i="30"/>
  <c r="F69" i="30"/>
  <c r="I69" i="30"/>
  <c r="J69" i="30"/>
  <c r="K69" i="30"/>
  <c r="F70" i="30"/>
  <c r="I70" i="30"/>
  <c r="J70" i="30"/>
  <c r="K70" i="30"/>
  <c r="F71" i="30"/>
  <c r="I71" i="30"/>
  <c r="J71" i="30"/>
  <c r="K71" i="30"/>
  <c r="F72" i="30"/>
  <c r="I72" i="30"/>
  <c r="J72" i="30"/>
  <c r="K72" i="30"/>
  <c r="F73" i="30"/>
  <c r="I73" i="30"/>
  <c r="J73" i="30"/>
  <c r="K73" i="30"/>
  <c r="F74" i="30"/>
  <c r="I74" i="30"/>
  <c r="J74" i="30"/>
  <c r="K74" i="30"/>
  <c r="F75" i="30"/>
  <c r="I75" i="30"/>
  <c r="J75" i="30"/>
  <c r="K75" i="30"/>
  <c r="F76" i="30"/>
  <c r="I76" i="30"/>
  <c r="J76" i="30"/>
  <c r="K76" i="30"/>
  <c r="F77" i="30"/>
  <c r="I77" i="30"/>
  <c r="J77" i="30"/>
  <c r="K77" i="30"/>
  <c r="F78" i="30"/>
  <c r="I78" i="30"/>
  <c r="J78" i="30"/>
  <c r="K78" i="30"/>
  <c r="F7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tc={43B0B32B-23CF-49BE-913D-BBDAC7ECFF54}</author>
    <author>tc={4B6B013C-8F4D-4838-81B6-CE1D70644EDA}</author>
  </authors>
  <commentList>
    <comment ref="A45" authorId="0" shapeId="0" xr:uid="{43B0B32B-23CF-49BE-913D-BBDAC7ECFF54}">
      <text>
        <t>[Threaded comment]
Your version of Excel allows you to read this threaded comment; however, any edits to it will get removed if the file is opened in a newer version of Excel. Learn more: https://go.microsoft.com/fwlink/?linkid=870924
Comment:
    +20K per DU if passivhaus</t>
      </text>
    </comment>
    <comment ref="A46" authorId="1" shapeId="0" xr:uid="{4B6B013C-8F4D-4838-81B6-CE1D70644EDA}">
      <text>
        <t>[Threaded comment]
Your version of Excel allows you to read this threaded comment; however, any edits to it will get removed if the file is opened in a newer version of Excel. Learn more: https://go.microsoft.com/fwlink/?linkid=870924
Comment:
    +20K per DU if passivhaus</t>
      </text>
    </comment>
  </commentList>
</comments>
</file>

<file path=xl/sharedStrings.xml><?xml version="1.0" encoding="utf-8"?>
<sst xmlns="http://schemas.openxmlformats.org/spreadsheetml/2006/main" count="713" uniqueCount="443">
  <si>
    <t xml:space="preserve">Form G-2_Homeownership Financing Submission Template </t>
  </si>
  <si>
    <t>Instructions</t>
  </si>
  <si>
    <t>Please complete this pro forma for the homeownership component of your project. Fill in the cells shaded blue. Keep cells linked and maintain calculations. If you modify given assumptions, please clearly note the changes.</t>
  </si>
  <si>
    <t>If a multi-phase project is proposed, please submit a separate underwriting (Form G-2) for each transaction/closing. For a single closing involving multiple buildings, all such buildings may be grouped into one underwriting.</t>
  </si>
  <si>
    <t>Project Name</t>
  </si>
  <si>
    <t>Developer</t>
  </si>
  <si>
    <t>Address</t>
  </si>
  <si>
    <t>Units:</t>
  </si>
  <si>
    <t>BBL</t>
  </si>
  <si>
    <t>PROJECT OVERVIEW</t>
  </si>
  <si>
    <t>% of Total GSF</t>
  </si>
  <si>
    <t>Total GSF</t>
  </si>
  <si>
    <t>Use Type</t>
  </si>
  <si>
    <t>Residential</t>
  </si>
  <si>
    <t>efficiency level</t>
  </si>
  <si>
    <t>Commerical</t>
  </si>
  <si>
    <t>Community</t>
  </si>
  <si>
    <t>Parking</t>
  </si>
  <si>
    <t># parking spaces</t>
  </si>
  <si>
    <t>Total Project GSF</t>
  </si>
  <si>
    <t>Unit Type</t>
  </si>
  <si>
    <t>Total Units</t>
  </si>
  <si>
    <t>% of Total Units</t>
  </si>
  <si>
    <t>Rooms per DU</t>
  </si>
  <si>
    <t>Total Rooms</t>
  </si>
  <si>
    <t>0BR</t>
  </si>
  <si>
    <t>1BR</t>
  </si>
  <si>
    <t>2BR</t>
  </si>
  <si>
    <t>3BR</t>
  </si>
  <si>
    <t>4BR</t>
  </si>
  <si>
    <t>Super Unit</t>
  </si>
  <si>
    <t>Total</t>
  </si>
  <si>
    <t>Household Income Limit (AMI)</t>
  </si>
  <si>
    <t>90% AMI</t>
  </si>
  <si>
    <t>110% AMI</t>
  </si>
  <si>
    <t>130% AMI</t>
  </si>
  <si>
    <t>Studio</t>
  </si>
  <si>
    <t>AHC Funding</t>
  </si>
  <si>
    <t>Subsidy per Unit Total</t>
  </si>
  <si>
    <t>AMI Limit</t>
  </si>
  <si>
    <t># of DU</t>
  </si>
  <si>
    <t>Total Subsidy</t>
  </si>
  <si>
    <t>SOURCES AND USES</t>
  </si>
  <si>
    <t>Construction Sources</t>
  </si>
  <si>
    <t>Per DU</t>
  </si>
  <si>
    <t>% of Total</t>
  </si>
  <si>
    <t>Gap (Surplus)</t>
  </si>
  <si>
    <t>TOTAL SOURCES</t>
  </si>
  <si>
    <t>Permament Sources</t>
  </si>
  <si>
    <t>Uses</t>
  </si>
  <si>
    <t>Acquisition</t>
  </si>
  <si>
    <t>Hard Costs</t>
  </si>
  <si>
    <t>Soft Costs</t>
  </si>
  <si>
    <t>Developer Fee</t>
  </si>
  <si>
    <t>TOTAL USES</t>
  </si>
  <si>
    <t>DEVELOPMENT BUDGET</t>
  </si>
  <si>
    <t>USES</t>
  </si>
  <si>
    <t>PSF</t>
  </si>
  <si>
    <t>Notes</t>
  </si>
  <si>
    <t>Purchase Price</t>
  </si>
  <si>
    <t>Total Acquisition Costs</t>
  </si>
  <si>
    <t>Demolition</t>
  </si>
  <si>
    <t>Contractor Price</t>
  </si>
  <si>
    <t>Residental</t>
  </si>
  <si>
    <t>Commercial</t>
  </si>
  <si>
    <t>Community Space</t>
  </si>
  <si>
    <t>Hard Cost Contingency</t>
  </si>
  <si>
    <t>x hard costs</t>
  </si>
  <si>
    <t>Total Hard Costs</t>
  </si>
  <si>
    <t>Professional Fees</t>
  </si>
  <si>
    <t>Accounting</t>
  </si>
  <si>
    <t>Appraisal</t>
  </si>
  <si>
    <t>Borrower's Legal</t>
  </si>
  <si>
    <t>Borrower's Engineer/Architect</t>
  </si>
  <si>
    <t>HPD preference: &lt;5.5% of hard costs</t>
  </si>
  <si>
    <t>Bank's Engineer - Plan and Cost Review</t>
  </si>
  <si>
    <t>Bank's Engineer - Inspections</t>
  </si>
  <si>
    <t>per visit</t>
  </si>
  <si>
    <t>Bank's Legal (Construction Loan)</t>
  </si>
  <si>
    <t>Controlled Inspections</t>
  </si>
  <si>
    <t>of hard costs</t>
  </si>
  <si>
    <t>Environmental Phase I &amp; Phase II</t>
  </si>
  <si>
    <t>Environmental CEQR</t>
  </si>
  <si>
    <t>Green Consultant and EGC Fee</t>
  </si>
  <si>
    <t>Geotechnical</t>
  </si>
  <si>
    <t xml:space="preserve">Permits/Expeditor </t>
  </si>
  <si>
    <t>Surveys</t>
  </si>
  <si>
    <t>Subtotal</t>
  </si>
  <si>
    <t>Closing &amp; Other Fees</t>
  </si>
  <si>
    <t>Bank Commitment Fee</t>
  </si>
  <si>
    <t>of loan amount</t>
  </si>
  <si>
    <t>EO 50 Fee</t>
  </si>
  <si>
    <t>HDFC Fee</t>
  </si>
  <si>
    <t>per du</t>
  </si>
  <si>
    <t>Signs</t>
  </si>
  <si>
    <t>per site</t>
  </si>
  <si>
    <t>Title Insurance</t>
  </si>
  <si>
    <t>x loan amounts</t>
  </si>
  <si>
    <t>Carrying Costs</t>
  </si>
  <si>
    <t>AG Offering Plan</t>
  </si>
  <si>
    <t>of Sales</t>
  </si>
  <si>
    <t>Construction Loan Interest</t>
  </si>
  <si>
    <t>Homeownership Counseling/Training</t>
  </si>
  <si>
    <t>Insurance (Liability, Builder's Risk)</t>
  </si>
  <si>
    <t>Legal (unit closings)</t>
  </si>
  <si>
    <t>Legal (offering plan)</t>
  </si>
  <si>
    <t>Marketing</t>
  </si>
  <si>
    <t>NYS Transfer Tax (End Loans)</t>
  </si>
  <si>
    <t>of Contract Price (including subsidy)</t>
  </si>
  <si>
    <t>Property taxes</t>
    <phoneticPr fontId="3" type="noConversion"/>
  </si>
  <si>
    <t>Security</t>
  </si>
  <si>
    <t>Utilities</t>
  </si>
  <si>
    <t>Reserves</t>
  </si>
  <si>
    <t>Capitalized Operating Reserve</t>
  </si>
  <si>
    <t>Capitalized Replacement Reserve</t>
  </si>
  <si>
    <t xml:space="preserve">per du </t>
  </si>
  <si>
    <t>Soft Cost Contingency</t>
  </si>
  <si>
    <t>of soft costs</t>
  </si>
  <si>
    <t>Total Soft Costs</t>
  </si>
  <si>
    <t>Total Development Cost</t>
  </si>
  <si>
    <t>Tot</t>
  </si>
  <si>
    <t>% of TOTAL</t>
  </si>
  <si>
    <t>Construction Loan</t>
  </si>
  <si>
    <t>NYC HPD Open Door</t>
  </si>
  <si>
    <t>Developer Equity</t>
  </si>
  <si>
    <t>Deferred Developer Fee</t>
  </si>
  <si>
    <t>Deferred Reserves</t>
  </si>
  <si>
    <t>Gap/(Surplus)</t>
  </si>
  <si>
    <t>Permanent Sources</t>
  </si>
  <si>
    <t>Sales Proceeds</t>
  </si>
  <si>
    <t>total</t>
  </si>
  <si>
    <t>Land Subsidy (Appraisal DATE)</t>
  </si>
  <si>
    <t>Term</t>
  </si>
  <si>
    <t>Months</t>
  </si>
  <si>
    <t>Construction</t>
  </si>
  <si>
    <t>Total term</t>
  </si>
  <si>
    <t>Interest Rates</t>
  </si>
  <si>
    <t>HPD Loan</t>
  </si>
  <si>
    <t>Interest Calculation</t>
  </si>
  <si>
    <t>Amount</t>
  </si>
  <si>
    <t>% Outstanding</t>
  </si>
  <si>
    <t>Term (years)</t>
  </si>
  <si>
    <t>Rate</t>
  </si>
  <si>
    <t>Interest</t>
  </si>
  <si>
    <t>Total Construction Interest</t>
  </si>
  <si>
    <t>HOUSING EXPENSE PER UNIT SIZE</t>
  </si>
  <si>
    <t>2016 AMI'S</t>
  </si>
  <si>
    <t>PROJECTED 2017 AMI'S</t>
  </si>
  <si>
    <t>HH Factor</t>
  </si>
  <si>
    <t>HH Size</t>
  </si>
  <si>
    <t>Income Limit</t>
  </si>
  <si>
    <t>of 2016 AMI</t>
  </si>
  <si>
    <t>of Income (Annual)</t>
  </si>
  <si>
    <t>of Income (Monthly)</t>
  </si>
  <si>
    <t>of AMI</t>
  </si>
  <si>
    <t>1 BR</t>
  </si>
  <si>
    <t>2 BR</t>
  </si>
  <si>
    <t>3 BR</t>
  </si>
  <si>
    <t>4 BR</t>
  </si>
  <si>
    <t>5 BR</t>
  </si>
  <si>
    <t>MONTHLY HOUSING COST</t>
  </si>
  <si>
    <t>Average Monthly</t>
  </si>
  <si>
    <t xml:space="preserve">Average Monthly </t>
  </si>
  <si>
    <t>Monthly</t>
  </si>
  <si>
    <t>CAM Charge</t>
  </si>
  <si>
    <t>Home Insurance</t>
  </si>
  <si>
    <t>Mortgage Payment</t>
  </si>
  <si>
    <t>Housing Cost</t>
  </si>
  <si>
    <t>One Bedroom</t>
  </si>
  <si>
    <t>Two Bedroom</t>
  </si>
  <si>
    <t>PROJECTED 2018 AMI'S</t>
  </si>
  <si>
    <t>PROJECTED 2019 AMI'S</t>
  </si>
  <si>
    <t>Three Bedroom</t>
  </si>
  <si>
    <t>*Includes monthly mortgage payments and CAM charges</t>
  </si>
  <si>
    <t>HOUSING COST BURDEN ANALYSIS (MONTHLY HOUSING COST AS % OF HH INCOME)</t>
  </si>
  <si>
    <t>MORTGAGE &amp; SALE PRICE ASSUMPTIONS</t>
  </si>
  <si>
    <t>Habitat / SONYMA Mortgage Program</t>
  </si>
  <si>
    <t>Interest Rate</t>
  </si>
  <si>
    <t>Amortization (Yrs)</t>
  </si>
  <si>
    <t>Total Downpayment</t>
  </si>
  <si>
    <t>Total Mortgage</t>
  </si>
  <si>
    <t>Total Sale Price</t>
  </si>
  <si>
    <t># of Units</t>
  </si>
  <si>
    <t>Total Mortgages</t>
  </si>
  <si>
    <t>Total Sale Proceeds</t>
  </si>
  <si>
    <t>Current SONYMA End Loan Terms</t>
  </si>
  <si>
    <t>Habitat for Humanity</t>
  </si>
  <si>
    <t>Achieving the Dream</t>
  </si>
  <si>
    <t>LIRP (1-2)</t>
  </si>
  <si>
    <t>Down Pmt</t>
  </si>
  <si>
    <t>Min HH Size</t>
  </si>
  <si>
    <t>Max HH Size</t>
  </si>
  <si>
    <t>Sale Price Limit</t>
  </si>
  <si>
    <t>NA</t>
  </si>
  <si>
    <t>Unit Price</t>
  </si>
  <si>
    <t>No. Units</t>
  </si>
  <si>
    <t>Sales Total</t>
  </si>
  <si>
    <t>Average Sales/Month</t>
  </si>
  <si>
    <t>Construction period interest</t>
  </si>
  <si>
    <t>Post-construction interest</t>
  </si>
  <si>
    <t>Acutal</t>
  </si>
  <si>
    <t>Required</t>
  </si>
  <si>
    <t>% Sales to Amortize</t>
  </si>
  <si>
    <t>No. Sales to Amortize</t>
  </si>
  <si>
    <t>No. Months to Amortize</t>
  </si>
  <si>
    <t>Month</t>
  </si>
  <si>
    <t>Days</t>
  </si>
  <si>
    <t>SOURCES*</t>
  </si>
  <si>
    <t>AHC</t>
  </si>
  <si>
    <t>Reso A</t>
  </si>
  <si>
    <t>HPD</t>
  </si>
  <si>
    <t>Permanent Loan</t>
  </si>
  <si>
    <t>Sales</t>
  </si>
  <si>
    <t>Rolling Total</t>
  </si>
  <si>
    <t>Loan Balance</t>
  </si>
  <si>
    <t>Annual</t>
  </si>
  <si>
    <t>Commercial and Ancillary Income</t>
  </si>
  <si>
    <t># of spaces</t>
  </si>
  <si>
    <t>Monthly Rent</t>
  </si>
  <si>
    <t>Annual Income</t>
  </si>
  <si>
    <t>End Loan Assumptions</t>
  </si>
  <si>
    <t>Parking - At Grade</t>
  </si>
  <si>
    <t>Total sf</t>
  </si>
  <si>
    <t>Annual rent/sf</t>
  </si>
  <si>
    <t>Community Facility</t>
  </si>
  <si>
    <t>Electricity (No Electric Stove) Allowance</t>
  </si>
  <si>
    <t>Electricity (WITH Electric Stove) Allowance</t>
  </si>
  <si>
    <t>Gas Allowance</t>
  </si>
  <si>
    <t>Electricity (No Electric Stove) + Gas Allowance</t>
  </si>
  <si>
    <t>Electricity (WITH Electric Stove) + Gas Allowance</t>
  </si>
  <si>
    <t>Select Utility Allowance:</t>
  </si>
  <si>
    <t>Buyer Income</t>
  </si>
  <si>
    <t>Unit</t>
  </si>
  <si>
    <t>BR Size</t>
  </si>
  <si>
    <t>Sales Price</t>
  </si>
  <si>
    <t>Supportable Mortgage</t>
  </si>
  <si>
    <t>Net SF</t>
  </si>
  <si>
    <t>Annual CAM</t>
  </si>
  <si>
    <t>Annual Utility Payments</t>
  </si>
  <si>
    <t>Annual Mortgage Payments</t>
  </si>
  <si>
    <t>Total Annual Housing Costs</t>
  </si>
  <si>
    <t>Buyer's Required Income</t>
  </si>
  <si>
    <t>AMI</t>
  </si>
  <si>
    <t>Market PSF</t>
  </si>
  <si>
    <t>Discount to Market (PSF)</t>
  </si>
  <si>
    <t>Market Sales Price</t>
  </si>
  <si>
    <t>Discount to Market (Sales Price)</t>
  </si>
  <si>
    <t>Household Factors</t>
  </si>
  <si>
    <t>Electricity</t>
  </si>
  <si>
    <t>Gas</t>
  </si>
  <si>
    <t>Allowance</t>
  </si>
  <si>
    <t>for a family of four</t>
  </si>
  <si>
    <t>studio</t>
  </si>
  <si>
    <t>2 BR FMR</t>
  </si>
  <si>
    <t>Rent Burden</t>
  </si>
  <si>
    <t>PROJECT TYPE (select below)</t>
  </si>
  <si>
    <t>New Construction/Special Needs</t>
  </si>
  <si>
    <t>As of:</t>
  </si>
  <si>
    <t>Based on highest VPS for Elevator Buildings or Walk-Ups</t>
  </si>
  <si>
    <t>Income</t>
  </si>
  <si>
    <t>Tenant</t>
  </si>
  <si>
    <t>Limit</t>
  </si>
  <si>
    <t>Pays No</t>
  </si>
  <si>
    <t>Pays</t>
  </si>
  <si>
    <t>Pays Gas &amp;</t>
  </si>
  <si>
    <t>HH size</t>
  </si>
  <si>
    <t>HH factor</t>
  </si>
  <si>
    <t>Unit Size</t>
  </si>
  <si>
    <t>Units</t>
  </si>
  <si>
    <t>Rooms</t>
  </si>
  <si>
    <t>Buildings</t>
  </si>
  <si>
    <t>Elevators</t>
  </si>
  <si>
    <t>Maintenance &amp; Operating Expenses/Common Area Charges (CAM)</t>
  </si>
  <si>
    <t>Expenses</t>
  </si>
  <si>
    <t>Dev Budget</t>
  </si>
  <si>
    <t>CPC Standards</t>
  </si>
  <si>
    <t xml:space="preserve">If &lt; 20 Units </t>
  </si>
  <si>
    <t>Legal</t>
  </si>
  <si>
    <t>per unit</t>
  </si>
  <si>
    <t>If ≥ 20 Units</t>
  </si>
  <si>
    <t>Accounting/Audit</t>
  </si>
  <si>
    <t>per building</t>
  </si>
  <si>
    <t>Management Fee</t>
  </si>
  <si>
    <t>of net CAM</t>
  </si>
  <si>
    <t>Insurance</t>
  </si>
  <si>
    <t xml:space="preserve">per unit </t>
  </si>
  <si>
    <t>Monitor</t>
  </si>
  <si>
    <t>per co-op</t>
  </si>
  <si>
    <r>
      <t xml:space="preserve">If </t>
    </r>
    <r>
      <rPr>
        <sz val="11"/>
        <color indexed="8"/>
        <rFont val="Calibri"/>
        <family val="2"/>
      </rPr>
      <t>≥</t>
    </r>
    <r>
      <rPr>
        <sz val="11"/>
        <color indexed="8"/>
        <rFont val="Calibri Light"/>
        <family val="2"/>
      </rPr>
      <t xml:space="preserve"> 20 Units</t>
    </r>
  </si>
  <si>
    <t xml:space="preserve">per room </t>
  </si>
  <si>
    <t>per room</t>
  </si>
  <si>
    <t>Common Area Electric</t>
  </si>
  <si>
    <t>per room (elevator/walk-up)</t>
  </si>
  <si>
    <t>Water &amp; Sewer</t>
  </si>
  <si>
    <t>Benchmarking</t>
  </si>
  <si>
    <t>Maintenance/repairs</t>
  </si>
  <si>
    <t>Cleaning supplies</t>
  </si>
  <si>
    <t>Elevator</t>
  </si>
  <si>
    <t>per elevator</t>
  </si>
  <si>
    <t>Superintendent/Staff Salaries</t>
  </si>
  <si>
    <t>Building reserves</t>
  </si>
  <si>
    <t>Project Annual Cash Flow</t>
  </si>
  <si>
    <t>Escalators</t>
  </si>
  <si>
    <t>Year 1</t>
  </si>
  <si>
    <t>Year 2</t>
  </si>
  <si>
    <t>Year 3</t>
  </si>
  <si>
    <t>Year 4</t>
  </si>
  <si>
    <t>Year 5</t>
  </si>
  <si>
    <t>Year 6</t>
  </si>
  <si>
    <t>Year 7</t>
  </si>
  <si>
    <t>Year 8</t>
  </si>
  <si>
    <t>Year 9</t>
  </si>
  <si>
    <t>Year 10</t>
  </si>
  <si>
    <t>Year 11</t>
  </si>
  <si>
    <t>Year 12</t>
  </si>
  <si>
    <t>Year 13</t>
  </si>
  <si>
    <t>Year 14</t>
  </si>
  <si>
    <t>Year 15</t>
  </si>
  <si>
    <t>INCOME</t>
  </si>
  <si>
    <t>Parking Income</t>
  </si>
  <si>
    <t>(Parking Vacancy Deduction)</t>
  </si>
  <si>
    <t>Residential Income (CAM)</t>
  </si>
  <si>
    <t>(Residential Vacancy Deduction)</t>
  </si>
  <si>
    <t>Commercial &amp; Community Space Income</t>
  </si>
  <si>
    <t>(Commercial &amp; Community Space Vacancy Deduction)</t>
  </si>
  <si>
    <t>Total Income</t>
  </si>
  <si>
    <t>EXPENSES</t>
  </si>
  <si>
    <t>M&amp;O</t>
  </si>
  <si>
    <t>Total Expenses</t>
  </si>
  <si>
    <t>Net Operating Income</t>
  </si>
  <si>
    <t>Capital Reserve Balance (Includes NOI)</t>
  </si>
  <si>
    <t>Month after Closing</t>
  </si>
  <si>
    <t>DATE</t>
  </si>
  <si>
    <t>Units Under contract</t>
  </si>
  <si>
    <t>Units Under Contract per Month</t>
  </si>
  <si>
    <t>Cumulative Units Under Contract</t>
  </si>
  <si>
    <t>Remaining Sponsor Units Owned Not Under Contract</t>
  </si>
  <si>
    <t>Units Closed</t>
  </si>
  <si>
    <t>Units Closed per Month</t>
  </si>
  <si>
    <t>Cumulative Units Closed</t>
  </si>
  <si>
    <t>Remaining Sponsor Units Owned</t>
  </si>
  <si>
    <t>Residential Sales Proceeds</t>
  </si>
  <si>
    <t xml:space="preserve">Commercial  Sales Proceeds </t>
  </si>
  <si>
    <t>Total Gross Sales Proceeds</t>
  </si>
  <si>
    <t>Sales Costs</t>
  </si>
  <si>
    <t>Proceeds Available for Mortgage Paydown</t>
  </si>
  <si>
    <t>Remaining Construction Loan</t>
  </si>
  <si>
    <t>Proceeds Available for Equity Paydown</t>
  </si>
  <si>
    <t>Remaining Equity</t>
  </si>
  <si>
    <t>Proceeds Available for Developer Fee</t>
  </si>
  <si>
    <t>Common Charges Paid by Sponsor</t>
  </si>
  <si>
    <t>RE Tax During Construction</t>
  </si>
  <si>
    <t>Pre-Closing</t>
  </si>
  <si>
    <t>Closing</t>
  </si>
  <si>
    <t>Description</t>
  </si>
  <si>
    <t>Budget</t>
  </si>
  <si>
    <t>Equity</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</si>
  <si>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</si>
  <si>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</si>
  <si>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</si>
  <si>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</si>
  <si>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</si>
  <si>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</si>
  <si>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</si>
  <si>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</si>
  <si>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</si>
  <si>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</si>
  <si>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</si>
  <si>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</si>
  <si>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</si>
  <si>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</si>
  <si>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</si>
  <si>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</si>
  <si>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</si>
  <si>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</si>
  <si>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</si>
  <si>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</si>
  <si>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</si>
  <si>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</si>
  <si>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</si>
  <si>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</si>
  <si>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</si>
  <si>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</si>
  <si>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</si>
  <si>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</si>
  <si>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First Mortgage (Lender:___)</t>
  </si>
  <si>
    <t>Construction Loan Monthly Beginning Balance</t>
  </si>
  <si>
    <t>Construction Loan Monthly Draw</t>
  </si>
  <si>
    <t>total loan</t>
  </si>
  <si>
    <t>Construction Loan Monthly Paydown</t>
  </si>
  <si>
    <t>% of construction sources</t>
  </si>
  <si>
    <t>Construction Loan Outstanding Balance</t>
  </si>
  <si>
    <t>Second Mortgage (Lender: HPD)</t>
  </si>
  <si>
    <t>HPD Loan Monthly Beginning Balance</t>
  </si>
  <si>
    <t>HPD Loan Monthly Draw</t>
  </si>
  <si>
    <t>HPD Loan Outstanding Balance</t>
  </si>
  <si>
    <t>Third Mortgage (Lender: AHC)</t>
  </si>
  <si>
    <t>AHC Loan Monthly Beginning Balance</t>
  </si>
  <si>
    <t>AHC Loan Monthly Draw</t>
  </si>
  <si>
    <t>AHC Loan Outstanding Balance</t>
  </si>
  <si>
    <t>Equity Schedule</t>
  </si>
  <si>
    <t>Equity Monthly Beginning Balance</t>
  </si>
  <si>
    <t>Equity Monthly Draw</t>
  </si>
  <si>
    <t>Equity Monthly Paydown</t>
  </si>
  <si>
    <t xml:space="preserve">Equity Total Investment </t>
  </si>
  <si>
    <t>Developer Fee Schedule</t>
  </si>
  <si>
    <t>Developer Fee Monthly Payment</t>
  </si>
  <si>
    <t>100% AMI</t>
  </si>
  <si>
    <t>$2,000 per building</t>
  </si>
  <si>
    <t>$4,000 per building</t>
  </si>
  <si>
    <t>If Coop</t>
  </si>
  <si>
    <t>$12,000 per coop</t>
  </si>
  <si>
    <t>80% AMI</t>
  </si>
  <si>
    <t>120% AMI</t>
  </si>
  <si>
    <t>AHOP Funding</t>
  </si>
  <si>
    <t>AHOP</t>
  </si>
  <si>
    <t>100% AMI (2024)</t>
  </si>
  <si>
    <t>Per the Open Door Term Sheet, developer fee must be the smaller of (10% of [TDC - developer’s fee, reserves, soft cost contingency and acquisition costs]) and $50K/DU</t>
  </si>
  <si>
    <t>CPC Standards (2025)</t>
  </si>
  <si>
    <t>Total Annual Expenses (plus a 19% inflation factor)*</t>
  </si>
  <si>
    <t>$2,000 per unit</t>
  </si>
  <si>
    <t>*The 19% inflation factor consists of two categories: a 10% vacancy, plus 3% escalation for 3 years of construction to adjust for the time difference between construction loan closing and conversion (10%+[3*3%]=19%)</t>
  </si>
  <si>
    <t>$1,800 per unit</t>
  </si>
  <si>
    <t>$240 per room</t>
  </si>
  <si>
    <t>$210 per room</t>
  </si>
  <si>
    <t>$256 per room</t>
  </si>
  <si>
    <t>Heat and Hot Water - Oil</t>
  </si>
  <si>
    <t>$450 per room</t>
  </si>
  <si>
    <t>Hot Water - Electric</t>
  </si>
  <si>
    <t>Heating/Hot Water</t>
  </si>
  <si>
    <t>Heat - Gas (Con Ed)</t>
  </si>
  <si>
    <t>Heat - Gas (National Grid)</t>
  </si>
  <si>
    <t>Heat - Electric</t>
  </si>
  <si>
    <t>$187 per room</t>
  </si>
  <si>
    <t>$160 per room</t>
  </si>
  <si>
    <t>Hot Water - Gas (Con Ed)</t>
  </si>
  <si>
    <t>Hot Water - Gas (National Grid)</t>
  </si>
  <si>
    <t>$140 per room</t>
  </si>
  <si>
    <t>$225/$200</t>
  </si>
  <si>
    <t xml:space="preserve"> 1,700/2,200</t>
  </si>
  <si>
    <t>per unit (non-union/union or prevailing wage)</t>
  </si>
  <si>
    <t>7000**</t>
  </si>
  <si>
    <t>**For the coop monitor, market quotes can also be solicited and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</si>
</sst>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_);_(* \(#,##0\);_(* &quot;-&quot;??_);_(@_)"/>
    <numFmt numFmtId="166" formatCode="_(&quot;$&quot;* #,##0_);_(&quot;$&quot;* \(#,##0\);_(&quot;$&quot;* &quot;-&quot;??_);_(@_)"/>
    <numFmt numFmtId="167" formatCode="0.0%"/>
    <numFmt numFmtId="168" formatCode="_(* #,##0.00_);_(* \(#,##0.00\);_(* &quot;-&quot;_);_(@_)"/>
    <numFmt numFmtId="169" formatCode="_(* #,##0_);_(* \(#,##0\);_(* &quot;-&quot;?_);_(@_)"/>
    <numFmt numFmtId="170" formatCode="0.0"/>
    <numFmt numFmtId="171" formatCode="_(* #,##0.0_);_(* \(#,##0.0\);_(* &quot;-&quot;??_);_(@_)"/>
    <numFmt numFmtId="172" formatCode="#,##0.000000000_);[Red]\(#,##0.000000000\)"/>
    <numFmt numFmtId="173" formatCode="&quot;$&quot;#,##0"/>
    <numFmt numFmtId="174" formatCode="0.000%"/>
    <numFmt numFmtId="175" formatCode="[$-409]mmmm\ d\,\ yyyy;@"/>
    <numFmt numFmtId="176" formatCode="0_)"/>
    <numFmt numFmtId="177" formatCode="_-* #,##0_-;\-* #,##0_-;_-* &quot;-&quot;??_-;_-@_-"/>
    <numFmt numFmtId="178" formatCode="&quot;Income Limits &amp; Rents at &quot;0%\ &quot;AMI&quot;"/>
    <numFmt numFmtId="179" formatCode="&quot;Income Limits &amp; Rents at &quot;0%\ &quot;of AMI&quot;"/>
    <numFmt numFmtId="180" formatCode="0%\ &quot;of AMI&quot;"/>
    <numFmt numFmtId="181" formatCode="0.000"/>
    <numFmt numFmtId="182" formatCode="&quot;$&quot;#,##0.00"/>
    <numFmt numFmtId="183" formatCode="&quot;$&quot;#,##0.0000"/>
    <numFmt numFmtId="184" formatCode="&quot;$&quot;#,##0\ ;[Red]\(&quot;$&quot;#,##0\)"/>
    <numFmt numFmtId="185" formatCode="&quot;$&quot;#,##0.00\ ;[Red]\(&quot;$&quot;#,##0.00\)"/>
    <numFmt numFmtId="186" formatCode="#,##0.0"/>
    <numFmt numFmtId="187" formatCode="0.000_)"/>
    <numFmt numFmtId="188" formatCode="&quot;$&quot;#,##0\ ;\(&quot;$&quot;#,##0\)"/>
    <numFmt numFmtId="189" formatCode="_([$€-2]* #,##0.00_);_([$€-2]* \(#,##0.00\);_([$€-2]* &quot;-&quot;??_)"/>
    <numFmt numFmtId="190" formatCode="_ * #,##0_ ;_ * \-#,##0_ ;_ * &quot;-&quot;_ ;_ @_ "/>
    <numFmt numFmtId="191" formatCode="_-* #,##0_-;\-* #,##0_-;_-* &quot;-&quot;_-;_-@_-"/>
    <numFmt numFmtId="192" formatCode="_-&quot;£&quot;* #,##0_-;\-&quot;£&quot;* #,##0_-;_-&quot;£&quot;* &quot;-&quot;_-;_-@_-"/>
    <numFmt numFmtId="193" formatCode="_-&quot;£&quot;* #,##0.00_-;\-&quot;£&quot;* #,##0.00_-;_-&quot;£&quot;* &quot;-&quot;??_-;_-@_-"/>
    <numFmt numFmtId="194" formatCode="General_)"/>
    <numFmt numFmtId="195" formatCode="#,##0.0_);\(#,##0.0\)"/>
    <numFmt numFmtId="196" formatCode="0.00_)"/>
    <numFmt numFmtId="197" formatCode="0.0_)\%;\(0.0\)\%;0.0_)\%;@_)_%"/>
    <numFmt numFmtId="198" formatCode="#,##0.0_)_%;\(#,##0.0\)_%;0.0_)_%;@_)_%"/>
    <numFmt numFmtId="199" formatCode="#,##0.0_);\(#,##0.0\);#,##0.0_);@_)"/>
    <numFmt numFmtId="200" formatCode="&quot;$&quot;_(#,##0.00_);&quot;$&quot;\(#,##0.00\);&quot;$&quot;_(0.00_);@_)"/>
    <numFmt numFmtId="201" formatCode="#,##0.00_);\(#,##0.00\);0.00_);@_)"/>
    <numFmt numFmtId="202" formatCode="\€_(#,##0.00_);\€\(#,##0.00\);\€_(0.00_);@_)"/>
    <numFmt numFmtId="203" formatCode="#,##0_)\x;\(#,##0\)\x;0_)\x;@_)_x"/>
    <numFmt numFmtId="204" formatCode="#,##0_)_x;\(#,##0\)_x;0_)_x;@_)_x"/>
    <numFmt numFmtId="205" formatCode="#,##0.0\ ;\(#,##0.0\)"/>
    <numFmt numFmtId="206" formatCode="&quot;$&quot;#,##0.00_);\(&quot;$&quot;#,##0.00\)&quot; Per SF&quot;"/>
    <numFmt numFmtId="207" formatCode="&quot;$&quot;_(#,##0.00_);&quot;$&quot;\(#,##0.00\)"/>
    <numFmt numFmtId="208" formatCode="#,##0.0_);[Red]\(#,##0.0\)"/>
    <numFmt numFmtId="209" formatCode="#,##0_)&quot;**&quot;;[Red]\(#,##0\)&quot;**&quot;"/>
    <numFmt numFmtId="210" formatCode="@&quot; ($)&quot;"/>
    <numFmt numFmtId="211" formatCode="@&quot; (%)&quot;"/>
    <numFmt numFmtId="212" formatCode="@&quot; (£)&quot;"/>
    <numFmt numFmtId="213" formatCode="@&quot; (¥)&quot;"/>
    <numFmt numFmtId="214" formatCode="@&quot; (€)&quot;"/>
    <numFmt numFmtId="215" formatCode="@&quot; (x)&quot;"/>
    <numFmt numFmtId="216" formatCode="#,##0.0_x;\(#,##0.0\)_x;0.0_x;@_x"/>
    <numFmt numFmtId="217" formatCode="#,##0.0_x_x;\(#,##0.0\)_x_x;0.0_x_x;@_x_x"/>
    <numFmt numFmtId="218" formatCode="#,##0.0_x_x_x;\(#,##0.0\)_x_x_x;0.0_x_x_x;@_x_x_x"/>
    <numFmt numFmtId="219" formatCode="#,##0.0_x_x_x_x;\(#,##0.0\)_x_x_x_x;0.0_x_x_x_x;@_x_x_x_x"/>
    <numFmt numFmtId="220" formatCode="#,##0.00_x;\(#,##0.00\)_x;0.00_x;@_x"/>
    <numFmt numFmtId="221" formatCode="#,##0.00_x_x;\(#,##0.00\)_x_x;0_x_x;@_x_x"/>
    <numFmt numFmtId="222" formatCode="#,##0.00_x_x_x;\(#,##0.00\)_x_x_x;0.00_x_x_x;@_x_x_x"/>
    <numFmt numFmtId="223" formatCode="#,##0.00_x_x_x_x;\(#,##0.00\)_x_x_x_x;0.00_x_x_x_x;@_x_x_x_x"/>
    <numFmt numFmtId="224" formatCode="#,##0_x;\(#,##0\)_x;0_x;@_x"/>
    <numFmt numFmtId="225" formatCode="#,##0_x_x;\(#,##0\)_x_x;0_x_x;@_x_x"/>
    <numFmt numFmtId="226" formatCode="#,##0_x_x_x;\(#,##0\)_x_x_x;0_x_x_x;@_x_x_x"/>
    <numFmt numFmtId="227" formatCode="#,##0_x_x_x_x_x_x;\(#,##0\)_x_x_x_x;0_x_x_x_x;@_x_x_x_x"/>
    <numFmt numFmtId="228" formatCode="#,##0_x_x_x_x;\(#,##0\)_x_x_x_x;0_x_x_x_x;@_x_x_x_x"/>
    <numFmt numFmtId="229" formatCode="#,##0_x_x_x_x_x;\(#,##0\)_x_x_x_x;0_x_x_x_x;@_x_x_x_x"/>
    <numFmt numFmtId="230" formatCode="#,##0.0_)\x;\(#,##0.0\)\x"/>
    <numFmt numFmtId="231" formatCode="#,##0.0_)_x;\(#,##0.0\)_x"/>
    <numFmt numFmtId="232" formatCode="0.0_)\%;\(0.0\)\%"/>
    <numFmt numFmtId="233" formatCode="#,##0.0_)_%;\(#,##0.0\)_%"/>
    <numFmt numFmtId="234" formatCode="0.00\ &quot;Acres&quot;"/>
    <numFmt numFmtId="235" formatCode="&quot;AOB = &quot;0.00%"/>
    <numFmt numFmtId="236" formatCode="#,##0&quot; SQ FT AUDITORIUM&quot;"/>
    <numFmt numFmtId="237" formatCode="#,##0&quot; SQ M AUDITORIUM&quot;"/>
    <numFmt numFmtId="238" formatCode="&quot;$&quot;#,##0.0;\(&quot;$&quot;#,##0.0\)"/>
    <numFmt numFmtId="239" formatCode="&quot;DEVELOPERS FEE &quot;0.00%"/>
    <numFmt numFmtId="240" formatCode="0.00%\ &quot;TO DEVELOPMENT PARTNER&quot;"/>
    <numFmt numFmtId="241" formatCode="&quot;$&quot;#,##0.00_);\(&quot;$&quot;#,##0.00\)\ &quot;$/Sq Ft&quot;"/>
    <numFmt numFmtId="242" formatCode="&quot;Equity Fund @&quot;\ &quot;$&quot;#,##0_);\(&quot;$&quot;#,##0\)"/>
    <numFmt numFmtId="243" formatCode="#,##0\ &quot;SQ FT EXISTING CONF. MODULES&quot;"/>
    <numFmt numFmtId="244" formatCode="#."/>
    <numFmt numFmtId="245" formatCode="0.00%&quot; TO FINANCIAL PARTNER&quot;"/>
    <numFmt numFmtId="246" formatCode="&quot;G.P. = &quot;0.00%"/>
    <numFmt numFmtId="247" formatCode="0.00_);[Red]\(0.00\)"/>
    <numFmt numFmtId="248" formatCode="0.00%&quot; INTEREST RATE&quot;"/>
    <numFmt numFmtId="249" formatCode="#,##0&quot; SQ FT LD VIEW OFFICE 4 FL&quot;"/>
    <numFmt numFmtId="250" formatCode="#,##0\ &quot;SQ FT CONFERENCE MODULE&quot;"/>
    <numFmt numFmtId="251" formatCode="&quot;Month&quot;\ 0"/>
    <numFmt numFmtId="252" formatCode="#,##0.00\ &quot;Months&quot;"/>
    <numFmt numFmtId="253" formatCode="_-&quot;$&quot;* #,##0.00_-;\-&quot;$&quot;* #,##0.00_-;_-&quot;$&quot;* &quot;-&quot;??_-;_-@_-"/>
    <numFmt numFmtId="254" formatCode="#,##0&quot; NEW T M OFFICE - PERIMETER&quot;"/>
    <numFmt numFmtId="255" formatCode="&quot;$&quot;#,##0_);\(&quot;$&quot;#,##0\)\ &quot; Per Acre&quot;"/>
    <numFmt numFmtId="256" formatCode="0.00%;\-0.00%;\-??_)"/>
    <numFmt numFmtId="257" formatCode="_-* #,##0.0_-;\-* #,##0.0_-;_-* &quot;-&quot;??_-;_-@_-"/>
    <numFmt numFmtId="258" formatCode="&quot;Less: Phase 2 @ &quot;0.00%"/>
    <numFmt numFmtId="259" formatCode="&quot;Qtr &quot;0"/>
    <numFmt numFmtId="260" formatCode="&quot;Quarter&quot;\ 0"/>
    <numFmt numFmtId="261" formatCode="[Blue]#,##0_);[Red]\(#,##0\)"/>
    <numFmt numFmtId="262" formatCode="&quot; RESIDUAL ASSET SALE @ CAP = &quot;0.00%"/>
    <numFmt numFmtId="263" formatCode="#,##0&quot; SQ FT RETAIL SHOP&quot;"/>
    <numFmt numFmtId="264" formatCode="#,##0&quot; SQ M SEA VIEW OFFICE 4 FL&quot;"/>
    <numFmt numFmtId="265" formatCode="#,##0&quot; SQ M SEA VIEW OFFICE 1st FL&quot;"/>
    <numFmt numFmtId="266" formatCode="#,##0&quot; SQ M TRADE MART PERIMETER&quot;"/>
    <numFmt numFmtId="267" formatCode="* #,##0,\k_);* \(#,##0,\k\);\-??_)"/>
    <numFmt numFmtId="268" formatCode="#,##0\ &quot;TOTAL  AREA&quot;"/>
    <numFmt numFmtId="269" formatCode="yyyy"/>
    <numFmt numFmtId="270" formatCode="0\ &quot;Years&quot;"/>
    <numFmt numFmtId="271" formatCode="0.00\x"/>
    <numFmt numFmtId="272" formatCode="mm/dd/yy"/>
    <numFmt numFmtId="273" formatCode="[$$-409]#,##0_);\([$$-409]#,##0\)"/>
    <numFmt numFmtId="274" formatCode="&quot;¥&quot;_(#,##0.00_);&quot;¥&quot;\(#,##0.00\)"/>
    <numFmt numFmtId="275" formatCode="#,##0."/>
    <numFmt numFmtId="276" formatCode="0.0_x_);\(0.0\)_x"/>
    <numFmt numFmtId="277" formatCode="0.0\x_);\(0.0\x\)"/>
    <numFmt numFmtId="278" formatCode="\£#,##0_);\(\£#,##0\)"/>
    <numFmt numFmtId="279" formatCode="yy&quot;\&quot;&quot;\&quot;&quot;\&quot;\-mm&quot;\&quot;&quot;\&quot;&quot;\&quot;\-dd&quot;\&quot;&quot;\&quot;&quot;\&quot;&quot;\&quot;\ h:mm"/>
    <numFmt numFmtId="280" formatCode="\¥#,##0_);\(\¥#,##0\)"/>
    <numFmt numFmtId="281" formatCode="#,##0.0\x;\(#,##0.0\)\x"/>
    <numFmt numFmtId="282" formatCode="_(* #,##0_);_(* \(#,##0\);_(* &quot;--- &quot;_)"/>
    <numFmt numFmtId="283" formatCode="&quot;          &quot;@"/>
    <numFmt numFmtId="284" formatCode=";;;"/>
    <numFmt numFmtId="285" formatCode="###0.0;[Red]\-###0.0"/>
    <numFmt numFmtId="286" formatCode="&quot;€&quot;_(#,##0.00_);&quot;€&quot;\(#,##0.00\);&quot;€&quot;_(0.00_);@_)"/>
    <numFmt numFmtId="287" formatCode="0.0%;[Red]\(0.0%\)"/>
    <numFmt numFmtId="288" formatCode="_ &quot;S/&quot;* #,##0.00_ ;_ &quot;S/&quot;* \-#,##0.00_ ;_ &quot;S/&quot;* &quot;-&quot;??_ ;_ @_ "/>
    <numFmt numFmtId="289" formatCode="_(* #,###.0_);_(* \(#,###.0\);_(* &quot;-&quot;?_);_(@_)"/>
    <numFmt numFmtId="290" formatCode="_(&quot;$&quot;* #,##0_);_(&quot;$&quot;* \(#,##0\);_(&quot;$&quot;* &quot;--- &quot;_)"/>
    <numFmt numFmtId="291" formatCode="mmm\-d\-yyyy"/>
    <numFmt numFmtId="292" formatCode="0.0000%"/>
    <numFmt numFmtId="293" formatCode="_ &quot;S/&quot;* #,##0_ ;_ &quot;S/&quot;* \-#,##0_ ;_ &quot;S/&quot;* &quot;-&quot;_ ;_ @_ "/>
    <numFmt numFmtId="294" formatCode="_ * #,##0.00_ ;_ * \-#,##0.00_ ;_ * &quot;-&quot;??_ ;_ @_ "/>
    <numFmt numFmtId="295" formatCode="#,##0.0%;\(#,##0.0%\)"/>
    <numFmt numFmtId="296" formatCode="&quot;                &quot;@"/>
    <numFmt numFmtId="297" formatCode="0;0;"/>
    <numFmt numFmtId="298" formatCode="0.0%\,\-"/>
    <numFmt numFmtId="299" formatCode="#,##0.00\x"/>
    <numFmt numFmtId="300" formatCode="#,##0.00\x_);[Red]\(#,##0.00\x\)"/>
    <numFmt numFmtId="301" formatCode="[$-409]mmmm\-yy;@"/>
    <numFmt numFmtId="302" formatCode="0_);[Red]\(0\)"/>
    <numFmt numFmtId="303" formatCode="0.00%_);[Red]\(0.00%\)"/>
    <numFmt numFmtId="304" formatCode="0."/>
    <numFmt numFmtId="305" formatCode="0.0%_);[Red]\(0.0%\)"/>
    <numFmt numFmtId="306" formatCode="&quot;$&quot;#,##0.0_);\(&quot;$&quot;#,##0.0\)"/>
    <numFmt numFmtId="307" formatCode="&quot;$&quot;#,##0.0;[Red]\(&quot;$&quot;#,##0.0\)"/>
    <numFmt numFmtId="308" formatCode="#,##0.0;[Red]\(#,##0.0\)"/>
    <numFmt numFmtId="309" formatCode="#,##0.0\x;[Red]\(#,##0.0\)\x"/>
  </numFmts>
  <fonts count="327">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name val="Calibri"/>
      <family val="2"/>
      <scheme val="minor"/>
    </font>
    <font>
      <sz val="11"/>
      <color rgb="FF0013C8"/>
      <name val="Calibri"/>
      <family val="2"/>
      <scheme val="minor"/>
    </font>
    <font>
      <i/>
      <sz val="11"/>
      <color theme="1"/>
      <name val="Calibri"/>
      <family val="2"/>
      <scheme val="minor"/>
    </font>
    <font>
      <b/>
      <sz val="11"/>
      <color rgb="FF0013C8"/>
      <name val="Calibri"/>
      <family val="2"/>
      <scheme val="minor"/>
    </font>
    <font>
      <u/>
      <sz val="11"/>
      <color theme="1"/>
      <name val="Calibri"/>
      <family val="2"/>
      <scheme val="minor"/>
    </font>
    <font>
      <u val="singleAccounting"/>
      <sz val="11"/>
      <color theme="1"/>
      <name val="Calibri"/>
      <family val="2"/>
      <scheme val="minor"/>
    </font>
    <font>
      <b/>
      <sz val="11"/>
      <color rgb="FF0070C0"/>
      <name val="Calibri"/>
      <family val="2"/>
      <scheme val="minor"/>
    </font>
    <font>
      <b/>
      <sz val="11"/>
      <name val="Arial"/>
      <family val="2"/>
    </font>
    <font>
      <sz val="11"/>
      <color theme="1"/>
      <name val="Arial"/>
      <family val="2"/>
    </font>
    <font>
      <sz val="11"/>
      <name val="Arial"/>
      <family val="2"/>
    </font>
    <font>
      <b/>
      <sz val="11"/>
      <color theme="1"/>
      <name val="Arial"/>
      <family val="2"/>
    </font>
    <font>
      <sz val="11"/>
      <color rgb="FF0013C8"/>
      <name val="Arial"/>
      <family val="2"/>
    </font>
    <font>
      <i/>
      <sz val="11"/>
      <color theme="1"/>
      <name val="Arial"/>
      <family val="2"/>
    </font>
    <font>
      <b/>
      <i/>
      <sz val="11"/>
      <color theme="1"/>
      <name val="Arial"/>
      <family val="2"/>
    </font>
    <font>
      <sz val="11"/>
      <color indexed="9"/>
      <name val="Arial"/>
      <family val="2"/>
    </font>
    <font>
      <b/>
      <sz val="11"/>
      <color rgb="FF0013C8"/>
      <name val="Arial"/>
      <family val="2"/>
    </font>
    <font>
      <sz val="11"/>
      <color indexed="8"/>
      <name val="Arial"/>
      <family val="2"/>
    </font>
    <font>
      <sz val="11"/>
      <color indexed="12"/>
      <name val="Arial"/>
      <family val="2"/>
    </font>
    <font>
      <sz val="11"/>
      <color indexed="10"/>
      <name val="Arial"/>
      <family val="2"/>
    </font>
    <font>
      <b/>
      <sz val="11"/>
      <color indexed="10"/>
      <name val="Arial"/>
      <family val="2"/>
    </font>
    <font>
      <sz val="11"/>
      <color indexed="62"/>
      <name val="Arial"/>
      <family val="2"/>
    </font>
    <font>
      <b/>
      <u/>
      <sz val="11"/>
      <name val="Arial"/>
      <family val="2"/>
    </font>
    <font>
      <sz val="12"/>
      <color rgb="FF000000"/>
      <name val="Arial"/>
      <family val="2"/>
    </font>
    <font>
      <sz val="11"/>
      <color rgb="FF000000"/>
      <name val="Arial"/>
      <family val="2"/>
    </font>
    <font>
      <b/>
      <sz val="11"/>
      <color theme="3"/>
      <name val="Arial"/>
      <family val="2"/>
    </font>
    <font>
      <sz val="12"/>
      <name val="Arial"/>
      <family val="2"/>
    </font>
    <font>
      <sz val="8"/>
      <name val="Arial"/>
      <family val="2"/>
    </font>
    <font>
      <sz val="12"/>
      <name val="Arial MT"/>
    </font>
    <font>
      <b/>
      <sz val="12"/>
      <name val="Arial"/>
      <family val="2"/>
    </font>
    <font>
      <b/>
      <sz val="12"/>
      <name val="Times New Roman"/>
      <family val="1"/>
    </font>
    <font>
      <i/>
      <sz val="11"/>
      <name val="Arial"/>
      <family val="2"/>
    </font>
    <font>
      <sz val="11"/>
      <name val="Tms Rmn"/>
      <family val="1"/>
    </font>
    <font>
      <sz val="10"/>
      <color theme="1"/>
      <name val="Arial"/>
      <family val="2"/>
    </font>
    <font>
      <sz val="10"/>
      <color indexed="8"/>
      <name val="Arial"/>
      <family val="2"/>
    </font>
    <font>
      <sz val="10"/>
      <name val="Helv"/>
    </font>
    <font>
      <sz val="12"/>
      <color indexed="8"/>
      <name val="Times New Roman"/>
      <family val="1"/>
    </font>
    <font>
      <b/>
      <sz val="10"/>
      <name val="Helvetica"/>
      <family val="2"/>
    </font>
    <font>
      <sz val="14"/>
      <name val="Helvetica"/>
      <family val="2"/>
    </font>
    <font>
      <sz val="9.85"/>
      <color indexed="8"/>
      <name val="Arial"/>
      <family val="2"/>
    </font>
    <font>
      <sz val="12"/>
      <color indexed="12"/>
      <name val="Arial"/>
      <family val="2"/>
    </font>
    <font>
      <sz val="10"/>
      <name val="Garamand Classic Light"/>
    </font>
    <font>
      <b/>
      <sz val="14"/>
      <name val="Arial"/>
      <family val="2"/>
    </font>
    <font>
      <sz val="10"/>
      <color indexed="8"/>
      <name val="MS Sans Serif"/>
      <family val="2"/>
    </font>
    <font>
      <sz val="16"/>
      <name val="Arial"/>
      <family val="2"/>
    </font>
    <font>
      <b/>
      <sz val="16"/>
      <name val="Arial"/>
      <family val="2"/>
    </font>
    <font>
      <i/>
      <sz val="12"/>
      <name val="Helvetica"/>
      <family val="2"/>
    </font>
    <font>
      <b/>
      <sz val="10"/>
      <name val="MS Sans Serif"/>
      <family val="2"/>
    </font>
    <font>
      <i/>
      <sz val="12"/>
      <name val="Arial"/>
      <family val="2"/>
    </font>
    <font>
      <sz val="14"/>
      <name val="Arial"/>
      <family val="2"/>
    </font>
    <font>
      <u/>
      <sz val="7.5"/>
      <color indexed="12"/>
      <name val="Arial"/>
      <family val="2"/>
    </font>
    <font>
      <sz val="8"/>
      <name val="Times"/>
      <family val="1"/>
    </font>
    <font>
      <sz val="10"/>
      <name val="MS Sans Serif"/>
      <family val="2"/>
    </font>
    <font>
      <sz val="10"/>
      <name val="Courier"/>
      <family val="3"/>
    </font>
    <font>
      <sz val="10"/>
      <color indexed="12"/>
      <name val="Geneva"/>
      <family val="2"/>
    </font>
    <font>
      <sz val="11"/>
      <color indexed="8"/>
      <name val="Calibri"/>
      <family val="2"/>
    </font>
    <font>
      <sz val="10"/>
      <color theme="1"/>
      <name val="Calibri"/>
      <family val="2"/>
    </font>
    <font>
      <b/>
      <sz val="10"/>
      <name val="Arial"/>
      <family val="2"/>
    </font>
    <font>
      <sz val="9"/>
      <color indexed="8"/>
      <name val="Arial"/>
      <family val="2"/>
    </font>
    <font>
      <sz val="10"/>
      <color rgb="FF00000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sz val="9"/>
      <name val="Arial"/>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b/>
      <sz val="8"/>
      <name val="Arial"/>
      <family val="2"/>
    </font>
    <font>
      <u/>
      <sz val="10"/>
      <color indexed="12"/>
      <name val="Arial"/>
      <family val="2"/>
    </font>
    <font>
      <b/>
      <sz val="10"/>
      <name val="Times New Roman"/>
      <family val="1"/>
    </font>
    <font>
      <sz val="10"/>
      <name val="Times New Roman"/>
      <family val="1"/>
    </font>
    <font>
      <sz val="10"/>
      <name val="Times"/>
      <family val="1"/>
    </font>
    <font>
      <sz val="12"/>
      <name val="Times"/>
      <family val="1"/>
    </font>
    <font>
      <b/>
      <sz val="15"/>
      <name val="DomCasual BT"/>
      <family val="4"/>
    </font>
    <font>
      <i/>
      <sz val="9"/>
      <name val="Arial"/>
      <family val="2"/>
    </font>
    <font>
      <sz val="8"/>
      <name val="Tahoma"/>
      <family val="2"/>
    </font>
    <font>
      <sz val="9"/>
      <name val="Tms Rmn"/>
    </font>
    <font>
      <sz val="10"/>
      <name val="Tms Rmn"/>
    </font>
    <font>
      <sz val="8"/>
      <color indexed="12"/>
      <name val="Tms Rmn"/>
    </font>
    <font>
      <sz val="8"/>
      <name val="Verdana"/>
      <family val="2"/>
    </font>
    <font>
      <sz val="11"/>
      <name val="Arial Narrow"/>
      <family val="2"/>
    </font>
    <font>
      <b/>
      <sz val="14"/>
      <color indexed="8"/>
      <name val="Times New Roman"/>
      <family val="1"/>
    </font>
    <font>
      <sz val="12"/>
      <name val="NewCenturySchlbk"/>
      <family val="1"/>
    </font>
    <font>
      <sz val="10"/>
      <name val="Palatino"/>
      <family val="1"/>
    </font>
    <font>
      <sz val="12"/>
      <color indexed="24"/>
      <name val="Arial"/>
      <family val="2"/>
    </font>
    <font>
      <sz val="10"/>
      <color indexed="8"/>
      <name val="Times New Roman"/>
      <family val="1"/>
    </font>
    <font>
      <sz val="8"/>
      <name val="Helv"/>
    </font>
    <font>
      <sz val="12"/>
      <name val="Helv"/>
    </font>
    <font>
      <b/>
      <u/>
      <sz val="9"/>
      <name val="Times New Roman"/>
      <family val="1"/>
    </font>
    <font>
      <sz val="10"/>
      <name val="GarmdITC Lt BT"/>
    </font>
    <font>
      <sz val="10"/>
      <name val="Courier New"/>
      <family val="3"/>
    </font>
    <font>
      <b/>
      <sz val="8"/>
      <name val="Arial Narrow"/>
      <family val="2"/>
    </font>
    <font>
      <b/>
      <sz val="10"/>
      <name val="Americana"/>
    </font>
    <font>
      <sz val="1"/>
      <color indexed="16"/>
      <name val="Courier"/>
      <family val="3"/>
    </font>
    <font>
      <i/>
      <sz val="1"/>
      <color indexed="16"/>
      <name val="Courier"/>
      <family val="3"/>
    </font>
    <font>
      <sz val="9"/>
      <name val="Arial Narrow"/>
      <family val="2"/>
    </font>
    <font>
      <b/>
      <sz val="8"/>
      <color indexed="9"/>
      <name val="Tahoma"/>
      <family val="2"/>
    </font>
    <font>
      <b/>
      <sz val="8"/>
      <color indexed="8"/>
      <name val="Tahoma"/>
      <family val="2"/>
    </font>
    <font>
      <b/>
      <u/>
      <sz val="8"/>
      <color indexed="8"/>
      <name val="Tahoma"/>
      <family val="2"/>
    </font>
    <font>
      <b/>
      <sz val="18"/>
      <name val="Tms Rmn"/>
    </font>
    <font>
      <b/>
      <sz val="12"/>
      <name val="Tms Rmn"/>
    </font>
    <font>
      <b/>
      <sz val="14"/>
      <name val="Times"/>
      <family val="1"/>
    </font>
    <font>
      <sz val="12"/>
      <color indexed="9"/>
      <name val="Helv"/>
    </font>
    <font>
      <sz val="10"/>
      <name val="Americana"/>
    </font>
    <font>
      <sz val="12"/>
      <color indexed="13"/>
      <name val="Helv"/>
    </font>
    <font>
      <sz val="9"/>
      <name val="Americana"/>
    </font>
    <font>
      <sz val="12"/>
      <name val="Americana"/>
    </font>
    <font>
      <b/>
      <sz val="8"/>
      <color indexed="23"/>
      <name val="Verdana"/>
      <family val="2"/>
    </font>
    <font>
      <b/>
      <i/>
      <sz val="16"/>
      <name val="Helv"/>
    </font>
    <font>
      <b/>
      <sz val="10"/>
      <name val="Tahoma"/>
      <family val="2"/>
    </font>
    <font>
      <sz val="12"/>
      <color indexed="17"/>
      <name val="Helv"/>
    </font>
    <font>
      <b/>
      <sz val="10"/>
      <color indexed="8"/>
      <name val="Times New Roman"/>
      <family val="1"/>
    </font>
    <font>
      <sz val="8"/>
      <name val="Times New Roman"/>
      <family val="1"/>
    </font>
    <font>
      <sz val="16"/>
      <color indexed="9"/>
      <name val="Tahoma"/>
      <family val="2"/>
    </font>
    <font>
      <sz val="8"/>
      <name val="Univers (WN)"/>
    </font>
    <font>
      <vertAlign val="superscript"/>
      <sz val="10"/>
      <name val="Futura Bk BT"/>
      <family val="2"/>
    </font>
    <font>
      <b/>
      <sz val="8"/>
      <color indexed="63"/>
      <name val="Verdana"/>
      <family val="2"/>
    </font>
    <font>
      <b/>
      <sz val="11"/>
      <name val="Times New Roman"/>
      <family val="1"/>
    </font>
    <font>
      <b/>
      <sz val="9"/>
      <name val="Tms Rmn"/>
    </font>
    <font>
      <b/>
      <sz val="10"/>
      <name val="Tms Rmn"/>
    </font>
    <font>
      <b/>
      <u/>
      <sz val="10"/>
      <name val="Times"/>
      <family val="1"/>
    </font>
    <font>
      <sz val="11"/>
      <name val="ＭＳ Ｐゴシック"/>
      <charset val="128"/>
    </font>
    <font>
      <b/>
      <sz val="12"/>
      <name val="Helv"/>
      <family val="2"/>
    </font>
    <font>
      <b/>
      <sz val="12"/>
      <name val="Helvetica"/>
      <family val="2"/>
    </font>
    <font>
      <b/>
      <i/>
      <sz val="10"/>
      <name val="Helv"/>
      <family val="2"/>
    </font>
    <font>
      <b/>
      <i/>
      <sz val="10"/>
      <name val="Helvetica"/>
      <family val="2"/>
    </font>
    <font>
      <b/>
      <sz val="8"/>
      <name val="Helv"/>
      <family val="2"/>
    </font>
    <font>
      <b/>
      <sz val="8"/>
      <name val="Helvetica"/>
      <family val="2"/>
    </font>
    <font>
      <b/>
      <sz val="14"/>
      <name val="Times New Roman"/>
      <family val="1"/>
    </font>
    <font>
      <sz val="7"/>
      <color indexed="12"/>
      <name val="Times New Roman"/>
      <family val="1"/>
    </font>
    <font>
      <sz val="10"/>
      <color indexed="12"/>
      <name val="Times New Roman"/>
      <family val="1"/>
    </font>
    <font>
      <sz val="12"/>
      <name val="Tms Rmn"/>
      <family val="1"/>
    </font>
    <font>
      <b/>
      <i/>
      <sz val="10"/>
      <color indexed="30"/>
      <name val="Comic Sans MS"/>
      <family val="4"/>
    </font>
    <font>
      <sz val="8"/>
      <color indexed="30"/>
      <name val="Comic Sans MS"/>
      <family val="4"/>
    </font>
    <font>
      <b/>
      <sz val="8"/>
      <color indexed="30"/>
      <name val="Comic Sans MS"/>
      <family val="4"/>
    </font>
    <font>
      <sz val="10"/>
      <color indexed="30"/>
      <name val="Comic Sans MS"/>
      <family val="4"/>
    </font>
    <font>
      <sz val="8"/>
      <name val="Helvetica-Narrow"/>
      <family val="2"/>
    </font>
    <font>
      <u val="singleAccounting"/>
      <sz val="10"/>
      <name val="Arial"/>
      <family val="2"/>
    </font>
    <font>
      <b/>
      <sz val="11"/>
      <color indexed="10"/>
      <name val="Calibri"/>
      <family val="2"/>
    </font>
    <font>
      <b/>
      <sz val="7"/>
      <name val="Helvetica-Narrow"/>
      <family val="2"/>
    </font>
    <font>
      <b/>
      <sz val="7"/>
      <name val="GillSans"/>
      <family val="2"/>
    </font>
    <font>
      <sz val="8"/>
      <name val="Palatino"/>
      <family val="1"/>
    </font>
    <font>
      <b/>
      <sz val="8"/>
      <name val="Times"/>
      <family val="1"/>
    </font>
    <font>
      <sz val="1"/>
      <color indexed="8"/>
      <name val="Courier"/>
      <family val="3"/>
    </font>
    <font>
      <b/>
      <sz val="10"/>
      <color indexed="30"/>
      <name val="Comic Sans MS"/>
      <family val="4"/>
    </font>
    <font>
      <sz val="12"/>
      <color indexed="30"/>
      <name val="Comic Sans MS"/>
      <family val="4"/>
    </font>
    <font>
      <sz val="10"/>
      <name val="MS Serif"/>
      <family val="1"/>
    </font>
    <font>
      <sz val="10"/>
      <name val="Book Antiqua"/>
      <family val="1"/>
    </font>
    <font>
      <sz val="10"/>
      <name val="Geneva"/>
      <family val="2"/>
    </font>
    <font>
      <u/>
      <sz val="8"/>
      <color indexed="12"/>
      <name val="Times New Roman"/>
      <family val="1"/>
    </font>
    <font>
      <u val="doubleAccounting"/>
      <sz val="10"/>
      <name val="Arial"/>
      <family val="2"/>
    </font>
    <font>
      <sz val="14"/>
      <color indexed="8"/>
      <name val="Times New Roman"/>
      <family val="1"/>
    </font>
    <font>
      <sz val="9"/>
      <name val="Times New Roman"/>
      <family val="1"/>
    </font>
    <font>
      <sz val="14"/>
      <name val="Times New Roman"/>
      <family val="1"/>
    </font>
    <font>
      <sz val="8"/>
      <color indexed="8"/>
      <name val="Times New Roman"/>
      <family val="1"/>
    </font>
    <font>
      <i/>
      <sz val="9"/>
      <name val="Times New Roman"/>
      <family val="1"/>
    </font>
    <font>
      <i/>
      <sz val="10"/>
      <name val="Times New Roman"/>
      <family val="1"/>
    </font>
    <font>
      <sz val="9"/>
      <color indexed="8"/>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sz val="10"/>
      <color indexed="8"/>
      <name val="Arial CE"/>
    </font>
    <font>
      <sz val="10"/>
      <color indexed="16"/>
      <name val="MS Serif"/>
      <family val="1"/>
    </font>
    <font>
      <sz val="12"/>
      <name val="Times New Roman"/>
      <family val="1"/>
    </font>
    <font>
      <sz val="7"/>
      <name val="Palatino"/>
      <family val="1"/>
    </font>
    <font>
      <b/>
      <sz val="12"/>
      <color indexed="9"/>
      <name val="Tms Rmn"/>
    </font>
    <font>
      <b/>
      <sz val="10"/>
      <color indexed="9"/>
      <name val="GillSans"/>
      <family val="2"/>
    </font>
    <font>
      <b/>
      <sz val="10"/>
      <color indexed="8"/>
      <name val="GillSans"/>
      <family val="2"/>
    </font>
    <font>
      <b/>
      <sz val="16"/>
      <name val="Times New Roman"/>
      <family val="1"/>
    </font>
    <font>
      <b/>
      <sz val="11"/>
      <color indexed="62"/>
      <name val="Calibri"/>
      <family val="2"/>
    </font>
    <font>
      <b/>
      <i/>
      <sz val="22"/>
      <name val="Times New Roman"/>
      <family val="1"/>
    </font>
    <font>
      <b/>
      <sz val="8"/>
      <name val="MS Sans Serif"/>
      <family val="2"/>
    </font>
    <font>
      <sz val="10"/>
      <color indexed="16"/>
      <name val="MS Sans Serif"/>
      <family val="2"/>
    </font>
    <font>
      <b/>
      <sz val="10"/>
      <name val="Verdana"/>
      <family val="2"/>
    </font>
    <font>
      <sz val="14"/>
      <name val="Architecture"/>
      <family val="2"/>
    </font>
    <font>
      <sz val="10"/>
      <color indexed="18"/>
      <name val="Times New Roman"/>
      <family val="1"/>
    </font>
    <font>
      <sz val="11"/>
      <color indexed="19"/>
      <name val="Calibri"/>
      <family val="2"/>
    </font>
    <font>
      <sz val="7"/>
      <name val="Small Fonts"/>
      <family val="2"/>
    </font>
    <font>
      <sz val="10"/>
      <name val="Verdana"/>
      <family val="2"/>
    </font>
    <font>
      <sz val="11"/>
      <name val="Times New Roman"/>
      <family val="1"/>
    </font>
    <font>
      <sz val="8"/>
      <color indexed="12"/>
      <name val="Times New Roman"/>
      <family val="1"/>
    </font>
    <font>
      <sz val="10"/>
      <color indexed="8"/>
      <name val="garmond"/>
    </font>
    <font>
      <b/>
      <sz val="10"/>
      <color indexed="8"/>
      <name val="Garamond"/>
      <family val="1"/>
    </font>
    <font>
      <sz val="11"/>
      <name val="‚l‚r –¾’©"/>
      <family val="3"/>
    </font>
    <font>
      <b/>
      <i/>
      <sz val="10"/>
      <color indexed="8"/>
      <name val="Arial"/>
      <family val="2"/>
    </font>
    <font>
      <b/>
      <i/>
      <sz val="22"/>
      <color indexed="8"/>
      <name val="Times New Roman"/>
      <family val="1"/>
    </font>
    <font>
      <b/>
      <sz val="26"/>
      <name val="Times New Roman"/>
      <family val="1"/>
    </font>
    <font>
      <b/>
      <sz val="18"/>
      <name val="Times New Roman"/>
      <family val="1"/>
    </font>
    <font>
      <sz val="10"/>
      <color indexed="16"/>
      <name val="Helvetica-Black"/>
    </font>
    <font>
      <b/>
      <sz val="14"/>
      <color indexed="12"/>
      <name val="Arial"/>
      <family val="2"/>
    </font>
    <font>
      <sz val="22"/>
      <name val="UBSHeadline"/>
      <family val="1"/>
    </font>
    <font>
      <sz val="10"/>
      <name val="Tms Rmn"/>
      <family val="1"/>
    </font>
    <font>
      <sz val="10"/>
      <color indexed="9"/>
      <name val="Verdana"/>
      <family val="2"/>
    </font>
    <font>
      <sz val="8"/>
      <name val="Wingdings"/>
      <charset val="2"/>
    </font>
    <font>
      <sz val="10"/>
      <name val="GillSans Light"/>
      <family val="2"/>
    </font>
    <font>
      <b/>
      <sz val="14"/>
      <color indexed="56"/>
      <name val="Times New Roman"/>
      <family val="1"/>
    </font>
    <font>
      <sz val="8"/>
      <name val="MS Sans Serif"/>
      <family val="2"/>
    </font>
    <font>
      <sz val="10"/>
      <name val="ＭＳ Ｐゴシック"/>
      <family val="3"/>
      <charset val="128"/>
    </font>
    <font>
      <b/>
      <sz val="9"/>
      <name val="Arial"/>
      <family val="2"/>
    </font>
    <font>
      <b/>
      <sz val="9"/>
      <name val="Palatino"/>
      <family val="1"/>
    </font>
    <font>
      <sz val="9"/>
      <color indexed="21"/>
      <name val="Helvetica-Black"/>
    </font>
    <font>
      <b/>
      <sz val="12"/>
      <color indexed="60"/>
      <name val="Swis721 Cn BT"/>
      <family val="2"/>
    </font>
    <font>
      <sz val="9"/>
      <name val="Helvetica-Black"/>
    </font>
    <font>
      <b/>
      <sz val="18"/>
      <color indexed="62"/>
      <name val="Cambria"/>
      <family val="2"/>
    </font>
    <font>
      <b/>
      <sz val="10"/>
      <name val="Helvetica 65"/>
      <family val="2"/>
    </font>
    <font>
      <u/>
      <sz val="8"/>
      <name val="Times New Roman"/>
      <family val="1"/>
    </font>
    <font>
      <b/>
      <sz val="8"/>
      <name val="Times New Roman"/>
      <family val="1"/>
    </font>
    <font>
      <b/>
      <sz val="12"/>
      <name val="CG Times (W1)"/>
      <family val="1"/>
    </font>
    <font>
      <b/>
      <i/>
      <sz val="12"/>
      <name val="CG Times (W1)"/>
      <family val="1"/>
    </font>
    <font>
      <b/>
      <i/>
      <sz val="24"/>
      <name val="Arial"/>
      <family val="2"/>
    </font>
    <font>
      <b/>
      <sz val="10"/>
      <color indexed="30"/>
      <name val="Arial"/>
      <family val="2"/>
    </font>
    <font>
      <b/>
      <sz val="7"/>
      <color indexed="12"/>
      <name val="Arial"/>
      <family val="2"/>
    </font>
    <font>
      <sz val="10"/>
      <color indexed="9"/>
      <name val="Tms Rmn"/>
    </font>
    <font>
      <sz val="7"/>
      <name val="Times New Roman"/>
      <family val="1"/>
    </font>
    <font>
      <sz val="11"/>
      <name val="ZapfCalligr BT"/>
      <family val="1"/>
    </font>
    <font>
      <sz val="10"/>
      <name val="ＭＳ 明朝"/>
      <family val="1"/>
      <charset val="128"/>
    </font>
    <font>
      <sz val="9"/>
      <color indexed="8"/>
      <name val="ＭＳ Ｐゴシック"/>
      <family val="3"/>
      <charset val="128"/>
    </font>
    <font>
      <sz val="11"/>
      <color indexed="14"/>
      <name val="Calibri"/>
      <family val="2"/>
    </font>
    <font>
      <sz val="10"/>
      <name val="Tahoma"/>
      <family val="2"/>
    </font>
    <font>
      <b/>
      <sz val="15"/>
      <color indexed="62"/>
      <name val="Calibri"/>
      <family val="2"/>
    </font>
    <font>
      <b/>
      <sz val="13"/>
      <color indexed="62"/>
      <name val="Calibri"/>
      <family val="2"/>
    </font>
    <font>
      <sz val="12"/>
      <color theme="1"/>
      <name val="Calibri"/>
      <family val="2"/>
      <scheme val="minor"/>
    </font>
    <font>
      <sz val="14"/>
      <name val="AngsanaUPC"/>
      <family val="1"/>
    </font>
    <font>
      <sz val="14"/>
      <name val="AngsanaUPC"/>
      <family val="1"/>
      <charset val="222"/>
    </font>
    <font>
      <sz val="10"/>
      <color indexed="24"/>
      <name val="Arial"/>
      <family val="2"/>
    </font>
    <font>
      <b/>
      <u/>
      <sz val="11"/>
      <color indexed="37"/>
      <name val="Arial"/>
      <family val="2"/>
    </font>
    <font>
      <sz val="11"/>
      <name val="??"/>
      <family val="3"/>
      <charset val="129"/>
    </font>
    <font>
      <sz val="10"/>
      <color indexed="12"/>
      <name val="Arial"/>
      <family val="2"/>
    </font>
    <font>
      <sz val="8"/>
      <name val="CG Times (W1)"/>
      <family val="1"/>
    </font>
    <font>
      <u/>
      <sz val="10"/>
      <color indexed="12"/>
      <name val="Times New Roman"/>
      <family val="1"/>
    </font>
    <font>
      <u/>
      <sz val="10"/>
      <color theme="10"/>
      <name val="Arial"/>
      <family val="2"/>
    </font>
    <font>
      <sz val="12"/>
      <name val="CG Times (W1)"/>
    </font>
    <font>
      <sz val="8.25"/>
      <name val="Helv"/>
    </font>
    <font>
      <sz val="12"/>
      <color theme="1"/>
      <name val="Times New Roman"/>
      <family val="2"/>
    </font>
    <font>
      <b/>
      <sz val="12"/>
      <color indexed="16"/>
      <name val="Times New Roman"/>
      <family val="1"/>
    </font>
    <font>
      <sz val="8"/>
      <color indexed="12"/>
      <name val="Arial"/>
      <family val="2"/>
    </font>
    <font>
      <sz val="10"/>
      <color theme="4" tint="-0.24994659260841701"/>
      <name val="Arial"/>
      <family val="2"/>
    </font>
    <font>
      <b/>
      <sz val="9"/>
      <color theme="0"/>
      <name val="Arial"/>
      <family val="2"/>
    </font>
    <font>
      <sz val="10"/>
      <color theme="1"/>
      <name val="Calibri"/>
      <family val="2"/>
      <scheme val="minor"/>
    </font>
    <font>
      <sz val="10"/>
      <color theme="1"/>
      <name val="Arial Narrow"/>
      <family val="2"/>
    </font>
    <font>
      <sz val="10"/>
      <name val="Futura Md BT"/>
      <family val="2"/>
    </font>
    <font>
      <sz val="12"/>
      <color indexed="8"/>
      <name val="Arial"/>
      <family val="2"/>
    </font>
    <font>
      <sz val="10"/>
      <name val="Arial"/>
      <family val="2"/>
    </font>
    <font>
      <u/>
      <sz val="10"/>
      <name val="Times New Roman"/>
      <family val="1"/>
    </font>
    <font>
      <b/>
      <sz val="10"/>
      <color indexed="9"/>
      <name val="GillSans"/>
      <family val="2"/>
    </font>
    <font>
      <sz val="9"/>
      <name val="GillSans Light"/>
      <family val="2"/>
    </font>
    <font>
      <sz val="8"/>
      <color indexed="9"/>
      <name val="Times New Roman"/>
      <family val="1"/>
    </font>
    <font>
      <i/>
      <sz val="14"/>
      <name val="Helv"/>
      <charset val="134"/>
    </font>
    <font>
      <b/>
      <sz val="10"/>
      <name val="Helv"/>
      <charset val="134"/>
    </font>
    <font>
      <b/>
      <sz val="10"/>
      <color indexed="16"/>
      <name val="GillSans"/>
      <family val="2"/>
    </font>
    <font>
      <sz val="10"/>
      <name val="Helv"/>
      <charset val="134"/>
    </font>
    <font>
      <sz val="10"/>
      <name val="GillSans Light"/>
      <family val="2"/>
    </font>
    <font>
      <sz val="12"/>
      <name val="BERNHARD"/>
      <charset val="134"/>
    </font>
    <font>
      <b/>
      <sz val="1"/>
      <color indexed="8"/>
      <name val="Courier"/>
      <family val="3"/>
    </font>
    <font>
      <sz val="12"/>
      <name val="Helv"/>
      <charset val="134"/>
    </font>
    <font>
      <b/>
      <sz val="7"/>
      <name val="Helvetica-Narrow"/>
      <family val="2"/>
    </font>
    <font>
      <sz val="7"/>
      <color indexed="16"/>
      <name val="Arial"/>
      <family val="2"/>
    </font>
    <font>
      <sz val="12"/>
      <color indexed="8"/>
      <name val="Helv"/>
      <charset val="134"/>
    </font>
    <font>
      <sz val="10"/>
      <name val="Garamand Classic Light"/>
      <charset val="134"/>
    </font>
    <font>
      <b/>
      <i/>
      <sz val="8"/>
      <color indexed="12"/>
      <name val="HelveticaNeue Condensed"/>
      <charset val="134"/>
    </font>
    <font>
      <sz val="10"/>
      <color indexed="8"/>
      <name val="Tms Rmn"/>
      <charset val="134"/>
    </font>
    <font>
      <sz val="12"/>
      <name val="Tms Rmn"/>
      <charset val="134"/>
    </font>
    <font>
      <sz val="10"/>
      <color indexed="10"/>
      <name val="Arial"/>
      <family val="2"/>
    </font>
    <font>
      <b/>
      <i/>
      <sz val="12"/>
      <name val="Times New Roman"/>
      <family val="1"/>
    </font>
    <font>
      <sz val="8"/>
      <color indexed="18"/>
      <name val="Times New Roman"/>
      <family val="1"/>
    </font>
    <font>
      <b/>
      <sz val="7"/>
      <name val="GillSans"/>
      <family val="2"/>
    </font>
    <font>
      <sz val="8"/>
      <color indexed="17"/>
      <name val="Times New Roman"/>
      <family val="1"/>
    </font>
    <font>
      <sz val="10"/>
      <name val="BERNHARD"/>
      <charset val="134"/>
    </font>
    <font>
      <sz val="14"/>
      <name val="Helv"/>
      <charset val="134"/>
    </font>
    <font>
      <b/>
      <sz val="10"/>
      <color indexed="8"/>
      <name val="GillSans"/>
      <family val="2"/>
    </font>
    <font>
      <u val="doubleAccounting"/>
      <sz val="10"/>
      <name val="Times New Roman"/>
      <family val="1"/>
    </font>
    <font>
      <sz val="10"/>
      <color indexed="17"/>
      <name val="Times New Roman"/>
      <family val="1"/>
    </font>
    <font>
      <i/>
      <sz val="2"/>
      <color indexed="9"/>
      <name val="Tms Rmn"/>
      <charset val="134"/>
    </font>
    <font>
      <b/>
      <sz val="8"/>
      <color indexed="18"/>
      <name val="Times New Roman"/>
      <family val="1"/>
    </font>
    <font>
      <sz val="7"/>
      <color indexed="12"/>
      <name val="Arial"/>
      <family val="2"/>
    </font>
    <font>
      <b/>
      <i/>
      <sz val="9"/>
      <name val="Times New Roman"/>
      <family val="1"/>
    </font>
    <font>
      <sz val="8"/>
      <name val="Helv"/>
      <charset val="134"/>
    </font>
    <font>
      <sz val="12"/>
      <name val="Arial MT"/>
      <charset val="134"/>
    </font>
    <font>
      <sz val="10"/>
      <color indexed="39"/>
      <name val="Arial"/>
      <family val="2"/>
    </font>
    <font>
      <b/>
      <sz val="12"/>
      <color indexed="8"/>
      <name val="Arial"/>
      <family val="2"/>
    </font>
    <font>
      <b/>
      <sz val="16"/>
      <color indexed="23"/>
      <name val="Arial"/>
      <family val="2"/>
    </font>
    <font>
      <i/>
      <sz val="12"/>
      <name val="Helv"/>
      <charset val="134"/>
    </font>
    <font>
      <u val="singleAccounting"/>
      <sz val="10"/>
      <name val="Times New Roman"/>
      <family val="1"/>
    </font>
    <font>
      <sz val="18"/>
      <name val="Times New Roman"/>
      <family val="1"/>
    </font>
    <font>
      <b/>
      <sz val="12"/>
      <color indexed="16"/>
      <name val="Arial"/>
      <family val="2"/>
    </font>
    <font>
      <b/>
      <sz val="10"/>
      <name val="Helvetica 65"/>
      <charset val="134"/>
    </font>
    <font>
      <sz val="9"/>
      <name val="GillSans Light"/>
      <family val="2"/>
    </font>
    <font>
      <b/>
      <sz val="10"/>
      <color indexed="16"/>
      <name val="GillSans"/>
      <family val="2"/>
    </font>
    <font>
      <sz val="11"/>
      <color theme="1"/>
      <name val="Calibri Light"/>
      <family val="2"/>
    </font>
    <font>
      <b/>
      <sz val="11"/>
      <name val="Calibri Light"/>
      <family val="2"/>
    </font>
    <font>
      <b/>
      <sz val="12"/>
      <name val="Calibri Light"/>
      <family val="2"/>
    </font>
    <font>
      <sz val="12"/>
      <color indexed="8"/>
      <name val="Calibri Light"/>
      <family val="2"/>
    </font>
    <font>
      <b/>
      <sz val="11"/>
      <color theme="1"/>
      <name val="Calibri Light"/>
      <family val="2"/>
    </font>
    <font>
      <sz val="12"/>
      <name val="Calibri Light"/>
      <family val="2"/>
    </font>
    <font>
      <sz val="11"/>
      <name val="Calibri Light"/>
      <family val="2"/>
    </font>
    <font>
      <i/>
      <sz val="11"/>
      <color theme="1"/>
      <name val="Calibri Light"/>
      <family val="2"/>
    </font>
    <font>
      <b/>
      <u/>
      <sz val="11"/>
      <name val="Calibri Light"/>
      <family val="2"/>
    </font>
    <font>
      <i/>
      <sz val="11"/>
      <name val="Calibri Light"/>
      <family val="2"/>
    </font>
    <font>
      <sz val="10"/>
      <name val="Calibri Light"/>
      <family val="2"/>
    </font>
    <font>
      <b/>
      <sz val="11"/>
      <name val="Calibri"/>
      <family val="2"/>
      <scheme val="minor"/>
    </font>
    <font>
      <b/>
      <i/>
      <sz val="11"/>
      <color theme="1"/>
      <name val="Calibri"/>
      <family val="2"/>
      <scheme val="minor"/>
    </font>
    <font>
      <b/>
      <i/>
      <sz val="11"/>
      <color theme="1"/>
      <name val="Calibri Light"/>
      <family val="2"/>
    </font>
    <font>
      <b/>
      <u/>
      <sz val="11"/>
      <color theme="1"/>
      <name val="Calibri Light"/>
      <family val="2"/>
    </font>
    <font>
      <sz val="11"/>
      <color indexed="9"/>
      <name val="Calibri Light"/>
      <family val="2"/>
    </font>
    <font>
      <sz val="11"/>
      <color indexed="8"/>
      <name val="Calibri Light"/>
      <family val="2"/>
    </font>
    <font>
      <b/>
      <sz val="11"/>
      <color indexed="8"/>
      <name val="Calibri Light"/>
      <family val="2"/>
    </font>
    <font>
      <b/>
      <u/>
      <sz val="12"/>
      <name val="Arial"/>
      <family val="2"/>
    </font>
  </fonts>
  <fills count="8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28"/>
        <bgColor indexed="64"/>
      </patternFill>
    </fill>
    <fill>
      <patternFill patternType="solid">
        <fgColor indexed="42"/>
        <bgColor indexed="64"/>
      </patternFill>
    </fill>
    <fill>
      <patternFill patternType="solid">
        <fgColor indexed="31"/>
        <bgColor indexed="64"/>
      </patternFill>
    </fill>
    <fill>
      <patternFill patternType="solid">
        <fgColor indexed="58"/>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indexed="13"/>
        <bgColor indexed="64"/>
      </patternFill>
    </fill>
    <fill>
      <patternFill patternType="solid">
        <fgColor indexed="26"/>
        <bgColor indexed="64"/>
      </patternFill>
    </fill>
    <fill>
      <patternFill patternType="solid">
        <fgColor indexed="56"/>
      </patternFill>
    </fill>
    <fill>
      <patternFill patternType="solid">
        <fgColor indexed="54"/>
      </patternFill>
    </fill>
    <fill>
      <patternFill patternType="solid">
        <fgColor indexed="55"/>
        <bgColor indexed="64"/>
      </patternFill>
    </fill>
    <fill>
      <patternFill patternType="solid">
        <fgColor indexed="9"/>
      </patternFill>
    </fill>
    <fill>
      <patternFill patternType="lightGray">
        <fgColor indexed="15"/>
      </patternFill>
    </fill>
    <fill>
      <patternFill patternType="solid">
        <fgColor indexed="24"/>
        <bgColor indexed="64"/>
      </patternFill>
    </fill>
    <fill>
      <patternFill patternType="solid">
        <fgColor indexed="65"/>
        <bgColor indexed="64"/>
      </patternFill>
    </fill>
    <fill>
      <patternFill patternType="mediumGray"/>
    </fill>
    <fill>
      <patternFill patternType="solid">
        <fgColor indexed="8"/>
        <bgColor indexed="64"/>
      </patternFill>
    </fill>
    <fill>
      <patternFill patternType="solid">
        <fgColor indexed="9"/>
        <bgColor indexed="9"/>
      </patternFill>
    </fill>
    <fill>
      <patternFill patternType="solid">
        <fgColor indexed="34"/>
        <bgColor indexed="64"/>
      </patternFill>
    </fill>
    <fill>
      <patternFill patternType="solid">
        <fgColor indexed="10"/>
        <bgColor indexed="10"/>
      </patternFill>
    </fill>
    <fill>
      <patternFill patternType="solid">
        <fgColor indexed="22"/>
        <bgColor indexed="22"/>
      </patternFill>
    </fill>
    <fill>
      <patternFill patternType="gray0625"/>
    </fill>
    <fill>
      <patternFill patternType="gray0625">
        <fgColor indexed="13"/>
        <bgColor indexed="13"/>
      </patternFill>
    </fill>
    <fill>
      <patternFill patternType="mediumGray">
        <fgColor indexed="22"/>
      </patternFill>
    </fill>
    <fill>
      <patternFill patternType="gray0625">
        <fgColor indexed="10"/>
      </patternFill>
    </fill>
    <fill>
      <patternFill patternType="solid">
        <fgColor indexed="51"/>
        <bgColor indexed="64"/>
      </patternFill>
    </fill>
    <fill>
      <patternFill patternType="darkVertical"/>
    </fill>
    <fill>
      <patternFill patternType="solid">
        <fgColor indexed="19"/>
        <bgColor indexed="64"/>
      </patternFill>
    </fill>
    <fill>
      <patternFill patternType="solid">
        <fgColor indexed="15"/>
        <bgColor indexed="64"/>
      </patternFill>
    </fill>
    <fill>
      <patternFill patternType="solid">
        <fgColor indexed="63"/>
        <bgColor indexed="64"/>
      </patternFill>
    </fill>
    <fill>
      <patternFill patternType="gray0625">
        <fgColor indexed="8"/>
        <bgColor indexed="9"/>
      </patternFill>
    </fill>
    <fill>
      <patternFill patternType="solid">
        <fgColor indexed="16"/>
        <bgColor indexed="64"/>
      </patternFill>
    </fill>
    <fill>
      <patternFill patternType="solid">
        <fgColor indexed="13"/>
      </patternFill>
    </fill>
    <fill>
      <patternFill patternType="solid">
        <fgColor indexed="19"/>
      </patternFill>
    </fill>
    <fill>
      <patternFill patternType="mediumGray">
        <fgColor indexed="21"/>
      </patternFill>
    </fill>
    <fill>
      <patternFill patternType="lightGray">
        <fgColor indexed="22"/>
      </patternFill>
    </fill>
    <fill>
      <patternFill patternType="mediumGray">
        <fgColor indexed="22"/>
        <bgColor indexed="9"/>
      </patternFill>
    </fill>
    <fill>
      <patternFill patternType="solid">
        <fgColor indexed="43"/>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indexed="45"/>
        <bgColor indexed="64"/>
      </patternFill>
    </fill>
    <fill>
      <patternFill patternType="solid">
        <fgColor indexed="53"/>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35"/>
        <bgColor indexed="64"/>
      </patternFill>
    </fill>
    <fill>
      <patternFill patternType="solid">
        <fgColor indexed="23"/>
        <bgColor indexed="64"/>
      </patternFill>
    </fill>
    <fill>
      <patternFill patternType="gray0625">
        <fgColor indexed="22"/>
        <bgColor indexed="22"/>
      </patternFill>
    </fill>
  </fills>
  <borders count="157">
    <border>
      <left/>
      <right/>
      <top/>
      <bottom/>
      <diagonal/>
    </border>
    <border>
      <left/>
      <right style="thin">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top style="hair">
        <color indexed="12"/>
      </top>
      <bottom style="hair">
        <color indexed="12"/>
      </bottom>
      <diagonal/>
    </border>
    <border>
      <left style="thin">
        <color indexed="12"/>
      </left>
      <right style="thin">
        <color indexed="12"/>
      </right>
      <top style="thin">
        <color indexed="12"/>
      </top>
      <bottom style="thin">
        <color indexed="12"/>
      </bottom>
      <diagonal/>
    </border>
    <border>
      <left/>
      <right/>
      <top/>
      <bottom style="hair">
        <color indexed="12"/>
      </bottom>
      <diagonal/>
    </border>
    <border>
      <left style="thin">
        <color indexed="64"/>
      </left>
      <right style="thin">
        <color indexed="64"/>
      </right>
      <top style="medium">
        <color indexed="64"/>
      </top>
      <bottom/>
      <diagonal/>
    </border>
    <border>
      <left/>
      <right/>
      <top/>
      <bottom style="thin">
        <color indexed="8"/>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right/>
      <top style="thin">
        <color indexed="8"/>
      </top>
      <bottom style="thin">
        <color indexed="8"/>
      </bottom>
      <diagonal/>
    </border>
    <border>
      <left style="thin">
        <color indexed="12"/>
      </left>
      <right style="thin">
        <color indexed="12"/>
      </right>
      <top style="thin">
        <color indexed="12"/>
      </top>
      <bottom style="thin">
        <color indexed="1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indexed="8"/>
      </top>
      <bottom style="hair">
        <color indexed="8"/>
      </bottom>
      <diagonal/>
    </border>
    <border>
      <left/>
      <right/>
      <top/>
      <bottom style="medium">
        <color indexed="18"/>
      </bottom>
      <diagonal/>
    </border>
    <border>
      <left style="hair">
        <color indexed="64"/>
      </left>
      <right style="hair">
        <color indexed="64"/>
      </right>
      <top style="hair">
        <color indexed="64"/>
      </top>
      <bottom style="hair">
        <color indexed="64"/>
      </bottom>
      <diagonal/>
    </border>
    <border>
      <left/>
      <right/>
      <top style="thick">
        <color indexed="30"/>
      </top>
      <bottom/>
      <diagonal/>
    </border>
    <border>
      <left style="thin">
        <color indexed="30"/>
      </left>
      <right style="thin">
        <color indexed="30"/>
      </right>
      <top/>
      <bottom style="double">
        <color indexed="30"/>
      </bottom>
      <diagonal/>
    </border>
    <border>
      <left/>
      <right/>
      <top/>
      <bottom style="thin">
        <color indexed="30"/>
      </bottom>
      <diagonal/>
    </border>
    <border>
      <left/>
      <right/>
      <top/>
      <bottom style="thin">
        <color indexed="22"/>
      </bottom>
      <diagonal/>
    </border>
    <border>
      <left/>
      <right/>
      <top/>
      <bottom style="thick">
        <color indexed="30"/>
      </bottom>
      <diagonal/>
    </border>
    <border>
      <left style="thin">
        <color indexed="30"/>
      </left>
      <right style="thin">
        <color indexed="30"/>
      </right>
      <top/>
      <bottom style="thin">
        <color indexed="30"/>
      </bottom>
      <diagonal/>
    </border>
    <border>
      <left/>
      <right/>
      <top/>
      <bottom style="hair">
        <color indexed="64"/>
      </bottom>
      <diagonal/>
    </border>
    <border>
      <left style="thin">
        <color indexed="30"/>
      </left>
      <right/>
      <top/>
      <bottom/>
      <diagonal/>
    </border>
    <border>
      <left style="thin">
        <color indexed="30"/>
      </left>
      <right style="thin">
        <color indexed="30"/>
      </right>
      <top/>
      <bottom/>
      <diagonal/>
    </border>
    <border>
      <left style="double">
        <color indexed="10"/>
      </left>
      <right style="double">
        <color indexed="10"/>
      </right>
      <top style="double">
        <color indexed="10"/>
      </top>
      <bottom style="double">
        <color indexed="10"/>
      </bottom>
      <diagonal/>
    </border>
    <border>
      <left/>
      <right/>
      <top/>
      <bottom style="dotted">
        <color indexed="64"/>
      </bottom>
      <diagonal/>
    </border>
    <border>
      <left/>
      <right/>
      <top/>
      <bottom style="medium">
        <color indexed="63"/>
      </bottom>
      <diagonal/>
    </border>
    <border>
      <left/>
      <right/>
      <top style="hair">
        <color indexed="64"/>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right/>
      <top/>
      <bottom style="hair">
        <color indexed="22"/>
      </bottom>
      <diagonal/>
    </border>
    <border>
      <left style="hair">
        <color indexed="8"/>
      </left>
      <right style="hair">
        <color indexed="8"/>
      </right>
      <top style="hair">
        <color indexed="8"/>
      </top>
      <bottom style="hair">
        <color indexed="8"/>
      </bottom>
      <diagonal/>
    </border>
    <border>
      <left style="thin">
        <color indexed="64"/>
      </left>
      <right style="thin">
        <color indexed="55"/>
      </right>
      <top/>
      <bottom/>
      <diagonal/>
    </border>
    <border>
      <left/>
      <right/>
      <top/>
      <bottom style="medium">
        <color indexed="27"/>
      </bottom>
      <diagonal/>
    </border>
    <border>
      <left/>
      <right/>
      <top/>
      <bottom style="thick">
        <color indexed="64"/>
      </bottom>
      <diagonal/>
    </border>
    <border>
      <left style="thin">
        <color indexed="64"/>
      </left>
      <right style="thin">
        <color indexed="64"/>
      </right>
      <top style="hair">
        <color indexed="64"/>
      </top>
      <bottom style="hair">
        <color indexed="64"/>
      </bottom>
      <diagonal/>
    </border>
    <border>
      <left/>
      <right/>
      <top/>
      <bottom style="double">
        <color indexed="10"/>
      </bottom>
      <diagonal/>
    </border>
    <border>
      <left style="thin">
        <color indexed="64"/>
      </left>
      <right style="thin">
        <color indexed="64"/>
      </right>
      <top/>
      <bottom style="hair">
        <color indexed="64"/>
      </bottom>
      <diagonal/>
    </border>
    <border>
      <left style="thin">
        <color indexed="30"/>
      </left>
      <right/>
      <top/>
      <bottom style="thin">
        <color indexed="30"/>
      </bottom>
      <diagonal/>
    </border>
    <border>
      <left/>
      <right style="thin">
        <color indexed="30"/>
      </right>
      <top/>
      <bottom/>
      <diagonal/>
    </border>
    <border>
      <left style="thin">
        <color indexed="21"/>
      </left>
      <right style="thin">
        <color indexed="21"/>
      </right>
      <top style="thin">
        <color indexed="21"/>
      </top>
      <bottom style="thin">
        <color indexed="21"/>
      </bottom>
      <diagonal/>
    </border>
    <border>
      <left style="thick">
        <color indexed="30"/>
      </left>
      <right style="thin">
        <color indexed="30"/>
      </right>
      <top style="thick">
        <color indexed="30"/>
      </top>
      <bottom style="thick">
        <color indexed="30"/>
      </bottom>
      <diagonal/>
    </border>
    <border>
      <left style="medium">
        <color indexed="8"/>
      </left>
      <right/>
      <top style="medium">
        <color indexed="8"/>
      </top>
      <bottom style="thin">
        <color indexed="8"/>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hair">
        <color indexed="10"/>
      </left>
      <right style="hair">
        <color indexed="10"/>
      </right>
      <top style="hair">
        <color indexed="10"/>
      </top>
      <bottom style="hair">
        <color indexed="10"/>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thick">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thin">
        <color indexed="8"/>
      </left>
      <right/>
      <top style="thin">
        <color indexed="8"/>
      </top>
      <bottom/>
      <diagonal/>
    </border>
    <border>
      <left/>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style="thin">
        <color indexed="8"/>
      </bottom>
      <diagonal/>
    </border>
    <border>
      <left/>
      <right/>
      <top style="medium">
        <color indexed="45"/>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21"/>
      </left>
      <right style="thin">
        <color indexed="21"/>
      </right>
      <top style="thin">
        <color indexed="21"/>
      </top>
      <bottom style="thin">
        <color indexed="21"/>
      </bottom>
      <diagonal/>
    </border>
    <border>
      <left/>
      <right/>
      <top/>
      <bottom style="medium">
        <color indexed="64"/>
      </bottom>
      <diagonal/>
    </border>
    <border>
      <left style="thin">
        <color auto="1"/>
      </left>
      <right style="thin">
        <color auto="1"/>
      </right>
      <top style="thin">
        <color auto="1"/>
      </top>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right/>
      <top/>
      <bottom style="hair">
        <color auto="1"/>
      </bottom>
      <diagonal/>
    </border>
    <border>
      <left/>
      <right/>
      <top style="thin">
        <color auto="1"/>
      </top>
      <bottom/>
      <diagonal/>
    </border>
    <border>
      <left style="dotted">
        <color indexed="12"/>
      </left>
      <right style="dotted">
        <color indexed="12"/>
      </right>
      <top style="dotted">
        <color indexed="12"/>
      </top>
      <bottom style="dotted">
        <color indexed="12"/>
      </bottom>
      <diagonal/>
    </border>
    <border>
      <left/>
      <right/>
      <top style="thin">
        <color indexed="8"/>
      </top>
      <bottom/>
      <diagonal/>
    </border>
    <border>
      <left style="thin">
        <color auto="1"/>
      </left>
      <right style="thin">
        <color auto="1"/>
      </right>
      <top style="double">
        <color auto="1"/>
      </top>
      <bottom style="medium">
        <color auto="1"/>
      </bottom>
      <diagonal/>
    </border>
    <border>
      <left style="thin">
        <color indexed="12"/>
      </left>
      <right style="thin">
        <color indexed="12"/>
      </right>
      <top style="thin">
        <color indexed="12"/>
      </top>
      <bottom style="thin">
        <color indexed="12"/>
      </bottom>
      <diagonal/>
    </border>
    <border>
      <left style="thin">
        <color indexed="63"/>
      </left>
      <right style="thin">
        <color indexed="63"/>
      </right>
      <top style="thin">
        <color indexed="63"/>
      </top>
      <bottom style="thin">
        <color indexed="63"/>
      </bottom>
      <diagonal/>
    </border>
    <border>
      <left style="thin">
        <color auto="1"/>
      </left>
      <right style="thin">
        <color auto="1"/>
      </right>
      <top style="medium">
        <color auto="1"/>
      </top>
      <bottom style="thin">
        <color auto="1"/>
      </bottom>
      <diagonal/>
    </border>
    <border>
      <left style="thin">
        <color indexed="63"/>
      </left>
      <right style="thin">
        <color indexed="63"/>
      </right>
      <top style="thin">
        <color auto="1"/>
      </top>
      <bottom style="thin">
        <color indexed="63"/>
      </bottom>
      <diagonal/>
    </border>
    <border>
      <left style="thin">
        <color indexed="63"/>
      </left>
      <right/>
      <top style="thin">
        <color indexed="63"/>
      </top>
      <bottom style="thin">
        <color indexed="63"/>
      </bottom>
      <diagonal/>
    </border>
    <border>
      <left/>
      <right/>
      <top style="dotted">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style="thin">
        <color auto="1"/>
      </top>
      <bottom style="double">
        <color auto="1"/>
      </bottom>
      <diagonal/>
    </border>
    <border>
      <left style="thin">
        <color indexed="12"/>
      </left>
      <right style="thin">
        <color indexed="12"/>
      </right>
      <top style="thin">
        <color indexed="12"/>
      </top>
      <bottom style="thin">
        <color indexed="12"/>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s>
  <cellStyleXfs count="58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27" fillId="0" borderId="0"/>
    <xf numFmtId="9" fontId="27" fillId="0" borderId="0" applyFont="0" applyFill="0" applyBorder="0" applyAlignment="0" applyProtection="0"/>
    <xf numFmtId="0" fontId="2" fillId="0" borderId="0"/>
    <xf numFmtId="0" fontId="1" fillId="0" borderId="0"/>
    <xf numFmtId="0" fontId="1" fillId="0" borderId="0"/>
    <xf numFmtId="0" fontId="3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30" fillId="0" borderId="0"/>
    <xf numFmtId="0" fontId="30"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30" fillId="0" borderId="0"/>
    <xf numFmtId="0" fontId="2" fillId="0" borderId="0"/>
    <xf numFmtId="0" fontId="2" fillId="0" borderId="0"/>
    <xf numFmtId="7" fontId="1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37" fontId="33" fillId="8" borderId="4">
      <alignment horizontal="left"/>
    </xf>
    <xf numFmtId="3" fontId="33" fillId="0" borderId="0"/>
    <xf numFmtId="0" fontId="34" fillId="0" borderId="14" applyNumberFormat="0" applyFill="0" applyAlignment="0" applyProtection="0"/>
    <xf numFmtId="0" fontId="35" fillId="0" borderId="20" applyNumberFormat="0" applyFill="0" applyAlignment="0">
      <alignment horizontal="center" vertical="center"/>
    </xf>
    <xf numFmtId="186" fontId="32" fillId="0" borderId="0" applyFont="0" applyFill="0" applyBorder="0" applyAlignment="0" applyProtection="0"/>
    <xf numFmtId="187" fontId="36" fillId="0" borderId="0"/>
    <xf numFmtId="187" fontId="36" fillId="0" borderId="0"/>
    <xf numFmtId="187" fontId="36" fillId="0" borderId="0"/>
    <xf numFmtId="187" fontId="36" fillId="0" borderId="0"/>
    <xf numFmtId="187" fontId="36" fillId="0" borderId="0"/>
    <xf numFmtId="187" fontId="36" fillId="0" borderId="0"/>
    <xf numFmtId="187" fontId="36" fillId="0" borderId="0"/>
    <xf numFmtId="187" fontId="36" fillId="0" borderId="0"/>
    <xf numFmtId="43" fontId="37" fillId="0" borderId="0" applyFont="0" applyFill="0" applyBorder="0" applyAlignment="0" applyProtection="0"/>
    <xf numFmtId="43" fontId="38" fillId="0" borderId="0" applyFont="0" applyFill="0" applyBorder="0" applyAlignment="0" applyProtection="0"/>
    <xf numFmtId="4" fontId="39" fillId="0" borderId="0" applyFont="0" applyFill="0" applyBorder="0" applyAlignment="0" applyProtection="0"/>
    <xf numFmtId="3" fontId="40" fillId="0" borderId="0" applyFont="0" applyFill="0" applyBorder="0" applyAlignment="0" applyProtection="0"/>
    <xf numFmtId="3" fontId="41" fillId="0" borderId="0">
      <alignment horizontal="left"/>
    </xf>
    <xf numFmtId="3" fontId="42" fillId="0" borderId="4" applyNumberFormat="0" applyProtection="0"/>
    <xf numFmtId="5" fontId="14" fillId="0" borderId="0" applyFont="0" applyFill="0" applyBorder="0" applyAlignment="0" applyProtection="0">
      <alignment horizontal="center"/>
    </xf>
    <xf numFmtId="44" fontId="43" fillId="0" borderId="0" applyFont="0" applyFill="0" applyBorder="0" applyAlignment="0" applyProtection="0"/>
    <xf numFmtId="8" fontId="39" fillId="0" borderId="0" applyFont="0" applyFill="0" applyBorder="0" applyAlignment="0" applyProtection="0"/>
    <xf numFmtId="188" fontId="40" fillId="0" borderId="0" applyFont="0" applyFill="0" applyBorder="0" applyAlignment="0" applyProtection="0"/>
    <xf numFmtId="0" fontId="40" fillId="0" borderId="0" applyFont="0" applyFill="0" applyBorder="0" applyAlignment="0" applyProtection="0"/>
    <xf numFmtId="183" fontId="44" fillId="9" borderId="21">
      <alignment horizontal="left" vertical="top" wrapText="1"/>
      <protection locked="0"/>
    </xf>
    <xf numFmtId="189" fontId="2" fillId="0" borderId="0" applyFont="0" applyFill="0" applyBorder="0" applyAlignment="0" applyProtection="0"/>
    <xf numFmtId="2" fontId="40" fillId="0" borderId="0" applyFont="0" applyFill="0" applyBorder="0" applyAlignment="0" applyProtection="0"/>
    <xf numFmtId="14" fontId="45" fillId="0" borderId="0">
      <alignment horizontal="right"/>
    </xf>
    <xf numFmtId="38" fontId="31" fillId="7" borderId="0" applyNumberFormat="0" applyBorder="0" applyAlignment="0" applyProtection="0"/>
    <xf numFmtId="3" fontId="46" fillId="0" borderId="0" applyNumberFormat="0" applyProtection="0"/>
    <xf numFmtId="0" fontId="46" fillId="0" borderId="2" applyNumberFormat="0" applyFill="0" applyAlignment="0"/>
    <xf numFmtId="0" fontId="33" fillId="0" borderId="0">
      <alignment horizontal="centerContinuous"/>
    </xf>
    <xf numFmtId="0" fontId="33" fillId="0" borderId="11" applyNumberFormat="0" applyAlignment="0" applyProtection="0">
      <alignment horizontal="left" vertical="center"/>
    </xf>
    <xf numFmtId="0" fontId="33" fillId="0" borderId="16">
      <alignment horizontal="left" vertical="center"/>
    </xf>
    <xf numFmtId="0" fontId="46" fillId="0" borderId="4"/>
    <xf numFmtId="5" fontId="33" fillId="0" borderId="0">
      <alignment horizontal="left" vertical="center"/>
    </xf>
    <xf numFmtId="5" fontId="14" fillId="0" borderId="0">
      <alignment horizontal="left" vertical="center"/>
    </xf>
    <xf numFmtId="5" fontId="22" fillId="10" borderId="22" applyNumberFormat="0">
      <alignment horizontal="left" vertical="center"/>
      <protection locked="0"/>
    </xf>
    <xf numFmtId="190" fontId="32" fillId="0" borderId="0"/>
    <xf numFmtId="0" fontId="2" fillId="0" borderId="0"/>
    <xf numFmtId="0" fontId="2" fillId="0" borderId="0"/>
    <xf numFmtId="0" fontId="38" fillId="0" borderId="0">
      <alignment vertical="top"/>
    </xf>
    <xf numFmtId="0" fontId="47" fillId="0" borderId="0"/>
    <xf numFmtId="0" fontId="47" fillId="0" borderId="0"/>
    <xf numFmtId="0" fontId="47" fillId="0" borderId="0"/>
    <xf numFmtId="0" fontId="47" fillId="0" borderId="0"/>
    <xf numFmtId="0" fontId="39" fillId="0" borderId="0"/>
    <xf numFmtId="0" fontId="48" fillId="8" borderId="0">
      <alignment horizontal="centerContinuous"/>
    </xf>
    <xf numFmtId="3" fontId="30" fillId="0" borderId="18"/>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44" fontId="49" fillId="0" borderId="4">
      <alignment horizontal="centerContinuous"/>
    </xf>
    <xf numFmtId="5" fontId="14" fillId="0" borderId="0">
      <alignment horizontal="right" vertical="center" wrapText="1"/>
    </xf>
    <xf numFmtId="3" fontId="50" fillId="0" borderId="14"/>
    <xf numFmtId="3" fontId="33" fillId="0" borderId="4" applyNumberFormat="0" applyFill="0" applyProtection="0"/>
    <xf numFmtId="9" fontId="51" fillId="0" borderId="0" applyNumberFormat="0" applyFill="0" applyAlignment="0" applyProtection="0"/>
    <xf numFmtId="3" fontId="52" fillId="0" borderId="16"/>
    <xf numFmtId="9" fontId="53" fillId="0" borderId="4" applyNumberFormat="0" applyFont="0" applyBorder="0" applyAlignment="0"/>
    <xf numFmtId="49" fontId="2" fillId="0" borderId="0" applyFont="0" applyFill="0" applyBorder="0" applyAlignment="0" applyProtection="0"/>
    <xf numFmtId="183" fontId="44" fillId="11" borderId="23">
      <alignment horizontal="left" vertical="top" wrapText="1"/>
      <protection locked="0"/>
    </xf>
    <xf numFmtId="0" fontId="12" fillId="7" borderId="24">
      <alignment horizontal="center" wrapText="1"/>
    </xf>
    <xf numFmtId="44" fontId="2" fillId="0" borderId="0" applyFill="0" applyBorder="0" applyAlignment="0" applyProtection="0"/>
    <xf numFmtId="0" fontId="54" fillId="0" borderId="0" applyNumberFormat="0" applyFill="0" applyBorder="0" applyAlignment="0" applyProtection="0">
      <alignment vertical="top"/>
      <protection locked="0"/>
    </xf>
    <xf numFmtId="0" fontId="55" fillId="0" borderId="0"/>
    <xf numFmtId="191" fontId="2" fillId="0" borderId="0" applyFont="0" applyFill="0" applyBorder="0" applyAlignment="0" applyProtection="0"/>
    <xf numFmtId="164" fontId="2" fillId="0" borderId="0" applyFont="0" applyFill="0" applyBorder="0" applyAlignment="0" applyProtection="0"/>
    <xf numFmtId="0" fontId="2" fillId="12" borderId="0"/>
    <xf numFmtId="192" fontId="2" fillId="0" borderId="0" applyFont="0" applyFill="0" applyBorder="0" applyAlignment="0" applyProtection="0"/>
    <xf numFmtId="19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ill="0" applyBorder="0" applyAlignment="0" applyProtection="0"/>
    <xf numFmtId="9" fontId="2" fillId="0" borderId="0" applyFont="0" applyFill="0" applyBorder="0" applyAlignment="0" applyProtection="0"/>
    <xf numFmtId="0" fontId="30" fillId="0" borderId="0"/>
    <xf numFmtId="0" fontId="55" fillId="0" borderId="0"/>
    <xf numFmtId="0" fontId="30" fillId="0" borderId="0"/>
    <xf numFmtId="0" fontId="2" fillId="0" borderId="0"/>
    <xf numFmtId="43" fontId="2" fillId="0" borderId="0" applyFont="0" applyFill="0" applyBorder="0" applyAlignment="0" applyProtection="0"/>
    <xf numFmtId="44" fontId="2" fillId="0" borderId="0" applyFill="0" applyBorder="0" applyAlignment="0" applyProtection="0"/>
    <xf numFmtId="9" fontId="2" fillId="0" borderId="0" applyFont="0" applyFill="0" applyBorder="0" applyAlignment="0" applyProtection="0"/>
    <xf numFmtId="0" fontId="2" fillId="0" borderId="0"/>
    <xf numFmtId="40" fontId="56" fillId="0" borderId="0" applyFont="0" applyFill="0" applyBorder="0" applyAlignment="0" applyProtection="0"/>
    <xf numFmtId="0" fontId="56" fillId="0" borderId="0"/>
    <xf numFmtId="0" fontId="1" fillId="0" borderId="0"/>
    <xf numFmtId="43" fontId="1" fillId="0" borderId="0" applyFont="0" applyFill="0" applyBorder="0" applyAlignment="0" applyProtection="0"/>
    <xf numFmtId="9" fontId="56" fillId="0" borderId="0" applyFont="0" applyFill="0" applyBorder="0" applyAlignment="0" applyProtection="0"/>
    <xf numFmtId="8" fontId="56" fillId="0" borderId="0" applyFont="0" applyFill="0" applyBorder="0" applyAlignment="0" applyProtection="0"/>
    <xf numFmtId="37" fontId="2" fillId="0" borderId="0"/>
    <xf numFmtId="44"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189" fontId="57" fillId="0" borderId="0" applyFont="0" applyFill="0" applyBorder="0" applyAlignment="0" applyProtection="0"/>
    <xf numFmtId="38" fontId="58" fillId="0" borderId="0" applyFont="0" applyAlignment="0" applyProtection="0">
      <alignment horizontal="right"/>
      <protection locked="0"/>
    </xf>
    <xf numFmtId="194" fontId="39" fillId="0" borderId="0"/>
    <xf numFmtId="9" fontId="30" fillId="0" borderId="0" applyFont="0" applyFill="0" applyBorder="0" applyAlignment="0" applyProtection="0"/>
    <xf numFmtId="9" fontId="30" fillId="0" borderId="0" applyFont="0" applyFill="0" applyBorder="0" applyAlignment="0" applyProtection="0"/>
    <xf numFmtId="0" fontId="30"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30" fillId="0" borderId="0"/>
    <xf numFmtId="9" fontId="2" fillId="0" borderId="0" applyFont="0" applyFill="0" applyBorder="0" applyAlignment="0" applyProtection="0"/>
    <xf numFmtId="0" fontId="30" fillId="0" borderId="0"/>
    <xf numFmtId="0" fontId="30" fillId="0" borderId="0"/>
    <xf numFmtId="0" fontId="1" fillId="0" borderId="0"/>
    <xf numFmtId="9" fontId="59" fillId="0" borderId="0" applyFont="0" applyFill="0" applyBorder="0" applyAlignment="0" applyProtection="0"/>
    <xf numFmtId="43" fontId="59"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0" fillId="0" borderId="0"/>
    <xf numFmtId="0" fontId="60" fillId="0" borderId="0"/>
    <xf numFmtId="0" fontId="6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0" fillId="0" borderId="0"/>
    <xf numFmtId="0" fontId="1" fillId="0" borderId="0"/>
    <xf numFmtId="0" fontId="1" fillId="0" borderId="0"/>
    <xf numFmtId="0" fontId="1" fillId="0" borderId="0"/>
    <xf numFmtId="9" fontId="1" fillId="0" borderId="0" applyFont="0" applyFill="0" applyBorder="0" applyAlignment="0" applyProtection="0"/>
    <xf numFmtId="0" fontId="63"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 fillId="0" borderId="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34" fillId="0" borderId="26" applyNumberFormat="0" applyFill="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 fillId="0" borderId="0"/>
    <xf numFmtId="0" fontId="2" fillId="0" borderId="0"/>
    <xf numFmtId="43" fontId="59" fillId="0" borderId="0" applyFont="0" applyFill="0" applyBorder="0" applyAlignment="0" applyProtection="0"/>
    <xf numFmtId="0" fontId="33" fillId="0" borderId="16">
      <alignment horizontal="left" vertical="center"/>
    </xf>
    <xf numFmtId="5" fontId="22" fillId="10" borderId="32" applyNumberFormat="0">
      <alignment horizontal="left" vertical="center"/>
      <protection locked="0"/>
    </xf>
    <xf numFmtId="3" fontId="30" fillId="0" borderId="9"/>
    <xf numFmtId="3" fontId="50" fillId="0" borderId="26"/>
    <xf numFmtId="3" fontId="52" fillId="0" borderId="16"/>
    <xf numFmtId="0" fontId="242" fillId="0" borderId="0" applyFont="0" applyFill="0" applyBorder="0" applyAlignment="0" applyProtection="0"/>
    <xf numFmtId="0" fontId="1" fillId="0" borderId="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1" fillId="0" borderId="0"/>
    <xf numFmtId="43" fontId="1"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42" fillId="0" borderId="0" applyFont="0" applyFill="0" applyBorder="0" applyAlignment="0" applyProtection="0"/>
    <xf numFmtId="0" fontId="2" fillId="0" borderId="0"/>
    <xf numFmtId="0" fontId="1" fillId="0" borderId="0"/>
    <xf numFmtId="0" fontId="243"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237" fontId="2" fillId="0" borderId="0">
      <alignment horizontal="right"/>
    </xf>
    <xf numFmtId="5" fontId="90" fillId="0" borderId="15" applyFill="0" applyBorder="0" applyAlignment="0"/>
    <xf numFmtId="5" fontId="90" fillId="0" borderId="15" applyFill="0" applyBorder="0" applyAlignment="0"/>
    <xf numFmtId="5" fontId="90" fillId="0" borderId="15" applyFill="0" applyBorder="0" applyAlignment="0"/>
    <xf numFmtId="5" fontId="90" fillId="0" borderId="15" applyFill="0" applyBorder="0" applyAlignment="0"/>
    <xf numFmtId="5" fontId="90" fillId="0" borderId="15" applyFill="0" applyBorder="0" applyAlignment="0"/>
    <xf numFmtId="5" fontId="91" fillId="0" borderId="15" applyFill="0" applyBorder="0" applyAlignment="0"/>
    <xf numFmtId="5" fontId="91" fillId="0" borderId="15" applyFill="0" applyBorder="0" applyAlignment="0"/>
    <xf numFmtId="238" fontId="131" fillId="0" borderId="0">
      <alignment horizontal="right"/>
    </xf>
    <xf numFmtId="235" fontId="2" fillId="0" borderId="0">
      <alignment horizontal="right"/>
    </xf>
    <xf numFmtId="206" fontId="30" fillId="0" borderId="0">
      <alignment horizontal="left"/>
    </xf>
    <xf numFmtId="0" fontId="1" fillId="0" borderId="0"/>
    <xf numFmtId="205" fontId="81" fillId="0" borderId="0"/>
    <xf numFmtId="0" fontId="2" fillId="0" borderId="0"/>
    <xf numFmtId="5" fontId="91" fillId="0" borderId="15" applyFill="0" applyBorder="0" applyAlignment="0"/>
    <xf numFmtId="5" fontId="91" fillId="0" borderId="15" applyFill="0" applyBorder="0" applyAlignment="0"/>
    <xf numFmtId="5" fontId="91" fillId="0" borderId="15" applyFill="0" applyBorder="0" applyAlignment="0"/>
    <xf numFmtId="7" fontId="91" fillId="0" borderId="15" applyFill="0" applyBorder="0" applyAlignment="0"/>
    <xf numFmtId="7" fontId="91" fillId="0" borderId="15" applyFill="0" applyBorder="0" applyAlignment="0"/>
    <xf numFmtId="7" fontId="91" fillId="0" borderId="15" applyFill="0" applyBorder="0" applyAlignment="0"/>
    <xf numFmtId="7" fontId="91" fillId="0" borderId="15" applyFill="0" applyBorder="0" applyAlignment="0"/>
    <xf numFmtId="7" fontId="91" fillId="0" borderId="15" applyFill="0" applyBorder="0" applyAlignment="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8" fontId="55" fillId="0" borderId="0"/>
    <xf numFmtId="208" fontId="81" fillId="0" borderId="0"/>
    <xf numFmtId="209" fontId="92" fillId="0" borderId="27"/>
    <xf numFmtId="210" fontId="2" fillId="0" borderId="0" applyFont="0" applyFill="0" applyBorder="0" applyProtection="0">
      <alignment wrapText="1"/>
    </xf>
    <xf numFmtId="210" fontId="2" fillId="0" borderId="0" applyFont="0" applyFill="0" applyBorder="0" applyProtection="0">
      <alignment wrapText="1"/>
    </xf>
    <xf numFmtId="210" fontId="2" fillId="0" borderId="0" applyFont="0" applyFill="0" applyBorder="0" applyProtection="0">
      <alignment wrapText="1"/>
    </xf>
    <xf numFmtId="210" fontId="2" fillId="0" borderId="0" applyFont="0" applyFill="0" applyBorder="0" applyProtection="0">
      <alignment wrapText="1"/>
    </xf>
    <xf numFmtId="210" fontId="2" fillId="0" borderId="0" applyFont="0" applyFill="0" applyBorder="0" applyProtection="0">
      <alignment wrapText="1"/>
    </xf>
    <xf numFmtId="210" fontId="2" fillId="0" borderId="0" applyFont="0" applyFill="0" applyBorder="0" applyProtection="0">
      <alignment wrapText="1"/>
    </xf>
    <xf numFmtId="211" fontId="2" fillId="0" borderId="0" applyFont="0" applyFill="0" applyBorder="0" applyProtection="0">
      <alignment horizontal="left" wrapText="1"/>
    </xf>
    <xf numFmtId="211" fontId="2" fillId="0" borderId="0" applyFont="0" applyFill="0" applyBorder="0" applyProtection="0">
      <alignment horizontal="left" wrapText="1"/>
    </xf>
    <xf numFmtId="211" fontId="2" fillId="0" borderId="0" applyFont="0" applyFill="0" applyBorder="0" applyProtection="0">
      <alignment horizontal="left" wrapText="1"/>
    </xf>
    <xf numFmtId="211" fontId="2" fillId="0" borderId="0" applyFont="0" applyFill="0" applyBorder="0" applyProtection="0">
      <alignment horizontal="left" wrapText="1"/>
    </xf>
    <xf numFmtId="211" fontId="2" fillId="0" borderId="0" applyFont="0" applyFill="0" applyBorder="0" applyProtection="0">
      <alignment horizontal="left" wrapText="1"/>
    </xf>
    <xf numFmtId="211" fontId="2" fillId="0" borderId="0" applyFont="0" applyFill="0" applyBorder="0" applyProtection="0">
      <alignment horizontal="left" wrapText="1"/>
    </xf>
    <xf numFmtId="212" fontId="2" fillId="0" borderId="0" applyFont="0" applyFill="0" applyBorder="0" applyProtection="0">
      <alignment wrapText="1"/>
    </xf>
    <xf numFmtId="212" fontId="2" fillId="0" borderId="0" applyFont="0" applyFill="0" applyBorder="0" applyProtection="0">
      <alignment wrapText="1"/>
    </xf>
    <xf numFmtId="212" fontId="2" fillId="0" borderId="0" applyFont="0" applyFill="0" applyBorder="0" applyProtection="0">
      <alignment wrapText="1"/>
    </xf>
    <xf numFmtId="212" fontId="2" fillId="0" borderId="0" applyFont="0" applyFill="0" applyBorder="0" applyProtection="0">
      <alignment wrapText="1"/>
    </xf>
    <xf numFmtId="212" fontId="2" fillId="0" borderId="0" applyFont="0" applyFill="0" applyBorder="0" applyProtection="0">
      <alignment wrapText="1"/>
    </xf>
    <xf numFmtId="212" fontId="2" fillId="0" borderId="0" applyFont="0" applyFill="0" applyBorder="0" applyProtection="0">
      <alignment wrapText="1"/>
    </xf>
    <xf numFmtId="213" fontId="2" fillId="0" borderId="0" applyFont="0" applyFill="0" applyBorder="0" applyProtection="0">
      <alignment wrapText="1"/>
    </xf>
    <xf numFmtId="213" fontId="2" fillId="0" borderId="0" applyFont="0" applyFill="0" applyBorder="0" applyProtection="0">
      <alignment wrapText="1"/>
    </xf>
    <xf numFmtId="213" fontId="2" fillId="0" borderId="0" applyFont="0" applyFill="0" applyBorder="0" applyProtection="0">
      <alignment wrapText="1"/>
    </xf>
    <xf numFmtId="213" fontId="2" fillId="0" borderId="0" applyFont="0" applyFill="0" applyBorder="0" applyProtection="0">
      <alignment wrapText="1"/>
    </xf>
    <xf numFmtId="213" fontId="2" fillId="0" borderId="0" applyFont="0" applyFill="0" applyBorder="0" applyProtection="0">
      <alignment wrapText="1"/>
    </xf>
    <xf numFmtId="213" fontId="2" fillId="0" borderId="0" applyFont="0" applyFill="0" applyBorder="0" applyProtection="0">
      <alignment wrapText="1"/>
    </xf>
    <xf numFmtId="214" fontId="2" fillId="0" borderId="0" applyFont="0" applyFill="0" applyBorder="0" applyProtection="0">
      <alignment wrapText="1"/>
    </xf>
    <xf numFmtId="214" fontId="2" fillId="0" borderId="0" applyFont="0" applyFill="0" applyBorder="0" applyProtection="0">
      <alignment wrapText="1"/>
    </xf>
    <xf numFmtId="214" fontId="2" fillId="0" borderId="0" applyFont="0" applyFill="0" applyBorder="0" applyProtection="0">
      <alignment wrapText="1"/>
    </xf>
    <xf numFmtId="214" fontId="2" fillId="0" borderId="0" applyFont="0" applyFill="0" applyBorder="0" applyProtection="0">
      <alignment wrapText="1"/>
    </xf>
    <xf numFmtId="214" fontId="2" fillId="0" borderId="0" applyFont="0" applyFill="0" applyBorder="0" applyProtection="0">
      <alignment wrapText="1"/>
    </xf>
    <xf numFmtId="214" fontId="2" fillId="0" borderId="0" applyFont="0" applyFill="0" applyBorder="0" applyProtection="0">
      <alignment wrapText="1"/>
    </xf>
    <xf numFmtId="215" fontId="2" fillId="0" borderId="0" applyFont="0" applyFill="0" applyBorder="0" applyProtection="0">
      <alignment wrapText="1"/>
    </xf>
    <xf numFmtId="215" fontId="2" fillId="0" borderId="0" applyFont="0" applyFill="0" applyBorder="0" applyProtection="0">
      <alignment wrapText="1"/>
    </xf>
    <xf numFmtId="215" fontId="2" fillId="0" borderId="0" applyFont="0" applyFill="0" applyBorder="0" applyProtection="0">
      <alignment wrapText="1"/>
    </xf>
    <xf numFmtId="215" fontId="2" fillId="0" borderId="0" applyFont="0" applyFill="0" applyBorder="0" applyProtection="0">
      <alignment wrapText="1"/>
    </xf>
    <xf numFmtId="215" fontId="2" fillId="0" borderId="0" applyFont="0" applyFill="0" applyBorder="0" applyProtection="0">
      <alignment wrapText="1"/>
    </xf>
    <xf numFmtId="215" fontId="2" fillId="0" borderId="0" applyFont="0" applyFill="0" applyBorder="0" applyProtection="0">
      <alignment wrapText="1"/>
    </xf>
    <xf numFmtId="197" fontId="81"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7" fontId="2" fillId="0" borderId="0" applyFont="0" applyFill="0" applyBorder="0" applyAlignment="0" applyProtection="0"/>
    <xf numFmtId="198" fontId="81"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16" fontId="2" fillId="0" borderId="0" applyFont="0" applyFill="0" applyBorder="0" applyProtection="0">
      <alignment horizontal="right"/>
    </xf>
    <xf numFmtId="216" fontId="2" fillId="0" borderId="0" applyFont="0" applyFill="0" applyBorder="0" applyProtection="0">
      <alignment horizontal="right"/>
    </xf>
    <xf numFmtId="216" fontId="2" fillId="0" borderId="0" applyFont="0" applyFill="0" applyBorder="0" applyProtection="0">
      <alignment horizontal="right"/>
    </xf>
    <xf numFmtId="216" fontId="2" fillId="0" borderId="0" applyFont="0" applyFill="0" applyBorder="0" applyProtection="0">
      <alignment horizontal="right"/>
    </xf>
    <xf numFmtId="216" fontId="2" fillId="0" borderId="0" applyFont="0" applyFill="0" applyBorder="0" applyProtection="0">
      <alignment horizontal="right"/>
    </xf>
    <xf numFmtId="216" fontId="2" fillId="0" borderId="0" applyFont="0" applyFill="0" applyBorder="0" applyProtection="0">
      <alignment horizontal="right"/>
    </xf>
    <xf numFmtId="217" fontId="2" fillId="0" borderId="0" applyFont="0" applyFill="0" applyBorder="0" applyProtection="0">
      <alignment horizontal="right"/>
    </xf>
    <xf numFmtId="217" fontId="2" fillId="0" borderId="0" applyFont="0" applyFill="0" applyBorder="0" applyProtection="0">
      <alignment horizontal="right"/>
    </xf>
    <xf numFmtId="217" fontId="2" fillId="0" borderId="0" applyFont="0" applyFill="0" applyBorder="0" applyProtection="0">
      <alignment horizontal="right"/>
    </xf>
    <xf numFmtId="217" fontId="2" fillId="0" borderId="0" applyFont="0" applyFill="0" applyBorder="0" applyProtection="0">
      <alignment horizontal="right"/>
    </xf>
    <xf numFmtId="217" fontId="2" fillId="0" borderId="0" applyFont="0" applyFill="0" applyBorder="0" applyProtection="0">
      <alignment horizontal="right"/>
    </xf>
    <xf numFmtId="217" fontId="2" fillId="0" borderId="0" applyFont="0" applyFill="0" applyBorder="0" applyProtection="0">
      <alignment horizontal="right"/>
    </xf>
    <xf numFmtId="218" fontId="2" fillId="0" borderId="0" applyFont="0" applyFill="0" applyBorder="0" applyProtection="0">
      <alignment horizontal="right"/>
    </xf>
    <xf numFmtId="218" fontId="2" fillId="0" borderId="0" applyFont="0" applyFill="0" applyBorder="0" applyProtection="0">
      <alignment horizontal="right"/>
    </xf>
    <xf numFmtId="218" fontId="2" fillId="0" borderId="0" applyFont="0" applyFill="0" applyBorder="0" applyProtection="0">
      <alignment horizontal="right"/>
    </xf>
    <xf numFmtId="218" fontId="2" fillId="0" borderId="0" applyFont="0" applyFill="0" applyBorder="0" applyProtection="0">
      <alignment horizontal="right"/>
    </xf>
    <xf numFmtId="218" fontId="2" fillId="0" borderId="0" applyFont="0" applyFill="0" applyBorder="0" applyProtection="0">
      <alignment horizontal="right"/>
    </xf>
    <xf numFmtId="218" fontId="2" fillId="0" borderId="0" applyFont="0" applyFill="0" applyBorder="0" applyProtection="0">
      <alignment horizontal="right"/>
    </xf>
    <xf numFmtId="219" fontId="2" fillId="0" borderId="0" applyFont="0" applyFill="0" applyBorder="0" applyProtection="0">
      <alignment horizontal="right"/>
    </xf>
    <xf numFmtId="219" fontId="2" fillId="0" borderId="0" applyFont="0" applyFill="0" applyBorder="0" applyProtection="0">
      <alignment horizontal="right"/>
    </xf>
    <xf numFmtId="219" fontId="2" fillId="0" borderId="0" applyFont="0" applyFill="0" applyBorder="0" applyProtection="0">
      <alignment horizontal="right"/>
    </xf>
    <xf numFmtId="219" fontId="2" fillId="0" borderId="0" applyFont="0" applyFill="0" applyBorder="0" applyProtection="0">
      <alignment horizontal="right"/>
    </xf>
    <xf numFmtId="219" fontId="2" fillId="0" borderId="0" applyFont="0" applyFill="0" applyBorder="0" applyProtection="0">
      <alignment horizontal="right"/>
    </xf>
    <xf numFmtId="219" fontId="2" fillId="0" borderId="0" applyFont="0" applyFill="0" applyBorder="0" applyProtection="0">
      <alignment horizontal="right"/>
    </xf>
    <xf numFmtId="220" fontId="2" fillId="0" borderId="0" applyFont="0" applyFill="0" applyBorder="0" applyProtection="0">
      <alignment horizontal="right"/>
    </xf>
    <xf numFmtId="220" fontId="2" fillId="0" borderId="0" applyFont="0" applyFill="0" applyBorder="0" applyProtection="0">
      <alignment horizontal="right"/>
    </xf>
    <xf numFmtId="220" fontId="2" fillId="0" borderId="0" applyFont="0" applyFill="0" applyBorder="0" applyProtection="0">
      <alignment horizontal="right"/>
    </xf>
    <xf numFmtId="220" fontId="2" fillId="0" borderId="0" applyFont="0" applyFill="0" applyBorder="0" applyProtection="0">
      <alignment horizontal="right"/>
    </xf>
    <xf numFmtId="220" fontId="2" fillId="0" borderId="0" applyFont="0" applyFill="0" applyBorder="0" applyProtection="0">
      <alignment horizontal="right"/>
    </xf>
    <xf numFmtId="220" fontId="2" fillId="0" borderId="0" applyFont="0" applyFill="0" applyBorder="0" applyProtection="0">
      <alignment horizontal="right"/>
    </xf>
    <xf numFmtId="221" fontId="2" fillId="0" borderId="0" applyFont="0" applyFill="0" applyBorder="0" applyProtection="0">
      <alignment horizontal="right"/>
    </xf>
    <xf numFmtId="221" fontId="2" fillId="0" borderId="0" applyFont="0" applyFill="0" applyBorder="0" applyProtection="0">
      <alignment horizontal="right"/>
    </xf>
    <xf numFmtId="221" fontId="2" fillId="0" borderId="0" applyFont="0" applyFill="0" applyBorder="0" applyProtection="0">
      <alignment horizontal="right"/>
    </xf>
    <xf numFmtId="221" fontId="2" fillId="0" borderId="0" applyFont="0" applyFill="0" applyBorder="0" applyProtection="0">
      <alignment horizontal="right"/>
    </xf>
    <xf numFmtId="221" fontId="2" fillId="0" borderId="0" applyFont="0" applyFill="0" applyBorder="0" applyProtection="0">
      <alignment horizontal="right"/>
    </xf>
    <xf numFmtId="221" fontId="2" fillId="0" borderId="0" applyFont="0" applyFill="0" applyBorder="0" applyProtection="0">
      <alignment horizontal="right"/>
    </xf>
    <xf numFmtId="222" fontId="2" fillId="0" borderId="0" applyFont="0" applyFill="0" applyBorder="0" applyProtection="0">
      <alignment horizontal="right"/>
    </xf>
    <xf numFmtId="222" fontId="2" fillId="0" borderId="0" applyFont="0" applyFill="0" applyBorder="0" applyProtection="0">
      <alignment horizontal="right"/>
    </xf>
    <xf numFmtId="222" fontId="2" fillId="0" borderId="0" applyFont="0" applyFill="0" applyBorder="0" applyProtection="0">
      <alignment horizontal="right"/>
    </xf>
    <xf numFmtId="222" fontId="2" fillId="0" borderId="0" applyFont="0" applyFill="0" applyBorder="0" applyProtection="0">
      <alignment horizontal="right"/>
    </xf>
    <xf numFmtId="222" fontId="2" fillId="0" borderId="0" applyFont="0" applyFill="0" applyBorder="0" applyProtection="0">
      <alignment horizontal="right"/>
    </xf>
    <xf numFmtId="222" fontId="2" fillId="0" borderId="0" applyFont="0" applyFill="0" applyBorder="0" applyProtection="0">
      <alignment horizontal="right"/>
    </xf>
    <xf numFmtId="223" fontId="2" fillId="0" borderId="0" applyFont="0" applyFill="0" applyBorder="0" applyProtection="0">
      <alignment horizontal="right"/>
    </xf>
    <xf numFmtId="223" fontId="2" fillId="0" borderId="0" applyFont="0" applyFill="0" applyBorder="0" applyProtection="0">
      <alignment horizontal="right"/>
    </xf>
    <xf numFmtId="223" fontId="2" fillId="0" borderId="0" applyFont="0" applyFill="0" applyBorder="0" applyProtection="0">
      <alignment horizontal="right"/>
    </xf>
    <xf numFmtId="223" fontId="2" fillId="0" borderId="0" applyFont="0" applyFill="0" applyBorder="0" applyProtection="0">
      <alignment horizontal="right"/>
    </xf>
    <xf numFmtId="223" fontId="2" fillId="0" borderId="0" applyFont="0" applyFill="0" applyBorder="0" applyProtection="0">
      <alignment horizontal="right"/>
    </xf>
    <xf numFmtId="223" fontId="2" fillId="0" borderId="0" applyFont="0" applyFill="0" applyBorder="0" applyProtection="0">
      <alignment horizontal="right"/>
    </xf>
    <xf numFmtId="224" fontId="2" fillId="0" borderId="0" applyFont="0" applyFill="0" applyBorder="0" applyProtection="0">
      <alignment horizontal="right"/>
    </xf>
    <xf numFmtId="224" fontId="2" fillId="0" borderId="0" applyFont="0" applyFill="0" applyBorder="0" applyProtection="0">
      <alignment horizontal="right"/>
    </xf>
    <xf numFmtId="225" fontId="2" fillId="0" borderId="0" applyFont="0" applyFill="0" applyBorder="0" applyProtection="0">
      <alignment horizontal="right"/>
    </xf>
    <xf numFmtId="225" fontId="2" fillId="0" borderId="0" applyFont="0" applyFill="0" applyBorder="0" applyProtection="0">
      <alignment horizontal="right"/>
    </xf>
    <xf numFmtId="226" fontId="2" fillId="0" borderId="0" applyFont="0" applyFill="0" applyBorder="0" applyProtection="0">
      <alignment horizontal="right"/>
    </xf>
    <xf numFmtId="226" fontId="2" fillId="0" borderId="0" applyFont="0" applyFill="0" applyBorder="0" applyProtection="0">
      <alignment horizontal="right"/>
    </xf>
    <xf numFmtId="227" fontId="21" fillId="0" borderId="0" applyFill="0" applyBorder="0" applyProtection="0">
      <alignment horizontal="right"/>
    </xf>
    <xf numFmtId="228" fontId="2" fillId="0" borderId="0" applyFont="0" applyFill="0" applyBorder="0" applyProtection="0">
      <alignment horizontal="right"/>
    </xf>
    <xf numFmtId="228" fontId="2" fillId="0" borderId="0" applyFont="0" applyFill="0" applyBorder="0" applyProtection="0">
      <alignment horizontal="right"/>
    </xf>
    <xf numFmtId="228" fontId="2" fillId="0" borderId="0" applyFont="0" applyFill="0" applyBorder="0" applyProtection="0">
      <alignment horizontal="right"/>
    </xf>
    <xf numFmtId="228" fontId="2" fillId="0" borderId="0" applyFont="0" applyFill="0" applyBorder="0" applyProtection="0">
      <alignment horizontal="right"/>
    </xf>
    <xf numFmtId="229" fontId="81" fillId="0" borderId="0">
      <alignment horizontal="right"/>
      <protection locked="0"/>
    </xf>
    <xf numFmtId="199" fontId="81"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0" fontId="8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9" fontId="2" fillId="0" borderId="0" applyFont="0" applyFill="0" applyBorder="0" applyAlignment="0" applyProtection="0"/>
    <xf numFmtId="195" fontId="140"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195" fontId="140"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9" fontId="2" fillId="0" borderId="0" applyFont="0" applyFill="0" applyBorder="0" applyAlignment="0" applyProtection="0"/>
    <xf numFmtId="195" fontId="2" fillId="0" borderId="0" applyFont="0" applyFill="0" applyBorder="0" applyAlignment="0" applyProtection="0"/>
    <xf numFmtId="195" fontId="140"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9"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81"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8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207" fontId="2" fillId="0" borderId="0" applyFont="0" applyFill="0" applyBorder="0" applyAlignment="0" applyProtection="0"/>
    <xf numFmtId="200" fontId="2" fillId="0" borderId="0" applyFont="0" applyFill="0" applyBorder="0" applyAlignment="0" applyProtection="0"/>
    <xf numFmtId="274" fontId="140"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74" fontId="140"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7" fontId="2" fillId="0" borderId="0" applyFont="0" applyFill="0" applyBorder="0" applyAlignment="0" applyProtection="0"/>
    <xf numFmtId="20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74" fontId="140"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0" fontId="2" fillId="0" borderId="0" applyFont="0" applyFill="0" applyBorder="0" applyAlignment="0" applyProtection="0"/>
    <xf numFmtId="20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81"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0" fontId="8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39" fontId="81" fillId="0" borderId="0" applyFont="0" applyFill="0" applyBorder="0" applyProtection="0">
      <alignment horizontal="right"/>
    </xf>
    <xf numFmtId="201" fontId="2" fillId="0" borderId="0" applyFont="0" applyFill="0" applyBorder="0" applyAlignment="0" applyProtection="0"/>
    <xf numFmtId="39" fontId="140"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140"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39" fontId="2" fillId="0" borderId="0" applyFont="0" applyFill="0" applyBorder="0" applyAlignment="0" applyProtection="0"/>
    <xf numFmtId="39" fontId="2" fillId="0" borderId="0" applyFont="0" applyFill="0" applyBorder="0" applyAlignment="0" applyProtection="0"/>
    <xf numFmtId="201" fontId="2" fillId="0" borderId="0" applyFont="0" applyFill="0" applyBorder="0" applyAlignment="0" applyProtection="0"/>
    <xf numFmtId="39" fontId="2" fillId="0" borderId="0" applyFont="0" applyFill="0" applyBorder="0" applyAlignment="0" applyProtection="0"/>
    <xf numFmtId="39" fontId="140"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81" fillId="0" borderId="0" applyFont="0" applyFill="0" applyBorder="0" applyAlignment="0" applyProtection="0"/>
    <xf numFmtId="202" fontId="2" fillId="0" borderId="0" applyFont="0" applyFill="0" applyBorder="0" applyAlignment="0" applyProtection="0"/>
    <xf numFmtId="202" fontId="2" fillId="0" borderId="0" applyFont="0" applyFill="0" applyBorder="0" applyAlignment="0" applyProtection="0"/>
    <xf numFmtId="202"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1" fillId="34" borderId="0" applyNumberFormat="0" applyFont="0" applyAlignment="0" applyProtection="0"/>
    <xf numFmtId="0" fontId="2" fillId="34" borderId="0" applyNumberFormat="0" applyFont="0" applyAlignment="0" applyProtection="0"/>
    <xf numFmtId="0" fontId="2" fillId="34" borderId="0" applyNumberFormat="0" applyFont="0" applyAlignment="0" applyProtection="0"/>
    <xf numFmtId="0" fontId="2" fillId="34" borderId="0" applyNumberFormat="0" applyFont="0" applyAlignment="0" applyProtection="0"/>
    <xf numFmtId="0" fontId="2" fillId="34" borderId="0" applyNumberFormat="0" applyFont="0" applyAlignment="0" applyProtection="0"/>
    <xf numFmtId="203" fontId="81"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0" fontId="81"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03" fontId="2" fillId="0" borderId="0" applyFont="0" applyFill="0" applyBorder="0" applyAlignment="0" applyProtection="0"/>
    <xf numFmtId="230" fontId="140" fillId="0" borderId="0" applyFont="0" applyFill="0" applyBorder="0" applyAlignment="0" applyProtection="0"/>
    <xf numFmtId="230" fontId="2" fillId="0" borderId="0" applyFont="0" applyFill="0" applyBorder="0" applyAlignment="0" applyProtection="0"/>
    <xf numFmtId="230" fontId="140"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2" fillId="0" borderId="0" applyFont="0" applyFill="0" applyBorder="0" applyAlignment="0" applyProtection="0"/>
    <xf numFmtId="203" fontId="2" fillId="0" borderId="0" applyFont="0" applyFill="0" applyBorder="0" applyAlignment="0" applyProtection="0"/>
    <xf numFmtId="230" fontId="2" fillId="0" borderId="0" applyFont="0" applyFill="0" applyBorder="0" applyAlignment="0" applyProtection="0"/>
    <xf numFmtId="230" fontId="140" fillId="0" borderId="0" applyFont="0" applyFill="0" applyBorder="0" applyAlignment="0" applyProtection="0"/>
    <xf numFmtId="203" fontId="2" fillId="0" borderId="0" applyFont="0" applyFill="0" applyBorder="0" applyAlignment="0" applyProtection="0"/>
    <xf numFmtId="204" fontId="81" fillId="0" borderId="0" applyFont="0" applyFill="0" applyBorder="0" applyProtection="0">
      <alignment horizontal="right"/>
    </xf>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31" fontId="2" fillId="0" borderId="0" applyFont="0" applyFill="0" applyBorder="0" applyAlignment="0" applyProtection="0"/>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0" fontId="81" fillId="0" borderId="0" applyFont="0" applyFill="0" applyBorder="0" applyAlignment="0" applyProtection="0"/>
    <xf numFmtId="204" fontId="2" fillId="0" borderId="0" applyFont="0" applyFill="0" applyBorder="0" applyProtection="0">
      <alignment horizontal="right"/>
    </xf>
    <xf numFmtId="204" fontId="2" fillId="0" borderId="0" applyFont="0" applyFill="0" applyBorder="0" applyProtection="0">
      <alignment horizontal="right"/>
    </xf>
    <xf numFmtId="204" fontId="2" fillId="0" borderId="0" applyFont="0" applyFill="0" applyBorder="0" applyProtection="0">
      <alignment horizontal="right"/>
    </xf>
    <xf numFmtId="231" fontId="140" fillId="0" borderId="0" applyFont="0" applyFill="0" applyBorder="0" applyAlignment="0" applyProtection="0"/>
    <xf numFmtId="204" fontId="2" fillId="0" borderId="0" applyFont="0" applyFill="0" applyBorder="0" applyProtection="0">
      <alignment horizontal="right"/>
    </xf>
    <xf numFmtId="231" fontId="140" fillId="0" borderId="0" applyFont="0" applyFill="0" applyBorder="0" applyAlignment="0" applyProtection="0"/>
    <xf numFmtId="204" fontId="2" fillId="0" borderId="0" applyFont="0" applyFill="0" applyBorder="0" applyProtection="0">
      <alignment horizontal="right"/>
    </xf>
    <xf numFmtId="231" fontId="140"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232" fontId="2" fillId="0" borderId="0" applyFont="0" applyFill="0" applyBorder="0" applyAlignment="0" applyProtection="0"/>
    <xf numFmtId="0" fontId="81"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233" fontId="2" fillId="0" borderId="0" applyFont="0" applyFill="0" applyBorder="0" applyAlignment="0" applyProtection="0"/>
    <xf numFmtId="0" fontId="81" fillId="0" borderId="0" applyFont="0" applyFill="0" applyBorder="0" applyAlignment="0" applyProtection="0"/>
    <xf numFmtId="0" fontId="83" fillId="0" borderId="0" applyNumberFormat="0" applyFill="0" applyBorder="0" applyProtection="0">
      <alignment vertical="top"/>
    </xf>
    <xf numFmtId="0" fontId="83" fillId="0" borderId="0" applyNumberFormat="0" applyFill="0" applyBorder="0" applyAlignment="0" applyProtection="0"/>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Alignment="0" applyProtection="0"/>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Protection="0">
      <alignment vertical="top"/>
    </xf>
    <xf numFmtId="0" fontId="83" fillId="0" borderId="0" applyNumberFormat="0" applyFill="0" applyBorder="0" applyAlignment="0" applyProtection="0"/>
    <xf numFmtId="0" fontId="62" fillId="0" borderId="42"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0" applyNumberFormat="0" applyFill="0" applyBorder="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31" applyNumberFormat="0" applyFill="0" applyAlignment="0" applyProtection="0"/>
    <xf numFmtId="0" fontId="62" fillId="0" borderId="31"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62" fillId="0" borderId="42" applyNumberFormat="0" applyFill="0" applyAlignment="0" applyProtection="0"/>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4" fillId="0" borderId="0" applyNumberFormat="0" applyFill="0" applyBorder="0" applyProtection="0">
      <alignment horizontal="left"/>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Protection="0">
      <alignment horizontal="centerContinuous"/>
    </xf>
    <xf numFmtId="0" fontId="85" fillId="0" borderId="0" applyNumberFormat="0" applyFill="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85" fillId="0" borderId="0" applyNumberFormat="0" applyFill="0" applyBorder="0" applyProtection="0">
      <alignment horizontal="centerContinuous"/>
    </xf>
    <xf numFmtId="0" fontId="62" fillId="0" borderId="0" applyNumberFormat="0" applyFill="0" applyBorder="0" applyAlignment="0" applyProtection="0"/>
    <xf numFmtId="182" fontId="2" fillId="0" borderId="0" applyFont="0" applyFill="0" applyBorder="0" applyAlignment="0" applyProtection="0"/>
    <xf numFmtId="167" fontId="2" fillId="0" borderId="0" applyFont="0" applyFill="0" applyBorder="0" applyAlignment="0" applyProtection="0"/>
    <xf numFmtId="1" fontId="56" fillId="0" borderId="0"/>
    <xf numFmtId="208" fontId="90" fillId="0" borderId="0"/>
    <xf numFmtId="238" fontId="2" fillId="0" borderId="0">
      <alignment horizontal="left"/>
      <protection locked="0"/>
    </xf>
    <xf numFmtId="40" fontId="90" fillId="0" borderId="0"/>
    <xf numFmtId="207" fontId="81" fillId="0" borderId="0"/>
    <xf numFmtId="38" fontId="89" fillId="0" borderId="44"/>
    <xf numFmtId="39" fontId="141" fillId="0" borderId="0">
      <alignment horizontal="center"/>
    </xf>
    <xf numFmtId="39" fontId="141" fillId="0" borderId="0">
      <alignment horizontal="center"/>
    </xf>
    <xf numFmtId="39" fontId="142" fillId="0" borderId="0">
      <alignment horizontal="center"/>
    </xf>
    <xf numFmtId="39" fontId="141" fillId="0" borderId="0">
      <alignment horizontal="center"/>
    </xf>
    <xf numFmtId="39" fontId="142" fillId="0" borderId="0">
      <alignment horizontal="center"/>
    </xf>
    <xf numFmtId="39" fontId="141" fillId="0" borderId="0">
      <alignment horizontal="center"/>
    </xf>
    <xf numFmtId="39" fontId="141" fillId="0" borderId="0">
      <alignment horizontal="center"/>
    </xf>
    <xf numFmtId="39" fontId="142" fillId="0" borderId="0">
      <alignment horizontal="center"/>
    </xf>
    <xf numFmtId="39" fontId="142" fillId="0" borderId="0">
      <alignment horizontal="center"/>
    </xf>
    <xf numFmtId="39" fontId="141" fillId="0" borderId="0">
      <alignment horizontal="center"/>
    </xf>
    <xf numFmtId="39" fontId="141" fillId="0" borderId="0">
      <alignment horizontal="center"/>
    </xf>
    <xf numFmtId="39" fontId="141" fillId="0" borderId="0">
      <alignment horizontal="center"/>
    </xf>
    <xf numFmtId="39" fontId="142" fillId="0" borderId="0">
      <alignment horizontal="center"/>
    </xf>
    <xf numFmtId="39" fontId="142" fillId="0" borderId="0">
      <alignment horizontal="center"/>
    </xf>
    <xf numFmtId="39" fontId="141" fillId="0" borderId="0">
      <alignment horizontal="center"/>
    </xf>
    <xf numFmtId="39" fontId="142" fillId="0" borderId="0">
      <alignment horizontal="center"/>
    </xf>
    <xf numFmtId="39" fontId="142" fillId="0" borderId="0">
      <alignment horizontal="center"/>
    </xf>
    <xf numFmtId="39" fontId="141" fillId="0" borderId="0">
      <alignment horizontal="center"/>
    </xf>
    <xf numFmtId="39" fontId="141" fillId="0" borderId="0">
      <alignment horizontal="center"/>
    </xf>
    <xf numFmtId="39" fontId="142" fillId="0" borderId="0">
      <alignment horizontal="center"/>
    </xf>
    <xf numFmtId="39"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0" fontId="142" fillId="0" borderId="0">
      <alignment horizontal="center"/>
    </xf>
    <xf numFmtId="0" fontId="141" fillId="0" borderId="0">
      <alignment horizontal="center"/>
    </xf>
    <xf numFmtId="0" fontId="142" fillId="0" borderId="0">
      <alignment horizontal="center"/>
    </xf>
    <xf numFmtId="39" fontId="141" fillId="0" borderId="0">
      <alignment horizontal="center"/>
    </xf>
    <xf numFmtId="39" fontId="142" fillId="0" borderId="0">
      <alignment horizontal="center"/>
    </xf>
    <xf numFmtId="39" fontId="142" fillId="0" borderId="0">
      <alignment horizontal="center"/>
    </xf>
    <xf numFmtId="39" fontId="141" fillId="0" borderId="0">
      <alignment horizontal="center"/>
    </xf>
    <xf numFmtId="39" fontId="142"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144" fillId="0" borderId="0">
      <alignment horizontal="center"/>
    </xf>
    <xf numFmtId="0" fontId="143" fillId="0" borderId="0">
      <alignment horizontal="center"/>
    </xf>
    <xf numFmtId="0" fontId="144" fillId="0" borderId="0">
      <alignment horizontal="center"/>
    </xf>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35" borderId="0" applyNumberFormat="0" applyBorder="0" applyAlignment="0" applyProtection="0"/>
    <xf numFmtId="0" fontId="59" fillId="35"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35" borderId="0" applyNumberFormat="0" applyBorder="0" applyAlignment="0" applyProtection="0"/>
    <xf numFmtId="0" fontId="59" fillId="35" borderId="0" applyNumberFormat="0" applyBorder="0" applyAlignment="0" applyProtection="0"/>
    <xf numFmtId="39" fontId="145" fillId="0" borderId="0">
      <alignment horizontal="center"/>
    </xf>
    <xf numFmtId="188" fontId="2" fillId="0" borderId="0">
      <protection locked="0"/>
    </xf>
    <xf numFmtId="39" fontId="145" fillId="0" borderId="0">
      <alignment horizontal="center"/>
    </xf>
    <xf numFmtId="39" fontId="146" fillId="0" borderId="0">
      <alignment horizontal="center"/>
    </xf>
    <xf numFmtId="39" fontId="145" fillId="0" borderId="0">
      <alignment horizontal="center"/>
    </xf>
    <xf numFmtId="39" fontId="146" fillId="0" borderId="0">
      <alignment horizontal="center"/>
    </xf>
    <xf numFmtId="39" fontId="145" fillId="0" borderId="0">
      <alignment horizontal="center"/>
    </xf>
    <xf numFmtId="39" fontId="145" fillId="0" borderId="0">
      <alignment horizontal="center"/>
    </xf>
    <xf numFmtId="39" fontId="146" fillId="0" borderId="0">
      <alignment horizontal="center"/>
    </xf>
    <xf numFmtId="39" fontId="146" fillId="0" borderId="0">
      <alignment horizontal="center"/>
    </xf>
    <xf numFmtId="39" fontId="145" fillId="0" borderId="0">
      <alignment horizontal="center"/>
    </xf>
    <xf numFmtId="39" fontId="145" fillId="0" borderId="0">
      <alignment horizontal="center"/>
    </xf>
    <xf numFmtId="39" fontId="145" fillId="0" borderId="0">
      <alignment horizontal="center"/>
    </xf>
    <xf numFmtId="39" fontId="146" fillId="0" borderId="0">
      <alignment horizontal="center"/>
    </xf>
    <xf numFmtId="39" fontId="146" fillId="0" borderId="0">
      <alignment horizontal="center"/>
    </xf>
    <xf numFmtId="39" fontId="145" fillId="0" borderId="0">
      <alignment horizontal="center"/>
    </xf>
    <xf numFmtId="39" fontId="146" fillId="0" borderId="0">
      <alignment horizontal="center"/>
    </xf>
    <xf numFmtId="39" fontId="146" fillId="0" borderId="0">
      <alignment horizontal="center"/>
    </xf>
    <xf numFmtId="39" fontId="145" fillId="0" borderId="0">
      <alignment horizontal="center"/>
    </xf>
    <xf numFmtId="39" fontId="145" fillId="0" borderId="0">
      <alignment horizontal="center"/>
    </xf>
    <xf numFmtId="39" fontId="146" fillId="0" borderId="0">
      <alignment horizontal="center"/>
    </xf>
    <xf numFmtId="39" fontId="146" fillId="0" borderId="0">
      <alignment horizontal="center"/>
    </xf>
    <xf numFmtId="39" fontId="145" fillId="0" borderId="0">
      <alignment horizontal="center"/>
    </xf>
    <xf numFmtId="39" fontId="146" fillId="0" borderId="0">
      <alignment horizontal="center"/>
    </xf>
    <xf numFmtId="39" fontId="146" fillId="0" borderId="0">
      <alignment horizontal="center"/>
    </xf>
    <xf numFmtId="39" fontId="145" fillId="0" borderId="0">
      <alignment horizontal="center"/>
    </xf>
    <xf numFmtId="39" fontId="146" fillId="0" borderId="0">
      <alignment horizontal="center"/>
    </xf>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20"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35" borderId="0" applyNumberFormat="0" applyBorder="0" applyAlignment="0" applyProtection="0"/>
    <xf numFmtId="0" fontId="59" fillId="35"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21" borderId="0" applyNumberFormat="0" applyBorder="0" applyAlignment="0" applyProtection="0"/>
    <xf numFmtId="0" fontId="64" fillId="21" borderId="0" applyNumberFormat="0" applyBorder="0" applyAlignment="0" applyProtection="0"/>
    <xf numFmtId="0" fontId="64" fillId="2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3"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15" borderId="0" applyNumberFormat="0" applyBorder="0" applyAlignment="0" applyProtection="0"/>
    <xf numFmtId="0" fontId="64" fillId="15"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7" borderId="0" applyNumberFormat="0" applyBorder="0" applyAlignment="0" applyProtection="0"/>
    <xf numFmtId="0" fontId="64" fillId="21" borderId="0" applyNumberFormat="0" applyBorder="0" applyAlignment="0" applyProtection="0"/>
    <xf numFmtId="0" fontId="64" fillId="21" borderId="0" applyNumberFormat="0" applyBorder="0" applyAlignment="0" applyProtection="0"/>
    <xf numFmtId="10" fontId="31" fillId="0" borderId="1" applyNumberFormat="0" applyFill="0" applyBorder="0" applyAlignment="0" applyProtection="0"/>
    <xf numFmtId="0" fontId="2" fillId="0" borderId="0" applyNumberFormat="0" applyFill="0" applyBorder="0" applyAlignment="0">
      <alignment vertical="center"/>
    </xf>
    <xf numFmtId="0" fontId="2" fillId="0" borderId="0" applyNumberFormat="0" applyFill="0" applyBorder="0" applyAlignment="0">
      <alignment vertical="center"/>
    </xf>
    <xf numFmtId="0" fontId="64" fillId="28" borderId="0" applyNumberFormat="0" applyBorder="0" applyAlignment="0" applyProtection="0"/>
    <xf numFmtId="0" fontId="64" fillId="28" borderId="0" applyNumberFormat="0" applyBorder="0" applyAlignment="0" applyProtection="0"/>
    <xf numFmtId="0" fontId="64" fillId="28" borderId="0" applyNumberFormat="0" applyBorder="0" applyAlignment="0" applyProtection="0"/>
    <xf numFmtId="0" fontId="64" fillId="39" borderId="0" applyNumberFormat="0" applyBorder="0" applyAlignment="0" applyProtection="0"/>
    <xf numFmtId="0" fontId="64" fillId="3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30" borderId="0" applyNumberFormat="0" applyBorder="0" applyAlignment="0" applyProtection="0"/>
    <xf numFmtId="0" fontId="64" fillId="23" borderId="0" applyNumberFormat="0" applyBorder="0" applyAlignment="0" applyProtection="0"/>
    <xf numFmtId="0" fontId="64" fillId="23"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64" fillId="40" borderId="0" applyNumberFormat="0" applyBorder="0" applyAlignment="0" applyProtection="0"/>
    <xf numFmtId="0" fontId="64" fillId="40"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26"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31"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234" fontId="93" fillId="0" borderId="0">
      <alignment horizontal="center"/>
    </xf>
    <xf numFmtId="0" fontId="2" fillId="0" borderId="0" applyNumberFormat="0" applyFont="0" applyFill="0" applyBorder="0" applyAlignment="0" applyProtection="0"/>
    <xf numFmtId="0" fontId="55" fillId="0" borderId="0"/>
    <xf numFmtId="37" fontId="147" fillId="0" borderId="0" applyFont="0" applyAlignment="0">
      <alignment horizontal="centerContinuous" vertical="top"/>
    </xf>
    <xf numFmtId="37" fontId="94" fillId="8" borderId="17" applyBorder="0" applyProtection="0">
      <alignment vertical="center"/>
    </xf>
    <xf numFmtId="235" fontId="30" fillId="0" borderId="0">
      <alignment horizontal="center"/>
    </xf>
    <xf numFmtId="0" fontId="131" fillId="0" borderId="0">
      <alignment horizontal="center" wrapText="1"/>
      <protection locked="0"/>
    </xf>
    <xf numFmtId="0" fontId="2" fillId="0" borderId="0" applyNumberFormat="0" applyFill="0" applyBorder="0" applyAlignment="0" applyProtection="0"/>
    <xf numFmtId="0" fontId="30" fillId="0" borderId="0" applyNumberFormat="0" applyFill="0" applyBorder="0" applyAlignment="0" applyProtection="0"/>
    <xf numFmtId="236" fontId="95" fillId="0" borderId="0">
      <alignment horizontal="center"/>
    </xf>
    <xf numFmtId="237" fontId="96" fillId="0" borderId="0">
      <alignment horizontal="center"/>
    </xf>
    <xf numFmtId="0" fontId="65"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5" fillId="17" borderId="0" applyNumberFormat="0" applyBorder="0" applyAlignment="0" applyProtection="0"/>
    <xf numFmtId="0" fontId="65" fillId="17" borderId="0" applyNumberFormat="0" applyBorder="0" applyAlignment="0" applyProtection="0"/>
    <xf numFmtId="0" fontId="2" fillId="0" borderId="0" applyNumberFormat="0" applyFill="0" applyBorder="0" applyAlignment="0" applyProtection="0"/>
    <xf numFmtId="239" fontId="2" fillId="0" borderId="0" applyFont="0" applyFill="0" applyBorder="0" applyAlignment="0"/>
    <xf numFmtId="240" fontId="2" fillId="0" borderId="0" applyFont="0" applyFill="0" applyBorder="0" applyAlignment="0">
      <alignment horizontal="right"/>
    </xf>
    <xf numFmtId="0" fontId="97" fillId="0" borderId="0" applyNumberFormat="0" applyFill="0" applyBorder="0" applyAlignment="0" applyProtection="0"/>
    <xf numFmtId="0" fontId="148" fillId="0" borderId="0">
      <protection locked="0"/>
    </xf>
    <xf numFmtId="241" fontId="2" fillId="0" borderId="0">
      <alignment horizontal="right"/>
      <protection locked="0"/>
    </xf>
    <xf numFmtId="7" fontId="149" fillId="0" borderId="0">
      <alignment horizontal="right"/>
      <protection locked="0"/>
    </xf>
    <xf numFmtId="194" fontId="148" fillId="0" borderId="0">
      <alignment horizontal="right"/>
      <protection locked="0"/>
    </xf>
    <xf numFmtId="0" fontId="150" fillId="0" borderId="0" applyNumberFormat="0" applyFill="0" applyBorder="0" applyAlignment="0" applyProtection="0"/>
    <xf numFmtId="0" fontId="98" fillId="41" borderId="0" applyBorder="0">
      <alignment horizontal="left" vertical="center" indent="1"/>
    </xf>
    <xf numFmtId="0" fontId="34" fillId="0" borderId="26" applyNumberFormat="0" applyFill="0" applyAlignment="0" applyProtection="0"/>
    <xf numFmtId="0" fontId="151" fillId="0" borderId="45"/>
    <xf numFmtId="0" fontId="152" fillId="13" borderId="46" applyAlignment="0">
      <alignment horizontal="center"/>
    </xf>
    <xf numFmtId="0" fontId="153" fillId="0" borderId="47"/>
    <xf numFmtId="0" fontId="99" fillId="0" borderId="44"/>
    <xf numFmtId="0" fontId="131" fillId="0" borderId="2" applyNumberFormat="0" applyFont="0" applyFill="0" applyAlignment="0" applyProtection="0"/>
    <xf numFmtId="194" fontId="89" fillId="0" borderId="48" applyNumberFormat="0" applyFont="0" applyAlignment="0" applyProtection="0"/>
    <xf numFmtId="7" fontId="57" fillId="0" borderId="25"/>
    <xf numFmtId="0" fontId="154" fillId="0" borderId="49"/>
    <xf numFmtId="0" fontId="154" fillId="0" borderId="50"/>
    <xf numFmtId="0" fontId="155" fillId="0" borderId="0"/>
    <xf numFmtId="0" fontId="100" fillId="0" borderId="0" applyNumberFormat="0">
      <alignment horizontal="center"/>
      <protection hidden="1"/>
    </xf>
    <xf numFmtId="0" fontId="156" fillId="0" borderId="0" applyFont="0" applyFill="0" applyBorder="0" applyAlignment="0" applyProtection="0"/>
    <xf numFmtId="0" fontId="2" fillId="0" borderId="0" applyFont="0" applyFill="0" applyBorder="0" applyAlignment="0" applyProtection="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66" fillId="32" borderId="33" applyNumberFormat="0" applyAlignment="0" applyProtection="0"/>
    <xf numFmtId="0" fontId="66" fillId="32" borderId="33" applyNumberFormat="0" applyAlignment="0" applyProtection="0"/>
    <xf numFmtId="0" fontId="66" fillId="32" borderId="33" applyNumberFormat="0" applyAlignment="0" applyProtection="0"/>
    <xf numFmtId="0" fontId="157" fillId="42" borderId="33" applyNumberFormat="0" applyAlignment="0" applyProtection="0"/>
    <xf numFmtId="0" fontId="157" fillId="42" borderId="33" applyNumberFormat="0" applyAlignment="0" applyProtection="0"/>
    <xf numFmtId="242" fontId="2" fillId="0" borderId="13" applyFill="0" applyBorder="0" applyAlignment="0" applyProtection="0">
      <alignment horizontal="right"/>
    </xf>
    <xf numFmtId="0" fontId="2" fillId="0" borderId="0" applyFont="0" applyFill="0"/>
    <xf numFmtId="39" fontId="131" fillId="43" borderId="0" applyNumberFormat="0" applyFont="0" applyBorder="0" applyAlignment="0"/>
    <xf numFmtId="0" fontId="34" fillId="0" borderId="26" applyNumberFormat="0" applyFont="0" applyFill="0" applyProtection="0">
      <alignment horizontal="centerContinuous" vertical="center"/>
    </xf>
    <xf numFmtId="0" fontId="67" fillId="33" borderId="34" applyNumberFormat="0" applyAlignment="0" applyProtection="0"/>
    <xf numFmtId="0" fontId="67" fillId="33" borderId="34" applyNumberFormat="0" applyAlignment="0" applyProtection="0"/>
    <xf numFmtId="0" fontId="67" fillId="33" borderId="34" applyNumberFormat="0" applyAlignment="0" applyProtection="0"/>
    <xf numFmtId="0" fontId="67" fillId="33" borderId="34" applyNumberFormat="0" applyAlignment="0" applyProtection="0"/>
    <xf numFmtId="0" fontId="67" fillId="33" borderId="34" applyNumberFormat="0" applyAlignment="0" applyProtection="0"/>
    <xf numFmtId="0" fontId="101" fillId="0" borderId="0">
      <alignment horizontal="center"/>
      <protection hidden="1"/>
    </xf>
    <xf numFmtId="0" fontId="158" fillId="0" borderId="51" applyNumberFormat="0" applyFill="0" applyProtection="0">
      <alignment horizontal="center" vertical="center"/>
    </xf>
    <xf numFmtId="0" fontId="159" fillId="0" borderId="26" applyNumberFormat="0" applyFill="0" applyBorder="0" applyProtection="0">
      <alignment horizontal="right" vertical="center"/>
    </xf>
    <xf numFmtId="0" fontId="34" fillId="0" borderId="0" applyNumberFormat="0" applyFill="0" applyBorder="0" applyProtection="0">
      <alignment horizontal="center" vertical="center"/>
    </xf>
    <xf numFmtId="43" fontId="2"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102" fillId="0" borderId="0" applyFont="0" applyFill="0" applyBorder="0" applyAlignment="0" applyProtection="0"/>
    <xf numFmtId="41" fontId="10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60" fillId="0" borderId="0" applyFont="0" applyFill="0" applyBorder="0" applyAlignment="0" applyProtection="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60" fillId="0" borderId="0" applyFont="0" applyFill="0" applyBorder="0" applyAlignment="0" applyProtection="0">
      <alignment horizontal="right"/>
    </xf>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3" fontId="103" fillId="0" borderId="0" applyFont="0" applyFill="0" applyBorder="0" applyAlignment="0" applyProtection="0"/>
    <xf numFmtId="0" fontId="161" fillId="0" borderId="0"/>
    <xf numFmtId="0" fontId="106" fillId="0" borderId="0"/>
    <xf numFmtId="275" fontId="162" fillId="0" borderId="0">
      <protection locked="0"/>
    </xf>
    <xf numFmtId="0" fontId="161" fillId="0" borderId="0"/>
    <xf numFmtId="41" fontId="152" fillId="0" borderId="52">
      <alignment horizontal="center"/>
      <protection locked="0" hidden="1"/>
    </xf>
    <xf numFmtId="41" fontId="152" fillId="0" borderId="53">
      <alignment horizontal="center"/>
      <protection locked="0"/>
    </xf>
    <xf numFmtId="41" fontId="163" fillId="0" borderId="45">
      <protection hidden="1"/>
    </xf>
    <xf numFmtId="39" fontId="2" fillId="0" borderId="0" applyNumberFormat="0" applyFont="0" applyAlignment="0"/>
    <xf numFmtId="41" fontId="164" fillId="0" borderId="45"/>
    <xf numFmtId="41" fontId="152" fillId="0" borderId="45">
      <alignment horizontal="right"/>
    </xf>
    <xf numFmtId="0" fontId="104" fillId="0" borderId="15" applyProtection="0">
      <alignment horizontal="center" vertical="top" wrapText="1"/>
      <protection hidden="1"/>
    </xf>
    <xf numFmtId="0" fontId="165" fillId="0" borderId="0" applyNumberFormat="0" applyAlignment="0">
      <alignment horizontal="left"/>
    </xf>
    <xf numFmtId="0" fontId="57" fillId="0" borderId="0" applyNumberFormat="0" applyAlignment="0"/>
    <xf numFmtId="0" fontId="161" fillId="0" borderId="0"/>
    <xf numFmtId="0" fontId="161" fillId="0" borderId="0"/>
    <xf numFmtId="44" fontId="2" fillId="0" borderId="0" applyFont="0" applyFill="0" applyBorder="0" applyAlignment="0" applyProtection="0"/>
    <xf numFmtId="208" fontId="81" fillId="0" borderId="0"/>
    <xf numFmtId="44" fontId="102" fillId="0" borderId="0" applyFont="0" applyFill="0" applyBorder="0" applyAlignment="0" applyProtection="0"/>
    <xf numFmtId="42" fontId="10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8" fontId="166" fillId="0" borderId="0" applyBorder="0"/>
    <xf numFmtId="0" fontId="160" fillId="0" borderId="0" applyFont="0" applyFill="0" applyBorder="0" applyAlignment="0" applyProtection="0">
      <alignment horizontal="right"/>
    </xf>
    <xf numFmtId="238" fontId="105" fillId="0" borderId="19" applyBorder="0"/>
    <xf numFmtId="273"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43" fontId="2" fillId="0" borderId="0" applyFont="0" applyFill="0" applyBorder="0" applyAlignment="0" applyProtection="0">
      <alignment horizontal="right"/>
    </xf>
    <xf numFmtId="243" fontId="2" fillId="0" borderId="0" applyFont="0" applyFill="0" applyBorder="0" applyAlignment="0" applyProtection="0">
      <alignment horizontal="right"/>
    </xf>
    <xf numFmtId="243" fontId="2" fillId="0" borderId="0" applyFont="0" applyFill="0" applyBorder="0" applyAlignment="0" applyProtection="0">
      <alignment horizontal="right"/>
    </xf>
    <xf numFmtId="243" fontId="2" fillId="0" borderId="0" applyFont="0" applyFill="0" applyBorder="0" applyAlignment="0" applyProtection="0">
      <alignment horizontal="right"/>
    </xf>
    <xf numFmtId="44"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273" fontId="2" fillId="0" borderId="0" applyFont="0" applyFill="0" applyBorder="0" applyAlignment="0" applyProtection="0"/>
    <xf numFmtId="188" fontId="103" fillId="0" borderId="0" applyFont="0" applyFill="0" applyBorder="0" applyAlignment="0" applyProtection="0"/>
    <xf numFmtId="0" fontId="2" fillId="0" borderId="0"/>
    <xf numFmtId="44" fontId="163" fillId="0" borderId="45">
      <alignment horizontal="center"/>
      <protection hidden="1"/>
    </xf>
    <xf numFmtId="6" fontId="167" fillId="0" borderId="0" applyFont="0" applyFill="0" applyBorder="0" applyAlignment="0" applyProtection="0"/>
    <xf numFmtId="0" fontId="2" fillId="0" borderId="0" applyFont="0" applyFill="0" applyBorder="0" applyAlignment="0" applyProtection="0"/>
    <xf numFmtId="14" fontId="90" fillId="0" borderId="0"/>
    <xf numFmtId="15" fontId="106" fillId="0" borderId="54" applyFont="0" applyFill="0" applyBorder="0" applyProtection="0">
      <alignment horizontal="center"/>
      <protection locked="0"/>
    </xf>
    <xf numFmtId="14" fontId="90" fillId="0" borderId="0"/>
    <xf numFmtId="14" fontId="90" fillId="0" borderId="0"/>
    <xf numFmtId="14" fontId="90" fillId="0" borderId="0"/>
    <xf numFmtId="14" fontId="90" fillId="0" borderId="0"/>
    <xf numFmtId="15" fontId="106" fillId="0" borderId="54" applyFont="0" applyFill="0" applyBorder="0" applyProtection="0">
      <alignment horizontal="center"/>
      <protection locked="0"/>
    </xf>
    <xf numFmtId="15" fontId="106" fillId="0" borderId="54" applyFont="0" applyFill="0" applyBorder="0" applyProtection="0">
      <alignment horizontal="center"/>
      <protection locked="0"/>
    </xf>
    <xf numFmtId="15" fontId="106" fillId="0" borderId="54" applyFont="0" applyFill="0" applyBorder="0" applyProtection="0">
      <alignment horizontal="center"/>
      <protection locked="0"/>
    </xf>
    <xf numFmtId="15" fontId="106" fillId="0" borderId="54" applyFont="0" applyFill="0" applyBorder="0" applyProtection="0">
      <alignment horizontal="center"/>
      <protection locked="0"/>
    </xf>
    <xf numFmtId="15" fontId="106" fillId="0" borderId="54" applyFont="0" applyFill="0" applyBorder="0" applyProtection="0">
      <alignment horizontal="center"/>
      <protection locked="0"/>
    </xf>
    <xf numFmtId="15" fontId="106" fillId="0" borderId="54" applyFont="0" applyFill="0" applyBorder="0" applyProtection="0">
      <alignment horizontal="center"/>
      <protection locked="0"/>
    </xf>
    <xf numFmtId="0" fontId="160" fillId="0" borderId="0" applyFont="0" applyFill="0" applyBorder="0" applyAlignment="0" applyProtection="0"/>
    <xf numFmtId="271" fontId="2" fillId="0" borderId="0">
      <alignment horizontal="right"/>
    </xf>
    <xf numFmtId="14" fontId="38" fillId="0" borderId="0" applyFill="0" applyBorder="0" applyAlignment="0"/>
    <xf numFmtId="14" fontId="168" fillId="0" borderId="0">
      <alignment horizontal="right"/>
      <protection locked="0"/>
    </xf>
    <xf numFmtId="244" fontId="2" fillId="0" borderId="0">
      <alignment horizontal="right"/>
    </xf>
    <xf numFmtId="245" fontId="2" fillId="0" borderId="0">
      <alignment horizontal="right"/>
    </xf>
    <xf numFmtId="194" fontId="2" fillId="0" borderId="0">
      <alignment horizontal="right"/>
    </xf>
    <xf numFmtId="239" fontId="107" fillId="0" borderId="13"/>
    <xf numFmtId="240" fontId="95" fillId="0" borderId="7">
      <alignment horizontal="left"/>
    </xf>
    <xf numFmtId="37" fontId="57" fillId="0" borderId="31"/>
    <xf numFmtId="246" fontId="2" fillId="0" borderId="0"/>
    <xf numFmtId="246" fontId="2" fillId="0" borderId="0">
      <protection locked="0"/>
    </xf>
    <xf numFmtId="7" fontId="131" fillId="0" borderId="0"/>
    <xf numFmtId="241" fontId="93" fillId="0" borderId="0">
      <alignment horizontal="center"/>
    </xf>
    <xf numFmtId="0" fontId="108" fillId="0" borderId="26" applyNumberFormat="0" applyFont="0" applyAlignment="0" applyProtection="0">
      <protection locked="0"/>
    </xf>
    <xf numFmtId="0" fontId="160" fillId="0" borderId="55" applyNumberFormat="0" applyFont="0" applyFill="0" applyAlignment="0" applyProtection="0"/>
    <xf numFmtId="42" fontId="169" fillId="0" borderId="0" applyFill="0" applyBorder="0" applyAlignment="0" applyProtection="0"/>
    <xf numFmtId="0" fontId="109" fillId="0" borderId="0"/>
    <xf numFmtId="170" fontId="89" fillId="44" borderId="0">
      <alignment vertical="center"/>
    </xf>
    <xf numFmtId="170" fontId="88" fillId="0" borderId="0">
      <alignment vertical="center"/>
    </xf>
    <xf numFmtId="170" fontId="88" fillId="0" borderId="0">
      <alignment vertical="center"/>
    </xf>
    <xf numFmtId="170" fontId="170" fillId="8" borderId="56" applyNumberFormat="0" applyAlignment="0">
      <alignment horizontal="center" vertical="center"/>
    </xf>
    <xf numFmtId="170" fontId="130" fillId="8" borderId="0">
      <alignment horizontal="center" vertical="center"/>
    </xf>
    <xf numFmtId="14" fontId="89" fillId="8" borderId="0">
      <alignment horizontal="center" vertical="center"/>
    </xf>
    <xf numFmtId="17" fontId="171" fillId="8" borderId="0">
      <alignment horizontal="center" vertical="center"/>
    </xf>
    <xf numFmtId="170" fontId="172" fillId="0" borderId="0">
      <alignment vertical="center"/>
    </xf>
    <xf numFmtId="170" fontId="173" fillId="8" borderId="0">
      <alignment vertical="center"/>
    </xf>
    <xf numFmtId="170" fontId="174" fillId="8" borderId="0">
      <alignment vertical="center"/>
    </xf>
    <xf numFmtId="167" fontId="175" fillId="8" borderId="57">
      <alignment vertical="center"/>
    </xf>
    <xf numFmtId="0" fontId="89" fillId="8" borderId="57">
      <alignment vertical="center"/>
    </xf>
    <xf numFmtId="37" fontId="171" fillId="8" borderId="0">
      <alignment horizontal="left" vertical="center"/>
    </xf>
    <xf numFmtId="170" fontId="171" fillId="8" borderId="0">
      <alignment horizontal="center" vertical="center"/>
    </xf>
    <xf numFmtId="247" fontId="2" fillId="8" borderId="0">
      <alignment horizontal="right" vertical="center"/>
    </xf>
    <xf numFmtId="182" fontId="176" fillId="8" borderId="0">
      <alignment horizontal="right" vertical="center"/>
    </xf>
    <xf numFmtId="167" fontId="177" fillId="8" borderId="0">
      <alignment horizontal="right" vertical="center"/>
    </xf>
    <xf numFmtId="167" fontId="177" fillId="8" borderId="9">
      <alignment horizontal="right" vertical="center"/>
    </xf>
    <xf numFmtId="182" fontId="178" fillId="8" borderId="57">
      <alignment horizontal="right" vertical="center"/>
    </xf>
    <xf numFmtId="186" fontId="62" fillId="8" borderId="0">
      <alignment horizontal="right" vertical="center"/>
    </xf>
    <xf numFmtId="4" fontId="176" fillId="8" borderId="0">
      <alignment horizontal="right" vertical="center"/>
    </xf>
    <xf numFmtId="186" fontId="171" fillId="8" borderId="26">
      <alignment horizontal="right" vertical="center"/>
    </xf>
    <xf numFmtId="182" fontId="171" fillId="8" borderId="26">
      <alignment horizontal="right" vertical="center"/>
    </xf>
    <xf numFmtId="182" fontId="178" fillId="8" borderId="0">
      <alignment horizontal="right" vertical="center"/>
    </xf>
    <xf numFmtId="271" fontId="171" fillId="8" borderId="0">
      <alignment horizontal="right" vertical="center"/>
    </xf>
    <xf numFmtId="170" fontId="89" fillId="0" borderId="0">
      <alignment vertical="center"/>
    </xf>
    <xf numFmtId="170" fontId="172" fillId="8" borderId="26" applyBorder="0">
      <alignment horizontal="left" vertical="center"/>
    </xf>
    <xf numFmtId="170" fontId="179" fillId="8" borderId="0">
      <alignment horizontal="left" vertical="center"/>
    </xf>
    <xf numFmtId="170" fontId="172" fillId="8" borderId="58">
      <alignment horizontal="left"/>
    </xf>
    <xf numFmtId="170" fontId="131" fillId="8" borderId="59">
      <alignment vertical="center"/>
    </xf>
    <xf numFmtId="170" fontId="131" fillId="8" borderId="60">
      <alignment vertical="center"/>
    </xf>
    <xf numFmtId="170" fontId="131" fillId="8" borderId="9">
      <alignment vertical="center"/>
    </xf>
    <xf numFmtId="170" fontId="88" fillId="8" borderId="61">
      <alignment horizontal="center" vertical="center"/>
    </xf>
    <xf numFmtId="170" fontId="88" fillId="0" borderId="0">
      <alignment vertical="center"/>
    </xf>
    <xf numFmtId="170" fontId="88" fillId="0" borderId="0">
      <alignment vertical="center"/>
    </xf>
    <xf numFmtId="170" fontId="88" fillId="0" borderId="0">
      <alignment vertical="center"/>
    </xf>
    <xf numFmtId="167" fontId="180" fillId="0" borderId="62" applyNumberFormat="0" applyAlignment="0" applyProtection="0">
      <alignment vertical="top"/>
    </xf>
    <xf numFmtId="0" fontId="110" fillId="0" borderId="1" applyFill="0" applyBorder="0" applyAlignment="0"/>
    <xf numFmtId="41" fontId="181" fillId="0" borderId="0" applyFont="0" applyFill="0" applyBorder="0" applyAlignment="0" applyProtection="0"/>
    <xf numFmtId="43" fontId="181" fillId="0" borderId="0" applyFont="0" applyFill="0" applyBorder="0" applyAlignment="0" applyProtection="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182" fillId="0" borderId="0" applyNumberFormat="0" applyAlignment="0">
      <alignment horizontal="left"/>
    </xf>
    <xf numFmtId="242" fontId="111" fillId="0" borderId="0">
      <alignment horizontal="right"/>
    </xf>
    <xf numFmtId="0" fontId="2" fillId="0" borderId="63" applyNumberFormat="0" applyFont="0" applyFill="0" applyAlignment="0" applyProtection="0"/>
    <xf numFmtId="0" fontId="95" fillId="0" borderId="0">
      <alignment horizontal="center"/>
    </xf>
    <xf numFmtId="0" fontId="96" fillId="0" borderId="0">
      <alignment horizontal="center"/>
    </xf>
    <xf numFmtId="0" fontId="96" fillId="0" borderId="0">
      <alignment horizontal="center"/>
    </xf>
    <xf numFmtId="243" fontId="96" fillId="0" borderId="0">
      <alignment horizontal="center"/>
    </xf>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183" fillId="0" borderId="0" applyNumberFormat="0" applyFill="0" applyBorder="0" applyAlignment="0" applyProtection="0"/>
    <xf numFmtId="0" fontId="95" fillId="0" borderId="0">
      <alignment horizontal="center"/>
    </xf>
    <xf numFmtId="0" fontId="95" fillId="0" borderId="0">
      <alignment horizontal="center"/>
    </xf>
    <xf numFmtId="244" fontId="112" fillId="0" borderId="0">
      <protection locked="0"/>
    </xf>
    <xf numFmtId="244" fontId="112" fillId="0" borderId="0">
      <protection locked="0"/>
    </xf>
    <xf numFmtId="244" fontId="113" fillId="0" borderId="0">
      <protection locked="0"/>
    </xf>
    <xf numFmtId="244" fontId="112" fillId="0" borderId="0">
      <protection locked="0"/>
    </xf>
    <xf numFmtId="244" fontId="112" fillId="0" borderId="0">
      <protection locked="0"/>
    </xf>
    <xf numFmtId="244" fontId="112" fillId="0" borderId="0">
      <protection locked="0"/>
    </xf>
    <xf numFmtId="244" fontId="113" fillId="0" borderId="0">
      <protection locked="0"/>
    </xf>
    <xf numFmtId="245" fontId="95" fillId="0" borderId="5">
      <alignment horizontal="left"/>
    </xf>
    <xf numFmtId="2" fontId="103" fillId="0" borderId="0" applyFont="0" applyFill="0" applyBorder="0" applyAlignment="0" applyProtection="0"/>
    <xf numFmtId="0" fontId="106" fillId="0" borderId="0"/>
    <xf numFmtId="0" fontId="184" fillId="0" borderId="0" applyFill="0" applyBorder="0" applyProtection="0">
      <alignment horizontal="left"/>
    </xf>
    <xf numFmtId="38" fontId="106" fillId="0" borderId="0" applyFill="0" applyBorder="0" applyAlignment="0" applyProtection="0"/>
    <xf numFmtId="194" fontId="114" fillId="0" borderId="64" applyNumberFormat="0" applyAlignment="0"/>
    <xf numFmtId="0" fontId="69" fillId="16" borderId="0" applyNumberFormat="0" applyBorder="0" applyAlignment="0" applyProtection="0"/>
    <xf numFmtId="0" fontId="69" fillId="16" borderId="0" applyNumberFormat="0" applyBorder="0" applyAlignment="0" applyProtection="0"/>
    <xf numFmtId="0" fontId="69" fillId="16" borderId="0" applyNumberFormat="0" applyBorder="0" applyAlignment="0" applyProtection="0"/>
    <xf numFmtId="0" fontId="69" fillId="18" borderId="0" applyNumberFormat="0" applyBorder="0" applyAlignment="0" applyProtection="0"/>
    <xf numFmtId="0" fontId="69" fillId="18" borderId="0" applyNumberFormat="0" applyBorder="0" applyAlignment="0" applyProtection="0"/>
    <xf numFmtId="246" fontId="46" fillId="0" borderId="29">
      <alignment horizontal="center"/>
    </xf>
    <xf numFmtId="0" fontId="160" fillId="0" borderId="0" applyFont="0" applyFill="0" applyBorder="0" applyAlignment="0" applyProtection="0">
      <alignment horizontal="right"/>
    </xf>
    <xf numFmtId="0" fontId="185" fillId="45" borderId="0"/>
    <xf numFmtId="0" fontId="186" fillId="46" borderId="0" applyNumberFormat="0" applyBorder="0" applyProtection="0">
      <alignment horizontal="left" vertical="center"/>
    </xf>
    <xf numFmtId="0" fontId="187" fillId="1" borderId="0" applyNumberFormat="0" applyBorder="0" applyProtection="0">
      <alignment horizontal="left" vertical="center"/>
    </xf>
    <xf numFmtId="37" fontId="115" fillId="47" borderId="13" applyBorder="0">
      <alignment horizontal="left" vertical="center" indent="1"/>
    </xf>
    <xf numFmtId="37" fontId="116" fillId="7" borderId="11" applyFill="0">
      <alignment vertical="center"/>
    </xf>
    <xf numFmtId="0" fontId="188" fillId="0" borderId="0"/>
    <xf numFmtId="0" fontId="116" fillId="48" borderId="2" applyNumberFormat="0">
      <alignment horizontal="left" vertical="top" indent="1"/>
    </xf>
    <xf numFmtId="0" fontId="116" fillId="8" borderId="0" applyBorder="0">
      <alignment horizontal="left" vertical="center" indent="1"/>
    </xf>
    <xf numFmtId="0" fontId="116" fillId="0" borderId="2" applyNumberFormat="0" applyFill="0">
      <alignment horizontal="centerContinuous" vertical="top"/>
    </xf>
    <xf numFmtId="0" fontId="117" fillId="8" borderId="65" applyNumberFormat="0" applyBorder="0">
      <alignment horizontal="left" vertical="center" indent="1"/>
    </xf>
    <xf numFmtId="8" fontId="141" fillId="0" borderId="0" applyProtection="0">
      <alignment horizontal="center"/>
    </xf>
    <xf numFmtId="0" fontId="70" fillId="0" borderId="35" applyNumberFormat="0" applyFill="0" applyAlignment="0" applyProtection="0"/>
    <xf numFmtId="0" fontId="118" fillId="0" borderId="0">
      <alignment horizontal="center"/>
    </xf>
    <xf numFmtId="0" fontId="118" fillId="0" borderId="0">
      <alignment horizontal="center"/>
    </xf>
    <xf numFmtId="0" fontId="70" fillId="0" borderId="35" applyNumberFormat="0" applyFill="0" applyAlignment="0" applyProtection="0"/>
    <xf numFmtId="0" fontId="70" fillId="0" borderId="35" applyNumberFormat="0" applyFill="0" applyAlignment="0" applyProtection="0"/>
    <xf numFmtId="0" fontId="71" fillId="0" borderId="36" applyNumberFormat="0" applyFill="0" applyAlignment="0" applyProtection="0"/>
    <xf numFmtId="0" fontId="119" fillId="0" borderId="0">
      <alignment horizontal="center"/>
    </xf>
    <xf numFmtId="0" fontId="119" fillId="0" borderId="0">
      <alignment horizontal="center"/>
    </xf>
    <xf numFmtId="0" fontId="71" fillId="0" borderId="36" applyNumberFormat="0" applyFill="0" applyAlignment="0" applyProtection="0"/>
    <xf numFmtId="0" fontId="71" fillId="0" borderId="36"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189" fillId="0" borderId="66" applyNumberFormat="0" applyFill="0" applyAlignment="0" applyProtection="0"/>
    <xf numFmtId="0" fontId="189" fillId="0" borderId="66"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89" fillId="0" borderId="0" applyNumberFormat="0" applyFill="0" applyBorder="0" applyAlignment="0" applyProtection="0"/>
    <xf numFmtId="0" fontId="189" fillId="0" borderId="0" applyNumberFormat="0" applyFill="0" applyBorder="0" applyAlignment="0" applyProtection="0"/>
    <xf numFmtId="0" fontId="188" fillId="0" borderId="0">
      <alignment horizontal="right"/>
    </xf>
    <xf numFmtId="0" fontId="188" fillId="0" borderId="0">
      <alignment horizontal="left"/>
    </xf>
    <xf numFmtId="0" fontId="190" fillId="0" borderId="67" applyNumberFormat="0" applyFill="0" applyBorder="0" applyAlignment="0" applyProtection="0">
      <alignment horizontal="left"/>
    </xf>
    <xf numFmtId="0" fontId="191" fillId="0" borderId="0">
      <alignment horizontal="center"/>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0" fontId="2" fillId="13" borderId="6" applyNumberFormat="0" applyFont="0" applyBorder="0" applyAlignment="0" applyProtection="0"/>
    <xf numFmtId="3" fontId="155" fillId="0" borderId="0" applyNumberFormat="0" applyFill="0" applyBorder="0" applyAlignment="0" applyProtection="0"/>
    <xf numFmtId="247" fontId="121" fillId="0" borderId="0" applyFill="0" applyBorder="0" applyAlignment="0" applyProtection="0">
      <alignment horizontal="right"/>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73" fillId="19" borderId="33" applyNumberFormat="0" applyAlignment="0" applyProtection="0"/>
    <xf numFmtId="10" fontId="31" fillId="38" borderId="15" applyNumberFormat="0" applyBorder="0" applyAlignment="0" applyProtection="0"/>
    <xf numFmtId="0" fontId="73" fillId="19" borderId="33" applyNumberFormat="0" applyAlignment="0" applyProtection="0"/>
    <xf numFmtId="0" fontId="73" fillId="19" borderId="33" applyNumberFormat="0" applyAlignment="0" applyProtection="0"/>
    <xf numFmtId="0" fontId="73" fillId="34" borderId="33" applyNumberFormat="0" applyAlignment="0" applyProtection="0"/>
    <xf numFmtId="0" fontId="73" fillId="34" borderId="33" applyNumberFormat="0" applyAlignment="0" applyProtection="0"/>
    <xf numFmtId="5" fontId="22" fillId="10" borderId="32" applyNumberFormat="0">
      <alignment horizontal="left" vertical="center"/>
      <protection locked="0"/>
    </xf>
    <xf numFmtId="0" fontId="149" fillId="0" borderId="0" applyNumberFormat="0" applyFill="0" applyBorder="0" applyAlignment="0">
      <protection locked="0"/>
    </xf>
    <xf numFmtId="38" fontId="149" fillId="0" borderId="0" applyNumberFormat="0" applyFill="0" applyBorder="0" applyAlignment="0">
      <protection locked="0"/>
    </xf>
    <xf numFmtId="41" fontId="89" fillId="0" borderId="68" applyNumberFormat="0" applyBorder="0" applyAlignment="0"/>
    <xf numFmtId="248" fontId="122" fillId="0" borderId="0">
      <alignment horizontal="right"/>
    </xf>
    <xf numFmtId="40" fontId="89" fillId="0" borderId="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19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96" fontId="131" fillId="0" borderId="0">
      <alignment horizontal="left"/>
    </xf>
    <xf numFmtId="0" fontId="96" fillId="0" borderId="0">
      <alignment horizontal="center"/>
    </xf>
    <xf numFmtId="0" fontId="96" fillId="0" borderId="0">
      <alignment horizontal="center"/>
    </xf>
    <xf numFmtId="0" fontId="96" fillId="0" borderId="0">
      <alignment horizontal="center"/>
    </xf>
    <xf numFmtId="0" fontId="96" fillId="0" borderId="0">
      <alignment horizontal="center"/>
    </xf>
    <xf numFmtId="249" fontId="96" fillId="0" borderId="0">
      <alignment horizontal="center"/>
    </xf>
    <xf numFmtId="0" fontId="96" fillId="0" borderId="0">
      <alignment horizontal="center"/>
    </xf>
    <xf numFmtId="0" fontId="2" fillId="0" borderId="52"/>
    <xf numFmtId="0" fontId="31" fillId="7" borderId="0"/>
    <xf numFmtId="37" fontId="123" fillId="0" borderId="54" applyNumberFormat="0" applyFont="0" applyFill="0" applyAlignment="0" applyProtection="0">
      <alignment horizontal="center" vertical="center"/>
    </xf>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37" fontId="123" fillId="0" borderId="54" applyNumberFormat="0" applyFont="0" applyFill="0" applyAlignment="0" applyProtection="0">
      <alignment horizontal="center" vertical="center"/>
    </xf>
    <xf numFmtId="37" fontId="192" fillId="0" borderId="0" applyNumberFormat="0" applyFill="0" applyBorder="0" applyAlignment="0" applyProtection="0">
      <alignment horizontal="right"/>
    </xf>
    <xf numFmtId="0" fontId="74" fillId="0" borderId="38" applyNumberFormat="0" applyFill="0" applyAlignment="0" applyProtection="0"/>
    <xf numFmtId="0" fontId="74" fillId="0" borderId="38" applyNumberFormat="0" applyFill="0" applyAlignment="0" applyProtection="0"/>
    <xf numFmtId="0" fontId="74" fillId="0" borderId="38" applyNumberFormat="0" applyFill="0" applyAlignment="0" applyProtection="0"/>
    <xf numFmtId="0" fontId="79" fillId="0" borderId="69" applyNumberFormat="0" applyFill="0" applyAlignment="0" applyProtection="0"/>
    <xf numFmtId="0" fontId="79" fillId="0" borderId="69" applyNumberFormat="0" applyFill="0" applyAlignment="0" applyProtection="0"/>
    <xf numFmtId="38" fontId="89" fillId="0" borderId="0"/>
    <xf numFmtId="38" fontId="88" fillId="1" borderId="26"/>
    <xf numFmtId="0" fontId="2" fillId="0" borderId="0" applyNumberFormat="0" applyFill="0" applyBorder="0" applyAlignment="0" applyProtection="0"/>
    <xf numFmtId="0" fontId="2" fillId="0" borderId="0" applyNumberFormat="0" applyFill="0" applyBorder="0" applyAlignment="0" applyProtection="0"/>
    <xf numFmtId="191"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93" fillId="49" borderId="0" applyNumberFormat="0" applyBorder="0"/>
    <xf numFmtId="250" fontId="95" fillId="0" borderId="0"/>
    <xf numFmtId="0" fontId="96" fillId="0" borderId="0">
      <alignment horizontal="center"/>
    </xf>
    <xf numFmtId="42" fontId="2" fillId="0" borderId="0" applyFont="0" applyFill="0" applyBorder="0" applyAlignment="0" applyProtection="0"/>
    <xf numFmtId="44"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51" fontId="124" fillId="0" borderId="0"/>
    <xf numFmtId="252" fontId="125" fillId="0" borderId="19">
      <alignment horizontal="center"/>
    </xf>
    <xf numFmtId="0" fontId="194" fillId="0" borderId="0"/>
    <xf numFmtId="253" fontId="81" fillId="0" borderId="0"/>
    <xf numFmtId="276" fontId="131" fillId="0" borderId="0" applyFont="0" applyFill="0" applyBorder="0" applyAlignment="0" applyProtection="0"/>
    <xf numFmtId="277" fontId="131" fillId="0" borderId="0" applyFont="0" applyFill="0" applyBorder="0" applyAlignment="0" applyProtection="0"/>
    <xf numFmtId="0" fontId="160" fillId="0" borderId="0" applyFont="0" applyFill="0" applyBorder="0" applyAlignment="0" applyProtection="0">
      <alignment horizontal="right"/>
    </xf>
    <xf numFmtId="38" fontId="61" fillId="0" borderId="0"/>
    <xf numFmtId="41" fontId="195" fillId="37" borderId="70" applyNumberFormat="0" applyBorder="0" applyAlignment="0">
      <protection locked="0"/>
    </xf>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196" fillId="34" borderId="0" applyNumberFormat="0" applyBorder="0" applyAlignment="0" applyProtection="0"/>
    <xf numFmtId="0" fontId="196" fillId="34" borderId="0" applyNumberFormat="0" applyBorder="0" applyAlignment="0" applyProtection="0"/>
    <xf numFmtId="0" fontId="96" fillId="0" borderId="0"/>
    <xf numFmtId="254" fontId="96" fillId="0" borderId="0"/>
    <xf numFmtId="37" fontId="90" fillId="0" borderId="0" applyFill="0" applyBorder="0" applyAlignment="0"/>
    <xf numFmtId="37" fontId="90" fillId="0" borderId="0" applyFill="0" applyBorder="0" applyAlignment="0"/>
    <xf numFmtId="37" fontId="90" fillId="0" borderId="0" applyFill="0" applyBorder="0" applyAlignment="0"/>
    <xf numFmtId="37" fontId="90" fillId="0" borderId="0" applyFill="0" applyBorder="0" applyAlignment="0"/>
    <xf numFmtId="37" fontId="90" fillId="0" borderId="0" applyFill="0" applyBorder="0" applyAlignment="0"/>
    <xf numFmtId="37" fontId="91" fillId="0" borderId="0" applyFill="0" applyBorder="0" applyAlignment="0"/>
    <xf numFmtId="37" fontId="91" fillId="0" borderId="0" applyFill="0" applyBorder="0" applyAlignment="0"/>
    <xf numFmtId="37" fontId="91" fillId="0" borderId="0" applyFill="0" applyBorder="0" applyAlignment="0"/>
    <xf numFmtId="37" fontId="91" fillId="0" borderId="0" applyFill="0" applyBorder="0" applyAlignment="0"/>
    <xf numFmtId="37" fontId="91" fillId="0" borderId="0" applyFill="0" applyBorder="0" applyAlignment="0"/>
    <xf numFmtId="37" fontId="197" fillId="0" borderId="0"/>
    <xf numFmtId="38" fontId="140" fillId="0" borderId="15"/>
    <xf numFmtId="0" fontId="126" fillId="7" borderId="0">
      <alignment horizontal="left" indent="1"/>
    </xf>
    <xf numFmtId="0" fontId="2" fillId="0" borderId="0"/>
    <xf numFmtId="196" fontId="127" fillId="0" borderId="0"/>
    <xf numFmtId="170" fontId="105" fillId="0" borderId="19" applyBorder="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59" fillId="0" borderId="0"/>
    <xf numFmtId="0" fontId="2" fillId="0" borderId="0" applyBorder="0"/>
    <xf numFmtId="0" fontId="2" fillId="0" borderId="0" applyBorder="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5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9" fillId="0" borderId="0"/>
    <xf numFmtId="0" fontId="89" fillId="0" borderId="0"/>
    <xf numFmtId="0" fontId="89" fillId="0" borderId="0"/>
    <xf numFmtId="0" fontId="89" fillId="0" borderId="0"/>
    <xf numFmtId="0" fontId="89" fillId="0" borderId="0"/>
    <xf numFmtId="0" fontId="8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59" fillId="0" borderId="0"/>
    <xf numFmtId="0" fontId="59" fillId="0" borderId="0"/>
    <xf numFmtId="0" fontId="2" fillId="0" borderId="0" applyBorder="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applyBorder="0"/>
    <xf numFmtId="0" fontId="2" fillId="0" borderId="0" applyBorder="0"/>
    <xf numFmtId="41" fontId="89" fillId="0" borderId="0"/>
    <xf numFmtId="0" fontId="59" fillId="0" borderId="0"/>
    <xf numFmtId="0" fontId="59"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59" fillId="0" borderId="0"/>
    <xf numFmtId="0" fontId="59" fillId="0" borderId="0"/>
    <xf numFmtId="0" fontId="2" fillId="0" borderId="0" applyBorder="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2" fillId="0" borderId="0" applyBorder="0"/>
    <xf numFmtId="0" fontId="2" fillId="0" borderId="0" applyBorder="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8"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163" fillId="13" borderId="71"/>
    <xf numFmtId="17" fontId="163" fillId="0" borderId="53">
      <alignment horizontal="center"/>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154" fillId="0" borderId="53"/>
    <xf numFmtId="0" fontId="2" fillId="8" borderId="0" applyBorder="0">
      <alignment vertical="center"/>
    </xf>
    <xf numFmtId="0" fontId="47" fillId="0" borderId="0"/>
    <xf numFmtId="0" fontId="2" fillId="0" borderId="0"/>
    <xf numFmtId="3" fontId="152" fillId="0" borderId="72">
      <protection locked="0"/>
    </xf>
    <xf numFmtId="9" fontId="152" fillId="0" borderId="72"/>
    <xf numFmtId="0" fontId="30"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230" fontId="2" fillId="0" borderId="44"/>
    <xf numFmtId="3" fontId="89" fillId="0" borderId="15"/>
    <xf numFmtId="230" fontId="2" fillId="10" borderId="15"/>
    <xf numFmtId="195" fontId="199" fillId="0" borderId="0"/>
    <xf numFmtId="3" fontId="140" fillId="0" borderId="68"/>
    <xf numFmtId="0" fontId="140" fillId="0" borderId="15"/>
    <xf numFmtId="1" fontId="200" fillId="0" borderId="0">
      <alignment horizontal="right"/>
      <protection locked="0"/>
    </xf>
    <xf numFmtId="170" fontId="173" fillId="0" borderId="0">
      <alignment horizontal="right"/>
      <protection locked="0"/>
    </xf>
    <xf numFmtId="0" fontId="200" fillId="0" borderId="0">
      <protection locked="0"/>
    </xf>
    <xf numFmtId="2" fontId="173" fillId="0" borderId="0">
      <alignment horizontal="right"/>
      <protection locked="0"/>
    </xf>
    <xf numFmtId="2" fontId="200" fillId="0" borderId="0">
      <alignment horizontal="right"/>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201" fillId="8" borderId="73">
      <alignment horizontal="right" vertical="center"/>
      <protection hidden="1"/>
    </xf>
    <xf numFmtId="0" fontId="202" fillId="38" borderId="73">
      <alignment horizontal="left" vertical="center"/>
      <protection hidden="1"/>
    </xf>
    <xf numFmtId="0" fontId="202" fillId="38" borderId="73">
      <alignment horizontal="center" vertical="center" wrapText="1"/>
      <protection hidden="1"/>
    </xf>
    <xf numFmtId="0" fontId="2" fillId="0" borderId="63" applyNumberFormat="0" applyFont="0" applyFill="0" applyAlignment="0" applyProtection="0"/>
    <xf numFmtId="40" fontId="203" fillId="0" borderId="0" applyFont="0" applyFill="0" applyBorder="0" applyAlignment="0" applyProtection="0"/>
    <xf numFmtId="38" fontId="203" fillId="0" borderId="0" applyFont="0" applyFill="0" applyBorder="0" applyAlignment="0" applyProtection="0"/>
    <xf numFmtId="0" fontId="95" fillId="0" borderId="0">
      <alignment horizontal="center"/>
    </xf>
    <xf numFmtId="0" fontId="96" fillId="0" borderId="0">
      <alignment horizontal="center"/>
    </xf>
    <xf numFmtId="0" fontId="128" fillId="50" borderId="15" applyNumberFormat="0" applyAlignment="0">
      <protection locked="0"/>
    </xf>
    <xf numFmtId="0" fontId="153" fillId="0" borderId="74">
      <alignment horizontal="left" wrapText="1"/>
    </xf>
    <xf numFmtId="0" fontId="76" fillId="32" borderId="40" applyNumberFormat="0" applyAlignment="0" applyProtection="0"/>
    <xf numFmtId="0" fontId="76" fillId="32" borderId="40" applyNumberFormat="0" applyAlignment="0" applyProtection="0"/>
    <xf numFmtId="0" fontId="76" fillId="32" borderId="40" applyNumberFormat="0" applyAlignment="0" applyProtection="0"/>
    <xf numFmtId="0" fontId="76" fillId="42" borderId="40" applyNumberFormat="0" applyAlignment="0" applyProtection="0"/>
    <xf numFmtId="0" fontId="76" fillId="42" borderId="40" applyNumberFormat="0" applyAlignment="0" applyProtection="0"/>
    <xf numFmtId="4" fontId="38" fillId="8" borderId="0">
      <alignment horizontal="right"/>
    </xf>
    <xf numFmtId="0" fontId="204" fillId="8" borderId="0">
      <alignment horizontal="center" vertical="center"/>
    </xf>
    <xf numFmtId="0" fontId="80" fillId="8" borderId="1"/>
    <xf numFmtId="0" fontId="204" fillId="8" borderId="0" applyBorder="0">
      <alignment horizontal="centerContinuous"/>
    </xf>
    <xf numFmtId="0" fontId="205" fillId="8" borderId="0" applyBorder="0">
      <alignment horizontal="centerContinuous"/>
    </xf>
    <xf numFmtId="37" fontId="129" fillId="0" borderId="0" applyFill="0" applyBorder="0" applyAlignment="0" applyProtection="0"/>
    <xf numFmtId="0" fontId="206" fillId="0" borderId="0" applyProtection="0">
      <alignment horizontal="left"/>
    </xf>
    <xf numFmtId="0" fontId="206" fillId="0" borderId="0" applyFill="0" applyBorder="0" applyProtection="0">
      <alignment horizontal="left"/>
    </xf>
    <xf numFmtId="0" fontId="207" fillId="0" borderId="0" applyFill="0" applyBorder="0" applyProtection="0">
      <alignment horizontal="left"/>
    </xf>
    <xf numFmtId="1" fontId="208" fillId="0" borderId="0" applyProtection="0">
      <alignment horizontal="right" vertical="center"/>
    </xf>
    <xf numFmtId="0" fontId="209" fillId="51" borderId="75"/>
    <xf numFmtId="5" fontId="2" fillId="0" borderId="0"/>
    <xf numFmtId="5" fontId="2" fillId="0" borderId="0"/>
    <xf numFmtId="0" fontId="130" fillId="52" borderId="15" applyNumberFormat="0" applyProtection="0">
      <alignment horizontal="center" vertical="top" wrapText="1"/>
      <protection hidden="1"/>
    </xf>
    <xf numFmtId="37" fontId="131" fillId="53" borderId="0" applyNumberFormat="0" applyFont="0" applyBorder="0" applyAlignment="0" applyProtection="0"/>
    <xf numFmtId="170" fontId="2" fillId="0" borderId="0" applyFill="0"/>
    <xf numFmtId="0" fontId="88" fillId="0" borderId="76" applyNumberFormat="0" applyAlignment="0" applyProtection="0"/>
    <xf numFmtId="0" fontId="89" fillId="10" borderId="0" applyNumberFormat="0" applyFont="0" applyBorder="0" applyAlignment="0" applyProtection="0"/>
    <xf numFmtId="0" fontId="31" fillId="6" borderId="19" applyNumberFormat="0" applyFont="0" applyBorder="0" applyAlignment="0" applyProtection="0">
      <alignment horizontal="center"/>
    </xf>
    <xf numFmtId="0" fontId="31" fillId="13" borderId="19" applyNumberFormat="0" applyFont="0" applyBorder="0" applyAlignment="0" applyProtection="0">
      <alignment horizontal="center"/>
    </xf>
    <xf numFmtId="0" fontId="89" fillId="0" borderId="77" applyNumberFormat="0" applyAlignment="0" applyProtection="0"/>
    <xf numFmtId="0" fontId="89" fillId="0" borderId="78" applyNumberFormat="0" applyAlignment="0" applyProtection="0"/>
    <xf numFmtId="0" fontId="88" fillId="0" borderId="79" applyNumberFormat="0" applyAlignment="0" applyProtection="0"/>
    <xf numFmtId="255" fontId="93" fillId="0" borderId="0">
      <alignment horizontal="center"/>
    </xf>
    <xf numFmtId="14" fontId="131" fillId="0" borderId="0">
      <alignment horizontal="center" wrapText="1"/>
      <protection locked="0"/>
    </xf>
    <xf numFmtId="0" fontId="131" fillId="0" borderId="0">
      <alignment horizontal="right"/>
    </xf>
    <xf numFmtId="0" fontId="106" fillId="0" borderId="0"/>
    <xf numFmtId="0" fontId="161" fillId="0" borderId="0"/>
    <xf numFmtId="256" fontId="131" fillId="0" borderId="0" applyFont="0" applyFill="0" applyBorder="0" applyAlignment="0" applyProtection="0"/>
    <xf numFmtId="9" fontId="89" fillId="0" borderId="0" applyFont="0" applyFill="0" applyBorder="0" applyAlignment="0" applyProtection="0"/>
    <xf numFmtId="10" fontId="89"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57" fontId="2" fillId="0" borderId="0" applyFont="0" applyFill="0" applyBorder="0" applyAlignment="0" applyProtection="0"/>
    <xf numFmtId="257"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67" fontId="131" fillId="0" borderId="0">
      <alignment horizontal="right"/>
    </xf>
    <xf numFmtId="9" fontId="2" fillId="0" borderId="0" applyFont="0" applyFill="0" applyBorder="0" applyAlignment="0" applyProtection="0"/>
    <xf numFmtId="9" fontId="2"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10" fontId="131" fillId="0" borderId="0">
      <alignment horizontal="right"/>
    </xf>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50" fontId="2" fillId="0" borderId="0" applyFont="0" applyFill="0" applyBorder="0" applyProtection="0">
      <alignment horizontal="right"/>
    </xf>
    <xf numFmtId="9" fontId="131" fillId="0" borderId="0">
      <alignment horizontal="right"/>
    </xf>
    <xf numFmtId="9" fontId="163" fillId="0" borderId="45">
      <alignment horizontal="center"/>
    </xf>
    <xf numFmtId="167" fontId="131" fillId="0" borderId="0"/>
    <xf numFmtId="167" fontId="200" fillId="0" borderId="0"/>
    <xf numFmtId="10" fontId="131" fillId="0" borderId="0"/>
    <xf numFmtId="10" fontId="200" fillId="0" borderId="0">
      <protection locked="0"/>
    </xf>
    <xf numFmtId="9" fontId="163" fillId="0" borderId="45">
      <alignment horizontal="right"/>
    </xf>
    <xf numFmtId="258" fontId="2" fillId="0" borderId="0"/>
    <xf numFmtId="258" fontId="2" fillId="0" borderId="0"/>
    <xf numFmtId="0" fontId="2" fillId="0" borderId="0"/>
    <xf numFmtId="9" fontId="2" fillId="0" borderId="0" applyFont="0" applyFill="0" applyBorder="0" applyAlignment="0" applyProtection="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251" fontId="2" fillId="0" borderId="0" applyProtection="0">
      <alignment horizontal="right"/>
    </xf>
    <xf numFmtId="251" fontId="2" fillId="0" borderId="0">
      <alignment horizontal="right"/>
      <protection locked="0"/>
    </xf>
    <xf numFmtId="5" fontId="211" fillId="0" borderId="0"/>
    <xf numFmtId="9" fontId="47" fillId="0" borderId="0" applyFont="0" applyFill="0" applyProtection="0"/>
    <xf numFmtId="0" fontId="132" fillId="41" borderId="0">
      <alignment horizontal="left" indent="1"/>
    </xf>
    <xf numFmtId="0" fontId="56" fillId="0" borderId="0" applyNumberFormat="0" applyFont="0" applyFill="0" applyBorder="0" applyAlignment="0" applyProtection="0">
      <alignment horizontal="left"/>
    </xf>
    <xf numFmtId="15" fontId="56" fillId="0" borderId="0" applyFont="0" applyFill="0" applyBorder="0" applyAlignment="0" applyProtection="0"/>
    <xf numFmtId="4" fontId="56" fillId="0" borderId="0" applyFont="0" applyFill="0" applyBorder="0" applyAlignment="0" applyProtection="0"/>
    <xf numFmtId="0" fontId="51" fillId="0" borderId="2">
      <alignment horizontal="center"/>
    </xf>
    <xf numFmtId="3" fontId="56" fillId="0" borderId="0" applyFont="0" applyFill="0" applyBorder="0" applyAlignment="0" applyProtection="0"/>
    <xf numFmtId="0" fontId="56" fillId="54" borderId="0" applyNumberFormat="0" applyFont="0" applyBorder="0" applyAlignment="0" applyProtection="0"/>
    <xf numFmtId="259" fontId="30" fillId="0" borderId="5">
      <alignment horizontal="center"/>
    </xf>
    <xf numFmtId="260" fontId="122" fillId="0" borderId="0">
      <alignment horizontal="center"/>
    </xf>
    <xf numFmtId="261" fontId="133" fillId="55" borderId="80">
      <alignment vertical="center"/>
    </xf>
    <xf numFmtId="0" fontId="198" fillId="0" borderId="0" applyNumberFormat="0" applyBorder="0"/>
    <xf numFmtId="0" fontId="212" fillId="56" borderId="0" applyNumberFormat="0" applyBorder="0"/>
    <xf numFmtId="0" fontId="213" fillId="57" borderId="0" applyNumberFormat="0" applyFont="0" applyBorder="0" applyAlignment="0">
      <alignment horizontal="center"/>
    </xf>
    <xf numFmtId="262" fontId="122" fillId="0" borderId="12">
      <alignment horizontal="left"/>
    </xf>
    <xf numFmtId="263" fontId="95" fillId="0" borderId="0">
      <alignment horizontal="center"/>
    </xf>
    <xf numFmtId="0" fontId="96" fillId="0" borderId="0">
      <alignment horizontal="center"/>
    </xf>
    <xf numFmtId="272" fontId="105" fillId="0" borderId="0" applyNumberFormat="0" applyFill="0" applyBorder="0" applyAlignment="0" applyProtection="0">
      <alignment horizontal="left"/>
    </xf>
    <xf numFmtId="0" fontId="214" fillId="0" borderId="0" applyNumberFormat="0" applyFill="0" applyBorder="0" applyProtection="0">
      <alignment horizontal="right" vertical="center"/>
    </xf>
    <xf numFmtId="0" fontId="57" fillId="0" borderId="0"/>
    <xf numFmtId="0" fontId="2" fillId="0" borderId="0"/>
    <xf numFmtId="0" fontId="2" fillId="0" borderId="0"/>
    <xf numFmtId="0" fontId="57" fillId="0" borderId="0"/>
    <xf numFmtId="3" fontId="50" fillId="0" borderId="26"/>
    <xf numFmtId="0" fontId="198" fillId="58" borderId="0" applyNumberFormat="0" applyBorder="0"/>
    <xf numFmtId="0" fontId="212" fillId="37" borderId="0" applyNumberFormat="0" applyBorder="0"/>
    <xf numFmtId="0" fontId="212" fillId="59" borderId="0" applyNumberFormat="0" applyBorder="0"/>
    <xf numFmtId="0" fontId="211" fillId="0" borderId="81"/>
    <xf numFmtId="0" fontId="96" fillId="0" borderId="0">
      <alignment horizontal="center"/>
    </xf>
    <xf numFmtId="264" fontId="96" fillId="0" borderId="0">
      <alignment horizontal="center"/>
    </xf>
    <xf numFmtId="0" fontId="96" fillId="0" borderId="0">
      <alignment horizontal="center"/>
    </xf>
    <xf numFmtId="265" fontId="96" fillId="0" borderId="0">
      <alignment horizontal="center"/>
    </xf>
    <xf numFmtId="0" fontId="96" fillId="0" borderId="0">
      <alignment horizontal="center"/>
    </xf>
    <xf numFmtId="0" fontId="96" fillId="0" borderId="0">
      <alignment horizontal="center"/>
    </xf>
    <xf numFmtId="170" fontId="2" fillId="0" borderId="0" applyProtection="0">
      <alignment horizontal="center"/>
    </xf>
    <xf numFmtId="0" fontId="61" fillId="0" borderId="0">
      <alignment horizontal="left"/>
    </xf>
    <xf numFmtId="231" fontId="2" fillId="0" borderId="0" applyFont="0" applyFill="0" applyBorder="0" applyAlignment="0" applyProtection="0"/>
    <xf numFmtId="0" fontId="89" fillId="60" borderId="0" applyNumberFormat="0" applyFont="0" applyBorder="0" applyAlignment="0" applyProtection="0"/>
    <xf numFmtId="0" fontId="213" fillId="1" borderId="16" applyNumberFormat="0" applyFont="0" applyAlignment="0">
      <alignment horizontal="center"/>
    </xf>
    <xf numFmtId="0" fontId="2" fillId="61" borderId="0"/>
    <xf numFmtId="0" fontId="38" fillId="47" borderId="0">
      <protection hidden="1"/>
    </xf>
    <xf numFmtId="0" fontId="215" fillId="36" borderId="0">
      <alignment vertical="center"/>
      <protection hidden="1"/>
    </xf>
    <xf numFmtId="1" fontId="2" fillId="0" borderId="0"/>
    <xf numFmtId="1" fontId="2" fillId="0" borderId="0"/>
    <xf numFmtId="1" fontId="2" fillId="0" borderId="0"/>
    <xf numFmtId="1" fontId="2" fillId="0" borderId="0"/>
    <xf numFmtId="1" fontId="2" fillId="0" borderId="0"/>
    <xf numFmtId="1" fontId="2" fillId="0" borderId="0"/>
    <xf numFmtId="1" fontId="2" fillId="0" borderId="0"/>
    <xf numFmtId="1" fontId="2" fillId="0" borderId="0"/>
    <xf numFmtId="42" fontId="156" fillId="0" borderId="0" applyFill="0" applyBorder="0" applyAlignment="0" applyProtection="0"/>
    <xf numFmtId="0" fontId="216" fillId="0" borderId="0" applyNumberFormat="0" applyFill="0" applyBorder="0" applyAlignment="0">
      <alignment horizontal="center"/>
    </xf>
    <xf numFmtId="0" fontId="47"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lef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17" fillId="0" borderId="82"/>
    <xf numFmtId="0" fontId="89" fillId="0" borderId="0"/>
    <xf numFmtId="0" fontId="89" fillId="0" borderId="0"/>
    <xf numFmtId="0" fontId="89" fillId="0" borderId="0"/>
    <xf numFmtId="0" fontId="89" fillId="0" borderId="0"/>
    <xf numFmtId="0" fontId="207" fillId="0" borderId="0"/>
    <xf numFmtId="38" fontId="89" fillId="0" borderId="9"/>
    <xf numFmtId="0" fontId="134" fillId="0" borderId="0" applyNumberFormat="0" applyFill="0" applyBorder="0" applyAlignment="0" applyProtection="0"/>
    <xf numFmtId="0" fontId="95" fillId="0" borderId="0">
      <alignment horizontal="center"/>
    </xf>
    <xf numFmtId="0" fontId="96" fillId="0" borderId="0">
      <alignment horizontal="center"/>
    </xf>
    <xf numFmtId="0" fontId="96" fillId="0" borderId="0">
      <alignment horizontal="center"/>
    </xf>
    <xf numFmtId="0" fontId="96" fillId="0" borderId="0">
      <alignment horizontal="center"/>
    </xf>
    <xf numFmtId="0" fontId="96" fillId="0" borderId="0">
      <alignment horizontal="center"/>
    </xf>
    <xf numFmtId="266" fontId="96" fillId="0" borderId="0">
      <alignment horizontal="center"/>
    </xf>
    <xf numFmtId="0" fontId="89" fillId="0" borderId="0" applyNumberFormat="0" applyFill="0" applyBorder="0" applyAlignment="0">
      <alignment vertical="center"/>
    </xf>
    <xf numFmtId="0" fontId="218" fillId="0" borderId="0" applyFill="0" applyBorder="0" applyProtection="0">
      <alignment horizontal="center" vertical="center"/>
    </xf>
    <xf numFmtId="0" fontId="219" fillId="0" borderId="0" applyBorder="0" applyProtection="0">
      <alignment vertical="center"/>
    </xf>
    <xf numFmtId="0" fontId="219" fillId="0" borderId="26" applyBorder="0" applyProtection="0">
      <alignment horizontal="right" vertical="center"/>
    </xf>
    <xf numFmtId="0" fontId="220" fillId="62" borderId="0" applyBorder="0" applyProtection="0">
      <alignment horizontal="centerContinuous" vertical="center"/>
    </xf>
    <xf numFmtId="0" fontId="220" fillId="47" borderId="26" applyBorder="0" applyProtection="0">
      <alignment horizontal="centerContinuous" vertical="center"/>
    </xf>
    <xf numFmtId="0" fontId="221" fillId="0" borderId="30"/>
    <xf numFmtId="0" fontId="218" fillId="0" borderId="0" applyFill="0" applyBorder="0" applyProtection="0"/>
    <xf numFmtId="0" fontId="222" fillId="0" borderId="0" applyFill="0" applyBorder="0" applyProtection="0">
      <alignment horizontal="left"/>
    </xf>
    <xf numFmtId="0" fontId="184" fillId="0" borderId="13" applyFill="0" applyBorder="0" applyProtection="0">
      <alignment horizontal="left" vertical="top"/>
    </xf>
    <xf numFmtId="0" fontId="135" fillId="41" borderId="0" applyBorder="0">
      <alignment horizontal="left" vertical="center" indent="1"/>
    </xf>
    <xf numFmtId="0" fontId="200" fillId="0" borderId="0">
      <alignment horizontal="left"/>
      <protection locked="0"/>
    </xf>
    <xf numFmtId="49" fontId="38"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0" fontId="2" fillId="0" borderId="0" applyFill="0" applyBorder="0" applyAlignment="0"/>
    <xf numFmtId="267" fontId="131" fillId="0" borderId="0" applyFont="0" applyFill="0" applyBorder="0" applyAlignment="0" applyProtection="0"/>
    <xf numFmtId="0" fontId="89" fillId="0" borderId="0" applyNumberFormat="0" applyFill="0" applyBorder="0" applyAlignment="0" applyProtection="0"/>
    <xf numFmtId="0" fontId="183" fillId="0" borderId="0" applyNumberFormat="0" applyFill="0" applyBorder="0" applyAlignment="0" applyProtection="0"/>
    <xf numFmtId="40" fontId="136" fillId="0" borderId="0"/>
    <xf numFmtId="0" fontId="34" fillId="0" borderId="0" applyNumberFormat="0" applyFont="0" applyBorder="0" applyAlignment="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83"/>
    <xf numFmtId="196" fontId="88" fillId="0" borderId="0">
      <alignment horizontal="centerContinuous"/>
    </xf>
    <xf numFmtId="196" fontId="225" fillId="0" borderId="30">
      <alignment horizontal="centerContinuous"/>
    </xf>
    <xf numFmtId="196" fontId="226" fillId="0" borderId="0">
      <alignment horizontal="centerContinuous"/>
      <protection locked="0"/>
    </xf>
    <xf numFmtId="196" fontId="226" fillId="0" borderId="0">
      <alignment horizontal="left"/>
    </xf>
    <xf numFmtId="0" fontId="145" fillId="0" borderId="0">
      <alignment horizontal="center"/>
    </xf>
    <xf numFmtId="0" fontId="145" fillId="0" borderId="0">
      <alignment horizontal="left"/>
    </xf>
    <xf numFmtId="39" fontId="227" fillId="0" borderId="0">
      <alignment vertical="center"/>
    </xf>
    <xf numFmtId="39" fontId="227" fillId="0" borderId="0">
      <alignment vertical="center"/>
    </xf>
    <xf numFmtId="39" fontId="228" fillId="0" borderId="0">
      <alignment vertical="center"/>
    </xf>
    <xf numFmtId="0" fontId="57" fillId="0" borderId="31"/>
    <xf numFmtId="0" fontId="229" fillId="0" borderId="0"/>
    <xf numFmtId="44" fontId="163" fillId="0" borderId="45"/>
    <xf numFmtId="0" fontId="78" fillId="0" borderId="41" applyNumberFormat="0" applyFill="0" applyAlignment="0" applyProtection="0"/>
    <xf numFmtId="0" fontId="137" fillId="0" borderId="0">
      <alignment horizontal="center"/>
    </xf>
    <xf numFmtId="0" fontId="137" fillId="0" borderId="0">
      <alignment horizontal="center"/>
    </xf>
    <xf numFmtId="0" fontId="78" fillId="0" borderId="41" applyNumberFormat="0" applyFill="0" applyAlignment="0" applyProtection="0"/>
    <xf numFmtId="0" fontId="78" fillId="0" borderId="41" applyNumberFormat="0" applyFill="0" applyAlignment="0" applyProtection="0"/>
    <xf numFmtId="268" fontId="138" fillId="0" borderId="0">
      <alignment horizontal="center"/>
    </xf>
    <xf numFmtId="44" fontId="230" fillId="0" borderId="45"/>
    <xf numFmtId="37" fontId="163" fillId="0" borderId="45"/>
    <xf numFmtId="0" fontId="2" fillId="13" borderId="0" applyNumberFormat="0" applyFont="0" applyBorder="0" applyAlignment="0" applyProtection="0"/>
    <xf numFmtId="234" fontId="2" fillId="0" borderId="0">
      <alignment horizontal="right"/>
    </xf>
    <xf numFmtId="194" fontId="231" fillId="0" borderId="0">
      <alignment horizontal="left"/>
      <protection locked="0"/>
    </xf>
    <xf numFmtId="0" fontId="57" fillId="0" borderId="0"/>
    <xf numFmtId="245" fontId="2" fillId="0" borderId="0">
      <alignment horizontal="right"/>
    </xf>
    <xf numFmtId="194" fontId="2" fillId="0" borderId="0">
      <alignment horizontal="right"/>
    </xf>
    <xf numFmtId="1" fontId="225" fillId="0" borderId="0">
      <alignment horizontal="left"/>
    </xf>
    <xf numFmtId="244" fontId="2" fillId="0" borderId="0">
      <alignment horizontal="right"/>
    </xf>
    <xf numFmtId="232" fontId="2" fillId="0" borderId="0" applyFont="0" applyFill="0" applyBorder="0" applyAlignment="0" applyProtection="0"/>
    <xf numFmtId="252" fontId="2" fillId="0" borderId="0" applyFont="0" applyFill="0" applyBorder="0" applyAlignment="0" applyProtection="0"/>
    <xf numFmtId="253" fontId="2" fillId="0" borderId="0" applyFont="0" applyFill="0" applyBorder="0" applyAlignment="0" applyProtection="0"/>
    <xf numFmtId="4" fontId="167" fillId="0" borderId="0" applyFont="0" applyFill="0" applyBorder="0" applyAlignment="0" applyProtection="0"/>
    <xf numFmtId="0" fontId="61" fillId="7" borderId="0">
      <alignment horizontal="center"/>
    </xf>
    <xf numFmtId="42" fontId="181" fillId="0" borderId="0" applyFont="0" applyFill="0" applyBorder="0" applyAlignment="0" applyProtection="0"/>
    <xf numFmtId="44" fontId="181"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195" fontId="232" fillId="0" borderId="0"/>
    <xf numFmtId="196" fontId="81" fillId="0" borderId="0"/>
    <xf numFmtId="0" fontId="233" fillId="63" borderId="0">
      <alignment horizontal="right"/>
    </xf>
    <xf numFmtId="0" fontId="233" fillId="63" borderId="0">
      <alignment horizontal="right"/>
    </xf>
    <xf numFmtId="195" fontId="233" fillId="63" borderId="0">
      <alignment horizontal="right"/>
    </xf>
    <xf numFmtId="195" fontId="233" fillId="63" borderId="0">
      <alignment horizontal="right"/>
    </xf>
    <xf numFmtId="195" fontId="233" fillId="63" borderId="0">
      <alignment horizontal="right"/>
    </xf>
    <xf numFmtId="195" fontId="233" fillId="63" borderId="0">
      <alignment horizontal="right"/>
    </xf>
    <xf numFmtId="0" fontId="233" fillId="63" borderId="0">
      <alignment horizontal="right"/>
    </xf>
    <xf numFmtId="0" fontId="233" fillId="63" borderId="0">
      <alignment horizontal="right"/>
    </xf>
    <xf numFmtId="195" fontId="233" fillId="63" borderId="0">
      <alignment horizontal="right"/>
    </xf>
    <xf numFmtId="195" fontId="233" fillId="63" borderId="0">
      <alignment horizontal="right"/>
    </xf>
    <xf numFmtId="195" fontId="233" fillId="63" borderId="0">
      <alignment horizontal="right"/>
    </xf>
    <xf numFmtId="195" fontId="233" fillId="63" borderId="0">
      <alignment horizontal="right"/>
    </xf>
    <xf numFmtId="1" fontId="139" fillId="0" borderId="0">
      <alignment horizontal="right"/>
    </xf>
    <xf numFmtId="269" fontId="30" fillId="0" borderId="28">
      <alignment horizontal="center"/>
    </xf>
    <xf numFmtId="0" fontId="14" fillId="0" borderId="0" applyFont="0" applyFill="0" applyBorder="0" applyAlignment="0" applyProtection="0">
      <alignment horizontal="center"/>
    </xf>
    <xf numFmtId="270" fontId="125" fillId="0" borderId="19"/>
    <xf numFmtId="0" fontId="156" fillId="0" borderId="0" applyFont="0" applyFill="0" applyBorder="0" applyAlignment="0" applyProtection="0"/>
    <xf numFmtId="196" fontId="2" fillId="0" borderId="19">
      <alignment horizontal="center"/>
    </xf>
    <xf numFmtId="0" fontId="234" fillId="0" borderId="0"/>
    <xf numFmtId="0" fontId="235" fillId="0" borderId="0">
      <alignment vertical="center"/>
    </xf>
    <xf numFmtId="40" fontId="56" fillId="0" borderId="0" applyFont="0" applyFill="0" applyBorder="0" applyAlignment="0" applyProtection="0"/>
    <xf numFmtId="41" fontId="236" fillId="0" borderId="0" applyFont="0" applyFill="0" applyBorder="0" applyAlignment="0" applyProtection="0"/>
    <xf numFmtId="0" fontId="140" fillId="0" borderId="0"/>
    <xf numFmtId="8" fontId="56" fillId="0" borderId="0" applyFont="0" applyFill="0" applyBorder="0" applyAlignment="0" applyProtection="0"/>
    <xf numFmtId="6" fontId="56" fillId="0" borderId="0" applyFont="0" applyFill="0" applyBorder="0" applyAlignment="0" applyProtection="0"/>
    <xf numFmtId="0" fontId="2" fillId="0" borderId="0"/>
    <xf numFmtId="0" fontId="78" fillId="0" borderId="41" applyNumberFormat="0" applyFill="0" applyAlignment="0" applyProtection="0"/>
    <xf numFmtId="0" fontId="78" fillId="0" borderId="41"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0" fontId="73" fillId="19" borderId="33" applyNumberFormat="0" applyAlignment="0" applyProtection="0"/>
    <xf numFmtId="0" fontId="73" fillId="19" borderId="33"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73" fillId="19" borderId="33" applyNumberFormat="0" applyAlignment="0" applyProtection="0"/>
    <xf numFmtId="0" fontId="73" fillId="19" borderId="33"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78" fillId="0" borderId="41" applyNumberFormat="0" applyFill="0" applyAlignment="0" applyProtection="0"/>
    <xf numFmtId="0" fontId="78" fillId="0" borderId="41" applyNumberFormat="0" applyFill="0" applyAlignment="0" applyProtection="0"/>
    <xf numFmtId="0" fontId="2" fillId="0" borderId="0"/>
    <xf numFmtId="0" fontId="2" fillId="0" borderId="0"/>
    <xf numFmtId="0" fontId="2" fillId="0" borderId="0"/>
    <xf numFmtId="0" fontId="30"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0"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0" fontId="59" fillId="0" borderId="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186" fontId="32" fillId="0" borderId="0" applyFont="0" applyFill="0" applyBorder="0" applyAlignment="0" applyProtection="0"/>
    <xf numFmtId="187" fontId="36" fillId="0" borderId="0"/>
    <xf numFmtId="187" fontId="36" fillId="0" borderId="0"/>
    <xf numFmtId="187" fontId="36" fillId="0" borderId="0"/>
    <xf numFmtId="187" fontId="36" fillId="0" borderId="0"/>
    <xf numFmtId="187" fontId="36" fillId="0" borderId="0"/>
    <xf numFmtId="187" fontId="36" fillId="0" borderId="0"/>
    <xf numFmtId="187" fontId="36" fillId="0" borderId="0"/>
    <xf numFmtId="187" fontId="36" fillId="0" borderId="0"/>
    <xf numFmtId="43" fontId="37" fillId="0" borderId="0" applyFont="0" applyFill="0" applyBorder="0" applyAlignment="0" applyProtection="0"/>
    <xf numFmtId="43" fontId="38" fillId="0" borderId="0" applyFont="0" applyFill="0" applyBorder="0" applyAlignment="0" applyProtection="0"/>
    <xf numFmtId="4" fontId="39" fillId="0" borderId="0" applyFont="0" applyFill="0" applyBorder="0" applyAlignment="0" applyProtection="0"/>
    <xf numFmtId="3" fontId="40" fillId="0" borderId="0" applyFont="0" applyFill="0" applyBorder="0" applyAlignment="0" applyProtection="0"/>
    <xf numFmtId="44" fontId="43" fillId="0" borderId="0" applyFont="0" applyFill="0" applyBorder="0" applyAlignment="0" applyProtection="0"/>
    <xf numFmtId="8" fontId="39" fillId="0" borderId="0" applyFont="0" applyFill="0" applyBorder="0" applyAlignment="0" applyProtection="0"/>
    <xf numFmtId="188" fontId="40" fillId="0" borderId="0" applyFont="0" applyFill="0" applyBorder="0" applyAlignment="0" applyProtection="0"/>
    <xf numFmtId="0" fontId="40" fillId="0" borderId="0" applyFont="0" applyFill="0" applyBorder="0" applyAlignment="0" applyProtection="0"/>
    <xf numFmtId="2" fontId="40" fillId="0" borderId="0" applyFont="0" applyFill="0" applyBorder="0" applyAlignment="0" applyProtection="0"/>
    <xf numFmtId="3" fontId="46" fillId="0" borderId="0" applyNumberFormat="0" applyProtection="0"/>
    <xf numFmtId="0" fontId="33" fillId="0" borderId="11" applyNumberFormat="0" applyAlignment="0" applyProtection="0">
      <alignment horizontal="left" vertical="center"/>
    </xf>
    <xf numFmtId="0" fontId="33" fillId="0" borderId="16">
      <alignment horizontal="left" vertical="center"/>
    </xf>
    <xf numFmtId="190" fontId="32" fillId="0" borderId="0"/>
    <xf numFmtId="0" fontId="2" fillId="0" borderId="0"/>
    <xf numFmtId="0" fontId="38" fillId="0" borderId="0">
      <alignment vertical="top"/>
    </xf>
    <xf numFmtId="0" fontId="47" fillId="0" borderId="0"/>
    <xf numFmtId="0" fontId="47" fillId="0" borderId="0"/>
    <xf numFmtId="0" fontId="47" fillId="0" borderId="0"/>
    <xf numFmtId="0" fontId="47" fillId="0" borderId="0"/>
    <xf numFmtId="0" fontId="39" fillId="0" borderId="0"/>
    <xf numFmtId="9" fontId="39" fillId="0" borderId="0" applyFont="0" applyFill="0" applyBorder="0" applyAlignment="0" applyProtection="0"/>
    <xf numFmtId="3" fontId="52" fillId="0" borderId="16"/>
    <xf numFmtId="49" fontId="2" fillId="0" borderId="0" applyFont="0" applyFill="0" applyBorder="0" applyAlignment="0" applyProtection="0"/>
    <xf numFmtId="44" fontId="2" fillId="0" borderId="0" applyFill="0" applyBorder="0" applyAlignment="0" applyProtection="0"/>
    <xf numFmtId="0" fontId="54" fillId="0" borderId="0" applyNumberFormat="0" applyFill="0" applyBorder="0" applyAlignment="0" applyProtection="0">
      <alignment vertical="top"/>
      <protection locked="0"/>
    </xf>
    <xf numFmtId="43" fontId="2" fillId="0" borderId="0" applyFont="0" applyFill="0" applyBorder="0" applyAlignment="0" applyProtection="0"/>
    <xf numFmtId="44" fontId="2" fillId="0" borderId="0" applyFill="0" applyBorder="0" applyAlignment="0" applyProtection="0"/>
    <xf numFmtId="0" fontId="30" fillId="0" borderId="0"/>
    <xf numFmtId="0" fontId="55" fillId="0" borderId="0"/>
    <xf numFmtId="0" fontId="30" fillId="0" borderId="0"/>
    <xf numFmtId="0" fontId="2" fillId="0" borderId="0"/>
    <xf numFmtId="40" fontId="56" fillId="0" borderId="0" applyFont="0" applyFill="0" applyBorder="0" applyAlignment="0" applyProtection="0"/>
    <xf numFmtId="0" fontId="1" fillId="0" borderId="0"/>
    <xf numFmtId="43" fontId="1" fillId="0" borderId="0" applyFont="0" applyFill="0" applyBorder="0" applyAlignment="0" applyProtection="0"/>
    <xf numFmtId="9" fontId="56" fillId="0" borderId="0" applyFont="0" applyFill="0" applyBorder="0" applyAlignment="0" applyProtection="0"/>
    <xf numFmtId="8" fontId="56" fillId="0" borderId="0" applyFont="0" applyFill="0" applyBorder="0" applyAlignment="0" applyProtection="0"/>
    <xf numFmtId="37" fontId="2"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30" fillId="0" borderId="0"/>
    <xf numFmtId="0" fontId="2" fillId="0" borderId="0"/>
    <xf numFmtId="0" fontId="1" fillId="0" borderId="0"/>
    <xf numFmtId="43" fontId="1" fillId="0" borderId="0" applyFont="0" applyFill="0" applyBorder="0" applyAlignment="0" applyProtection="0"/>
    <xf numFmtId="0" fontId="30" fillId="0" borderId="0"/>
    <xf numFmtId="0" fontId="30" fillId="0" borderId="0"/>
    <xf numFmtId="0" fontId="30" fillId="0" borderId="0"/>
    <xf numFmtId="0" fontId="1" fillId="0" borderId="0"/>
    <xf numFmtId="43" fontId="59"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0" fillId="0" borderId="0"/>
    <xf numFmtId="3" fontId="52" fillId="0" borderId="86"/>
    <xf numFmtId="5" fontId="22" fillId="10" borderId="87" applyNumberFormat="0">
      <alignment horizontal="left" vertical="center"/>
      <protection locked="0"/>
    </xf>
    <xf numFmtId="3" fontId="30" fillId="0" borderId="85"/>
    <xf numFmtId="0" fontId="33" fillId="0" borderId="86">
      <alignment horizontal="left" vertical="center"/>
    </xf>
    <xf numFmtId="3" fontId="50" fillId="0" borderId="26"/>
    <xf numFmtId="44" fontId="2" fillId="0" borderId="0" applyFont="0" applyFill="0" applyBorder="0" applyAlignment="0" applyProtection="0"/>
    <xf numFmtId="43" fontId="2" fillId="0" borderId="0" applyFont="0" applyFill="0" applyBorder="0" applyAlignment="0" applyProtection="0"/>
    <xf numFmtId="0" fontId="30" fillId="0" borderId="0"/>
    <xf numFmtId="3" fontId="30" fillId="0" borderId="85"/>
    <xf numFmtId="3" fontId="52" fillId="0" borderId="86"/>
    <xf numFmtId="9" fontId="2" fillId="0" borderId="0" applyFont="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4" fillId="0" borderId="26" applyNumberFormat="0" applyFill="0" applyAlignment="0" applyProtection="0"/>
    <xf numFmtId="0" fontId="1" fillId="0" borderId="0"/>
    <xf numFmtId="43" fontId="1" fillId="0" borderId="0" applyFont="0" applyFill="0" applyBorder="0" applyAlignment="0" applyProtection="0"/>
    <xf numFmtId="9" fontId="2" fillId="0" borderId="0" applyFont="0" applyFill="0" applyBorder="0" applyAlignment="0" applyProtection="0"/>
    <xf numFmtId="0" fontId="1" fillId="0" borderId="0"/>
    <xf numFmtId="44" fontId="2" fillId="0" borderId="0" applyFont="0" applyFill="0" applyBorder="0" applyAlignment="0" applyProtection="0"/>
    <xf numFmtId="9" fontId="2" fillId="0" borderId="0" applyFont="0" applyFill="0" applyBorder="0" applyAlignment="0" applyProtection="0"/>
    <xf numFmtId="0" fontId="60" fillId="0" borderId="0"/>
    <xf numFmtId="0" fontId="60" fillId="0" borderId="0"/>
    <xf numFmtId="0" fontId="6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5" fontId="22" fillId="10" borderId="87" applyNumberFormat="0">
      <alignment horizontal="left" vertical="center"/>
      <protection locked="0"/>
    </xf>
    <xf numFmtId="0" fontId="33" fillId="0" borderId="86">
      <alignment horizontal="left" vertical="center"/>
    </xf>
    <xf numFmtId="0" fontId="1" fillId="0" borderId="0"/>
    <xf numFmtId="0" fontId="1" fillId="0" borderId="0"/>
    <xf numFmtId="0" fontId="1" fillId="0" borderId="0"/>
    <xf numFmtId="0" fontId="2" fillId="0" borderId="0"/>
    <xf numFmtId="43" fontId="2"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37" fontId="33" fillId="8" borderId="4">
      <alignment horizontal="left"/>
    </xf>
    <xf numFmtId="3" fontId="42" fillId="0" borderId="4" applyNumberFormat="0" applyProtection="0"/>
    <xf numFmtId="0" fontId="46" fillId="0" borderId="2" applyNumberFormat="0" applyFill="0" applyAlignment="0"/>
    <xf numFmtId="0" fontId="46" fillId="0" borderId="4"/>
    <xf numFmtId="44" fontId="49" fillId="0" borderId="4">
      <alignment horizontal="centerContinuous"/>
    </xf>
    <xf numFmtId="7" fontId="91" fillId="0" borderId="88" applyFill="0" applyBorder="0" applyAlignment="0"/>
    <xf numFmtId="3" fontId="33" fillId="0" borderId="4" applyNumberFormat="0" applyFill="0" applyProtection="0"/>
    <xf numFmtId="9" fontId="53" fillId="0" borderId="4" applyNumberFormat="0" applyFont="0" applyBorder="0" applyAlignment="0"/>
    <xf numFmtId="0" fontId="12" fillId="7" borderId="24">
      <alignment horizontal="center" wrapText="1"/>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96" fontId="225" fillId="0" borderId="90">
      <alignment horizontal="centerContinuous"/>
    </xf>
    <xf numFmtId="5" fontId="90" fillId="0" borderId="84" applyFill="0" applyBorder="0" applyAlignment="0"/>
    <xf numFmtId="5" fontId="90" fillId="0" borderId="84" applyFill="0" applyBorder="0" applyAlignment="0"/>
    <xf numFmtId="5" fontId="90" fillId="0" borderId="84" applyFill="0" applyBorder="0" applyAlignment="0"/>
    <xf numFmtId="5" fontId="90" fillId="0" borderId="84" applyFill="0" applyBorder="0" applyAlignment="0"/>
    <xf numFmtId="5" fontId="90" fillId="0" borderId="84" applyFill="0" applyBorder="0" applyAlignment="0"/>
    <xf numFmtId="5" fontId="91" fillId="0" borderId="84" applyFill="0" applyBorder="0" applyAlignment="0"/>
    <xf numFmtId="5" fontId="91" fillId="0" borderId="84" applyFill="0" applyBorder="0" applyAlignment="0"/>
    <xf numFmtId="0" fontId="1" fillId="0" borderId="0"/>
    <xf numFmtId="5" fontId="91" fillId="0" borderId="84" applyFill="0" applyBorder="0" applyAlignment="0"/>
    <xf numFmtId="5" fontId="91" fillId="0" borderId="84" applyFill="0" applyBorder="0" applyAlignment="0"/>
    <xf numFmtId="5" fontId="91" fillId="0" borderId="84" applyFill="0" applyBorder="0" applyAlignment="0"/>
    <xf numFmtId="7" fontId="91" fillId="0" borderId="84" applyFill="0" applyBorder="0" applyAlignment="0"/>
    <xf numFmtId="7" fontId="91" fillId="0" borderId="84" applyFill="0" applyBorder="0" applyAlignment="0"/>
    <xf numFmtId="7" fontId="91" fillId="0" borderId="84" applyFill="0" applyBorder="0" applyAlignment="0"/>
    <xf numFmtId="7" fontId="91" fillId="0" borderId="84" applyFill="0" applyBorder="0" applyAlignment="0"/>
    <xf numFmtId="7" fontId="91" fillId="0" borderId="84" applyFill="0" applyBorder="0" applyAlignment="0"/>
    <xf numFmtId="0" fontId="221" fillId="0" borderId="90"/>
    <xf numFmtId="0" fontId="51" fillId="0" borderId="101">
      <alignment horizontal="center"/>
    </xf>
    <xf numFmtId="0" fontId="130" fillId="52" borderId="88" applyNumberFormat="0" applyProtection="0">
      <alignment horizontal="center" vertical="top" wrapText="1"/>
      <protection hidden="1"/>
    </xf>
    <xf numFmtId="0" fontId="128" fillId="50" borderId="88" applyNumberFormat="0" applyAlignment="0">
      <protection locked="0"/>
    </xf>
    <xf numFmtId="0" fontId="140" fillId="0" borderId="88"/>
    <xf numFmtId="230" fontId="2" fillId="10" borderId="88"/>
    <xf numFmtId="3" fontId="89" fillId="0" borderId="88"/>
    <xf numFmtId="38" fontId="140" fillId="0" borderId="88"/>
    <xf numFmtId="10" fontId="31" fillId="38" borderId="88" applyNumberFormat="0" applyBorder="0" applyAlignment="0" applyProtection="0"/>
    <xf numFmtId="0" fontId="116" fillId="0" borderId="101" applyNumberFormat="0" applyFill="0">
      <alignment horizontal="centerContinuous" vertical="top"/>
    </xf>
    <xf numFmtId="0" fontId="116" fillId="48" borderId="101" applyNumberFormat="0">
      <alignment horizontal="left" vertical="top" indent="1"/>
    </xf>
    <xf numFmtId="37" fontId="57" fillId="0" borderId="91"/>
    <xf numFmtId="0" fontId="104" fillId="0" borderId="88" applyProtection="0">
      <alignment horizontal="center" vertical="top" wrapText="1"/>
      <protection hidden="1"/>
    </xf>
    <xf numFmtId="0" fontId="131" fillId="0" borderId="101" applyNumberFormat="0" applyFont="0" applyFill="0" applyAlignment="0" applyProtection="0"/>
    <xf numFmtId="0" fontId="62" fillId="0" borderId="91" applyNumberFormat="0" applyFill="0" applyAlignment="0" applyProtection="0"/>
    <xf numFmtId="0" fontId="62" fillId="0" borderId="91" applyNumberFormat="0" applyFill="0" applyAlignment="0" applyProtection="0"/>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84" fillId="0" borderId="43" applyNumberFormat="0" applyFill="0" applyProtection="0">
      <alignment horizontal="center"/>
    </xf>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2" fillId="0" borderId="25" applyNumberFormat="0" applyFont="0" applyFill="0" applyAlignment="0" applyProtection="0"/>
    <xf numFmtId="0" fontId="34" fillId="0" borderId="26" applyNumberFormat="0" applyFill="0" applyAlignment="0" applyProtection="0"/>
    <xf numFmtId="0" fontId="62" fillId="0" borderId="91" applyNumberFormat="0" applyFill="0" applyAlignment="0" applyProtection="0"/>
    <xf numFmtId="0" fontId="131" fillId="0" borderId="2" applyNumberFormat="0" applyFont="0" applyFill="0" applyAlignment="0" applyProtection="0"/>
    <xf numFmtId="0" fontId="62" fillId="0" borderId="91" applyNumberFormat="0" applyFill="0" applyAlignment="0" applyProtection="0"/>
    <xf numFmtId="7" fontId="57" fillId="0" borderId="25"/>
    <xf numFmtId="0" fontId="34" fillId="0" borderId="26" applyNumberFormat="0" applyFont="0" applyFill="0" applyProtection="0">
      <alignment horizontal="centerContinuous" vertical="center"/>
    </xf>
    <xf numFmtId="0" fontId="159" fillId="0" borderId="26" applyNumberFormat="0" applyFill="0" applyBorder="0" applyProtection="0">
      <alignment horizontal="right" vertical="center"/>
    </xf>
    <xf numFmtId="0" fontId="104" fillId="0" borderId="84" applyProtection="0">
      <alignment horizontal="center" vertical="top" wrapText="1"/>
      <protection hidden="1"/>
    </xf>
    <xf numFmtId="240" fontId="95" fillId="0" borderId="89">
      <alignment horizontal="left"/>
    </xf>
    <xf numFmtId="37" fontId="57" fillId="0" borderId="91"/>
    <xf numFmtId="0" fontId="108" fillId="0" borderId="26" applyNumberFormat="0" applyFont="0" applyAlignment="0" applyProtection="0">
      <protection locked="0"/>
    </xf>
    <xf numFmtId="170" fontId="170" fillId="8" borderId="56" applyNumberFormat="0" applyAlignment="0">
      <alignment horizontal="center" vertical="center"/>
    </xf>
    <xf numFmtId="186" fontId="171" fillId="8" borderId="26">
      <alignment horizontal="right" vertical="center"/>
    </xf>
    <xf numFmtId="182" fontId="171" fillId="8" borderId="26">
      <alignment horizontal="right" vertical="center"/>
    </xf>
    <xf numFmtId="170" fontId="172" fillId="8" borderId="26" applyBorder="0">
      <alignment horizontal="left" vertical="center"/>
    </xf>
    <xf numFmtId="0" fontId="116" fillId="48" borderId="2" applyNumberFormat="0">
      <alignment horizontal="left" vertical="top" indent="1"/>
    </xf>
    <xf numFmtId="0" fontId="116" fillId="0" borderId="2" applyNumberFormat="0" applyFill="0">
      <alignment horizontal="centerContinuous" vertical="top"/>
    </xf>
    <xf numFmtId="0" fontId="72" fillId="0" borderId="37" applyNumberFormat="0" applyFill="0" applyAlignment="0" applyProtection="0"/>
    <xf numFmtId="0" fontId="72" fillId="0" borderId="37" applyNumberFormat="0" applyFill="0" applyAlignment="0" applyProtection="0"/>
    <xf numFmtId="0" fontId="72" fillId="0" borderId="37" applyNumberFormat="0" applyFill="0" applyAlignment="0" applyProtection="0"/>
    <xf numFmtId="0" fontId="189" fillId="0" borderId="66" applyNumberFormat="0" applyFill="0" applyAlignment="0" applyProtection="0"/>
    <xf numFmtId="0" fontId="189" fillId="0" borderId="66" applyNumberFormat="0" applyFill="0" applyAlignment="0" applyProtection="0"/>
    <xf numFmtId="10" fontId="31" fillId="38" borderId="84" applyNumberFormat="0" applyBorder="0" applyAlignment="0" applyProtection="0"/>
    <xf numFmtId="38" fontId="88" fillId="1" borderId="26"/>
    <xf numFmtId="38" fontId="140" fillId="0" borderId="84"/>
    <xf numFmtId="3" fontId="89" fillId="0" borderId="84"/>
    <xf numFmtId="230" fontId="2" fillId="10" borderId="84"/>
    <xf numFmtId="0" fontId="140" fillId="0" borderId="84"/>
    <xf numFmtId="0" fontId="128" fillId="50" borderId="84" applyNumberFormat="0" applyAlignment="0">
      <protection locked="0"/>
    </xf>
    <xf numFmtId="0" fontId="209" fillId="51" borderId="93"/>
    <xf numFmtId="0" fontId="130" fillId="52" borderId="84" applyNumberFormat="0" applyProtection="0">
      <alignment horizontal="center" vertical="top" wrapText="1"/>
      <protection hidden="1"/>
    </xf>
    <xf numFmtId="0" fontId="88" fillId="0" borderId="76" applyNumberFormat="0" applyAlignment="0" applyProtection="0"/>
    <xf numFmtId="0" fontId="89" fillId="0" borderId="94" applyNumberFormat="0" applyAlignment="0" applyProtection="0"/>
    <xf numFmtId="0" fontId="51" fillId="0" borderId="2">
      <alignment horizontal="center"/>
    </xf>
    <xf numFmtId="7" fontId="91" fillId="0" borderId="88" applyFill="0" applyBorder="0" applyAlignment="0"/>
    <xf numFmtId="3" fontId="50" fillId="0" borderId="26"/>
    <xf numFmtId="7" fontId="91" fillId="0" borderId="88" applyFill="0" applyBorder="0" applyAlignment="0"/>
    <xf numFmtId="7" fontId="91" fillId="0" borderId="88" applyFill="0" applyBorder="0" applyAlignment="0"/>
    <xf numFmtId="5" fontId="91" fillId="0" borderId="88" applyFill="0" applyBorder="0" applyAlignment="0"/>
    <xf numFmtId="5" fontId="91" fillId="0" borderId="88" applyFill="0" applyBorder="0" applyAlignment="0"/>
    <xf numFmtId="5" fontId="91" fillId="0" borderId="88" applyFill="0" applyBorder="0" applyAlignment="0"/>
    <xf numFmtId="5" fontId="91" fillId="0" borderId="88" applyFill="0" applyBorder="0" applyAlignment="0"/>
    <xf numFmtId="5" fontId="91" fillId="0" borderId="88" applyFill="0" applyBorder="0" applyAlignment="0"/>
    <xf numFmtId="5" fontId="90" fillId="0" borderId="88" applyFill="0" applyBorder="0" applyAlignment="0"/>
    <xf numFmtId="5" fontId="90" fillId="0" borderId="88" applyFill="0" applyBorder="0" applyAlignment="0"/>
    <xf numFmtId="5" fontId="90" fillId="0" borderId="88" applyFill="0" applyBorder="0" applyAlignment="0"/>
    <xf numFmtId="5" fontId="90" fillId="0" borderId="88" applyFill="0" applyBorder="0" applyAlignment="0"/>
    <xf numFmtId="5" fontId="90" fillId="0" borderId="88" applyFill="0" applyBorder="0" applyAlignment="0"/>
    <xf numFmtId="0" fontId="219" fillId="0" borderId="26" applyBorder="0" applyProtection="0">
      <alignment horizontal="right" vertical="center"/>
    </xf>
    <xf numFmtId="0" fontId="220" fillId="47" borderId="26" applyBorder="0" applyProtection="0">
      <alignment horizontal="centerContinuous" vertical="center"/>
    </xf>
    <xf numFmtId="0" fontId="221" fillId="0" borderId="90"/>
    <xf numFmtId="196" fontId="225" fillId="0" borderId="90">
      <alignment horizontal="centerContinuous"/>
    </xf>
    <xf numFmtId="0" fontId="57" fillId="0" borderId="91"/>
    <xf numFmtId="0" fontId="46" fillId="0" borderId="101" applyNumberFormat="0" applyFill="0" applyAlignment="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0"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3" fontId="52" fillId="0" borderId="16"/>
    <xf numFmtId="5" fontId="22" fillId="10" borderId="32" applyNumberFormat="0">
      <alignment horizontal="left" vertical="center"/>
      <protection locked="0"/>
    </xf>
    <xf numFmtId="3" fontId="30" fillId="0" borderId="9"/>
    <xf numFmtId="0" fontId="33" fillId="0" borderId="16">
      <alignment horizontal="left" vertical="center"/>
    </xf>
    <xf numFmtId="7" fontId="91" fillId="0" borderId="88" applyFill="0" applyBorder="0" applyAlignment="0"/>
    <xf numFmtId="3" fontId="30" fillId="0" borderId="9"/>
    <xf numFmtId="3" fontId="52" fillId="0" borderId="16"/>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5" fontId="22" fillId="10" borderId="32" applyNumberFormat="0">
      <alignment horizontal="left" vertical="center"/>
      <protection locked="0"/>
    </xf>
    <xf numFmtId="0" fontId="33" fillId="0" borderId="16">
      <alignment horizontal="left" vertical="center"/>
    </xf>
    <xf numFmtId="0" fontId="1" fillId="0" borderId="0"/>
    <xf numFmtId="0" fontId="1" fillId="0" borderId="0"/>
    <xf numFmtId="0" fontId="1" fillId="0" borderId="0"/>
    <xf numFmtId="0" fontId="2" fillId="0" borderId="0"/>
    <xf numFmtId="0" fontId="66" fillId="32" borderId="9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6"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8" fontId="56" fillId="0" borderId="0" applyFont="0" applyFill="0" applyBorder="0" applyAlignment="0" applyProtection="0"/>
    <xf numFmtId="44" fontId="2" fillId="0" borderId="0" applyFont="0" applyFill="0" applyBorder="0" applyAlignment="0" applyProtection="0"/>
    <xf numFmtId="0" fontId="73" fillId="19" borderId="95" applyNumberFormat="0" applyAlignment="0" applyProtection="0"/>
    <xf numFmtId="0" fontId="30" fillId="0" borderId="0"/>
    <xf numFmtId="0" fontId="2" fillId="0" borderId="0"/>
    <xf numFmtId="0" fontId="30" fillId="35" borderId="96" applyNumberFormat="0" applyFont="0" applyAlignment="0" applyProtection="0"/>
    <xf numFmtId="9" fontId="2" fillId="0" borderId="0" applyFont="0" applyFill="0" applyBorder="0" applyAlignment="0" applyProtection="0"/>
    <xf numFmtId="9" fontId="56" fillId="0" borderId="0" applyFont="0" applyFill="0" applyBorder="0" applyAlignment="0" applyProtection="0"/>
    <xf numFmtId="0" fontId="2" fillId="0" borderId="0"/>
    <xf numFmtId="0" fontId="2" fillId="0" borderId="0"/>
    <xf numFmtId="9"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0" fontId="2" fillId="0" borderId="0"/>
    <xf numFmtId="0" fontId="59" fillId="42"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59" fillId="15" borderId="0" applyNumberFormat="0" applyBorder="0" applyAlignment="0" applyProtection="0"/>
    <xf numFmtId="0" fontId="59" fillId="35" borderId="0" applyNumberFormat="0" applyBorder="0" applyAlignment="0" applyProtection="0"/>
    <xf numFmtId="0" fontId="59" fillId="16" borderId="0" applyNumberFormat="0" applyBorder="0" applyAlignment="0" applyProtection="0"/>
    <xf numFmtId="0" fontId="59" fillId="42" borderId="0" applyNumberFormat="0" applyBorder="0" applyAlignment="0" applyProtection="0"/>
    <xf numFmtId="0" fontId="59" fillId="17" borderId="0" applyNumberFormat="0" applyBorder="0" applyAlignment="0" applyProtection="0"/>
    <xf numFmtId="0" fontId="59" fillId="32" borderId="0" applyNumberFormat="0" applyBorder="0" applyAlignment="0" applyProtection="0"/>
    <xf numFmtId="0" fontId="59" fillId="20" borderId="0" applyNumberFormat="0" applyBorder="0" applyAlignment="0" applyProtection="0"/>
    <xf numFmtId="0" fontId="59" fillId="34" borderId="0" applyNumberFormat="0" applyBorder="0" applyAlignment="0" applyProtection="0"/>
    <xf numFmtId="0" fontId="59" fillId="22" borderId="0" applyNumberFormat="0" applyBorder="0" applyAlignment="0" applyProtection="0"/>
    <xf numFmtId="0" fontId="59" fillId="32" borderId="0" applyNumberFormat="0" applyBorder="0" applyAlignment="0" applyProtection="0"/>
    <xf numFmtId="0" fontId="59" fillId="17"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64" fillId="26" borderId="0" applyNumberFormat="0" applyBorder="0" applyAlignment="0" applyProtection="0"/>
    <xf numFmtId="0" fontId="64" fillId="24" borderId="0" applyNumberFormat="0" applyBorder="0" applyAlignment="0" applyProtection="0"/>
    <xf numFmtId="0" fontId="64" fillId="34" borderId="0" applyNumberFormat="0" applyBorder="0" applyAlignment="0" applyProtection="0"/>
    <xf numFmtId="0" fontId="64" fillId="22" borderId="0" applyNumberFormat="0" applyBorder="0" applyAlignment="0" applyProtection="0"/>
    <xf numFmtId="0" fontId="64" fillId="32" borderId="0" applyNumberFormat="0" applyBorder="0" applyAlignment="0" applyProtection="0"/>
    <xf numFmtId="0" fontId="64" fillId="25" borderId="0" applyNumberFormat="0" applyBorder="0" applyAlignment="0" applyProtection="0"/>
    <xf numFmtId="0" fontId="64" fillId="19" borderId="0" applyNumberFormat="0" applyBorder="0" applyAlignment="0" applyProtection="0"/>
    <xf numFmtId="0" fontId="64" fillId="27" borderId="0" applyNumberFormat="0" applyBorder="0" applyAlignment="0" applyProtection="0"/>
    <xf numFmtId="0" fontId="64" fillId="26" borderId="0" applyNumberFormat="0" applyBorder="0" applyAlignment="0" applyProtection="0"/>
    <xf numFmtId="0" fontId="64" fillId="28" borderId="0" applyNumberFormat="0" applyBorder="0" applyAlignment="0" applyProtection="0"/>
    <xf numFmtId="0" fontId="64" fillId="64" borderId="0" applyNumberFormat="0" applyBorder="0" applyAlignment="0" applyProtection="0"/>
    <xf numFmtId="0" fontId="64" fillId="29" borderId="0" applyNumberFormat="0" applyBorder="0" applyAlignment="0" applyProtection="0"/>
    <xf numFmtId="0" fontId="64" fillId="64" borderId="0" applyNumberFormat="0" applyBorder="0" applyAlignment="0" applyProtection="0"/>
    <xf numFmtId="0" fontId="64" fillId="30" borderId="0" applyNumberFormat="0" applyBorder="0" applyAlignment="0" applyProtection="0"/>
    <xf numFmtId="0" fontId="64" fillId="40" borderId="0" applyNumberFormat="0" applyBorder="0" applyAlignment="0" applyProtection="0"/>
    <xf numFmtId="0" fontId="64" fillId="25" borderId="0" applyNumberFormat="0" applyBorder="0" applyAlignment="0" applyProtection="0"/>
    <xf numFmtId="0" fontId="237" fillId="15" borderId="0" applyNumberFormat="0" applyBorder="0" applyAlignment="0" applyProtection="0"/>
    <xf numFmtId="0" fontId="65" fillId="15" borderId="0" applyNumberFormat="0" applyBorder="0" applyAlignment="0" applyProtection="0"/>
    <xf numFmtId="0" fontId="66" fillId="42" borderId="95" applyNumberFormat="0" applyAlignment="0" applyProtection="0"/>
    <xf numFmtId="0" fontId="66" fillId="32" borderId="95" applyNumberFormat="0" applyAlignment="0" applyProtection="0"/>
    <xf numFmtId="43" fontId="2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8" fillId="0" borderId="0" applyFont="0" applyFill="0" applyBorder="0" applyAlignment="0" applyProtection="0"/>
    <xf numFmtId="44" fontId="238" fillId="0" borderId="0" applyFont="0" applyFill="0" applyBorder="0" applyAlignment="0" applyProtection="0"/>
    <xf numFmtId="0" fontId="239" fillId="0" borderId="97" applyNumberFormat="0" applyFill="0" applyAlignment="0" applyProtection="0"/>
    <xf numFmtId="0" fontId="70" fillId="0" borderId="35" applyNumberFormat="0" applyFill="0" applyAlignment="0" applyProtection="0"/>
    <xf numFmtId="0" fontId="240" fillId="0" borderId="36" applyNumberFormat="0" applyFill="0" applyAlignment="0" applyProtection="0"/>
    <xf numFmtId="0" fontId="71" fillId="0" borderId="36" applyNumberFormat="0" applyFill="0" applyAlignment="0" applyProtection="0"/>
    <xf numFmtId="0" fontId="189" fillId="0" borderId="98" applyNumberFormat="0" applyFill="0" applyAlignment="0" applyProtection="0"/>
    <xf numFmtId="0" fontId="72" fillId="0" borderId="37" applyNumberFormat="0" applyFill="0" applyAlignment="0" applyProtection="0"/>
    <xf numFmtId="0" fontId="189" fillId="0" borderId="0" applyNumberFormat="0" applyFill="0" applyBorder="0" applyAlignment="0" applyProtection="0"/>
    <xf numFmtId="0" fontId="72" fillId="0" borderId="0" applyNumberFormat="0" applyFill="0" applyBorder="0" applyAlignment="0" applyProtection="0"/>
    <xf numFmtId="0" fontId="73" fillId="19" borderId="95" applyNumberFormat="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23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38"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2" fillId="0" borderId="0"/>
    <xf numFmtId="0" fontId="30" fillId="35" borderId="96" applyNumberFormat="0" applyFont="0" applyAlignment="0" applyProtection="0"/>
    <xf numFmtId="0" fontId="238" fillId="35" borderId="96" applyNumberFormat="0" applyFont="0" applyAlignment="0" applyProtection="0"/>
    <xf numFmtId="0" fontId="76" fillId="42" borderId="40" applyNumberFormat="0" applyAlignment="0" applyProtection="0"/>
    <xf numFmtId="0" fontId="76" fillId="32" borderId="40" applyNumberFormat="0" applyAlignment="0" applyProtection="0"/>
    <xf numFmtId="9" fontId="23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23" fillId="0" borderId="0" applyNumberFormat="0" applyFill="0" applyBorder="0" applyAlignment="0" applyProtection="0"/>
    <xf numFmtId="0" fontId="77" fillId="0" borderId="0" applyNumberFormat="0" applyFill="0" applyBorder="0" applyAlignment="0" applyProtection="0"/>
    <xf numFmtId="0" fontId="78" fillId="0" borderId="99" applyNumberFormat="0" applyFill="0" applyAlignment="0" applyProtection="0"/>
    <xf numFmtId="0" fontId="78" fillId="0" borderId="41" applyNumberFormat="0" applyFill="0" applyAlignment="0" applyProtection="0"/>
    <xf numFmtId="44" fontId="2" fillId="0" borderId="0" applyFont="0" applyFill="0" applyBorder="0" applyAlignment="0" applyProtection="0"/>
    <xf numFmtId="9" fontId="2" fillId="0" borderId="0" applyFont="0" applyFill="0" applyBorder="0" applyAlignment="0" applyProtection="0"/>
    <xf numFmtId="43" fontId="59" fillId="0" borderId="0" applyFont="0" applyFill="0" applyBorder="0" applyAlignment="0" applyProtection="0"/>
    <xf numFmtId="0" fontId="30" fillId="0" borderId="0"/>
    <xf numFmtId="44" fontId="2" fillId="0" borderId="0" applyFont="0" applyFill="0" applyBorder="0" applyAlignment="0" applyProtection="0"/>
    <xf numFmtId="0" fontId="30" fillId="0" borderId="0"/>
    <xf numFmtId="43" fontId="30"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30" fillId="0" borderId="0" applyFont="0" applyFill="0" applyBorder="0" applyAlignment="0" applyProtection="0"/>
    <xf numFmtId="44" fontId="2" fillId="0" borderId="0" applyFont="0" applyFill="0" applyBorder="0" applyAlignment="0" applyProtection="0"/>
    <xf numFmtId="0" fontId="30"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3" fontId="42" fillId="0" borderId="4" applyNumberFormat="0" applyProtection="0"/>
    <xf numFmtId="37" fontId="33" fillId="8" borderId="4">
      <alignment horizontal="left"/>
    </xf>
    <xf numFmtId="37" fontId="33" fillId="8" borderId="4">
      <alignment horizontal="left"/>
    </xf>
    <xf numFmtId="43" fontId="38" fillId="0" borderId="0" applyFont="0" applyFill="0" applyBorder="0" applyAlignment="0" applyProtection="0"/>
    <xf numFmtId="4" fontId="39" fillId="0" borderId="0" applyFont="0" applyFill="0" applyBorder="0" applyAlignment="0" applyProtection="0"/>
    <xf numFmtId="3" fontId="42" fillId="0" borderId="4" applyNumberFormat="0" applyProtection="0"/>
    <xf numFmtId="44" fontId="43" fillId="0" borderId="0" applyFont="0" applyFill="0" applyBorder="0" applyAlignment="0" applyProtection="0"/>
    <xf numFmtId="8" fontId="39" fillId="0" borderId="0" applyFont="0" applyFill="0" applyBorder="0" applyAlignment="0" applyProtection="0"/>
    <xf numFmtId="0" fontId="33" fillId="0" borderId="16">
      <alignment horizontal="left" vertical="center"/>
    </xf>
    <xf numFmtId="0" fontId="46" fillId="0" borderId="4"/>
    <xf numFmtId="5" fontId="22" fillId="10" borderId="87" applyNumberFormat="0">
      <alignment horizontal="left" vertical="center"/>
      <protection locked="0"/>
    </xf>
    <xf numFmtId="0" fontId="2" fillId="0" borderId="0"/>
    <xf numFmtId="0" fontId="38" fillId="0" borderId="0">
      <alignment vertical="top"/>
    </xf>
    <xf numFmtId="0" fontId="47" fillId="0" borderId="0"/>
    <xf numFmtId="0" fontId="47" fillId="0" borderId="0"/>
    <xf numFmtId="0" fontId="47" fillId="0" borderId="0"/>
    <xf numFmtId="0" fontId="39" fillId="0" borderId="0"/>
    <xf numFmtId="9" fontId="2" fillId="0" borderId="0" applyFont="0" applyFill="0" applyBorder="0" applyAlignment="0" applyProtection="0"/>
    <xf numFmtId="9" fontId="39" fillId="0" borderId="0" applyFont="0" applyFill="0" applyBorder="0" applyAlignment="0" applyProtection="0"/>
    <xf numFmtId="44" fontId="49" fillId="0" borderId="4">
      <alignment horizontal="centerContinuous"/>
    </xf>
    <xf numFmtId="3" fontId="33" fillId="0" borderId="4" applyNumberFormat="0" applyFill="0" applyProtection="0"/>
    <xf numFmtId="3" fontId="52" fillId="0" borderId="16"/>
    <xf numFmtId="9" fontId="53" fillId="0" borderId="4" applyNumberFormat="0" applyFont="0" applyBorder="0" applyAlignment="0"/>
    <xf numFmtId="44" fontId="2" fillId="0" borderId="0" applyFill="0" applyBorder="0" applyAlignment="0" applyProtection="0"/>
    <xf numFmtId="0" fontId="2" fillId="0" borderId="0"/>
    <xf numFmtId="44" fontId="2" fillId="0" borderId="0" applyFill="0" applyBorder="0" applyAlignment="0" applyProtection="0"/>
    <xf numFmtId="0" fontId="30" fillId="0" borderId="0"/>
    <xf numFmtId="0" fontId="30" fillId="0" borderId="0"/>
    <xf numFmtId="0" fontId="2" fillId="0" borderId="0"/>
    <xf numFmtId="0" fontId="1" fillId="0" borderId="0"/>
    <xf numFmtId="43" fontId="1" fillId="0" borderId="0" applyFont="0" applyFill="0" applyBorder="0" applyAlignment="0" applyProtection="0"/>
    <xf numFmtId="8" fontId="56" fillId="0" borderId="0" applyFont="0" applyFill="0" applyBorder="0" applyAlignment="0" applyProtection="0"/>
    <xf numFmtId="37" fontId="2" fillId="0" borderId="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30" fillId="0" borderId="0"/>
    <xf numFmtId="9" fontId="2" fillId="0" borderId="0" applyFont="0" applyFill="0" applyBorder="0" applyAlignment="0" applyProtection="0"/>
    <xf numFmtId="0" fontId="1" fillId="0" borderId="0"/>
    <xf numFmtId="9" fontId="59" fillId="0" borderId="0" applyFont="0" applyFill="0" applyBorder="0" applyAlignment="0" applyProtection="0"/>
    <xf numFmtId="43" fontId="59" fillId="0" borderId="0" applyFont="0" applyFill="0" applyBorder="0" applyAlignment="0" applyProtection="0"/>
    <xf numFmtId="0" fontId="1" fillId="0" borderId="0"/>
    <xf numFmtId="0" fontId="2" fillId="0" borderId="0"/>
    <xf numFmtId="0" fontId="62" fillId="0" borderId="91" applyNumberFormat="0" applyFill="0" applyAlignment="0" applyProtection="0"/>
    <xf numFmtId="0" fontId="62" fillId="0" borderId="91" applyNumberFormat="0" applyFill="0" applyAlignment="0" applyProtection="0"/>
    <xf numFmtId="0" fontId="46" fillId="0" borderId="4"/>
    <xf numFmtId="0" fontId="46" fillId="0" borderId="2" applyNumberFormat="0" applyFill="0" applyAlignment="0"/>
    <xf numFmtId="37" fontId="94" fillId="8" borderId="92" applyBorder="0" applyProtection="0">
      <alignment vertical="center"/>
    </xf>
    <xf numFmtId="0" fontId="34" fillId="0" borderId="26" applyNumberFormat="0" applyFill="0" applyAlignment="0" applyProtection="0"/>
    <xf numFmtId="0" fontId="66" fillId="32" borderId="95" applyNumberFormat="0" applyAlignment="0" applyProtection="0"/>
    <xf numFmtId="0" fontId="66" fillId="32" borderId="95" applyNumberFormat="0" applyAlignment="0" applyProtection="0"/>
    <xf numFmtId="0" fontId="157" fillId="42" borderId="95" applyNumberFormat="0" applyAlignment="0" applyProtection="0"/>
    <xf numFmtId="0" fontId="157" fillId="42" borderId="95" applyNumberFormat="0" applyAlignment="0" applyProtection="0"/>
    <xf numFmtId="0" fontId="34" fillId="0" borderId="26" applyNumberFormat="0" applyFont="0" applyFill="0" applyProtection="0">
      <alignment horizontal="centerContinuous" vertical="center"/>
    </xf>
    <xf numFmtId="0" fontId="159" fillId="0" borderId="26" applyNumberFormat="0" applyFill="0" applyBorder="0" applyProtection="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273"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243" fontId="2" fillId="0" borderId="0" applyFont="0" applyFill="0" applyBorder="0" applyAlignment="0" applyProtection="0">
      <alignment horizontal="right"/>
    </xf>
    <xf numFmtId="243" fontId="2" fillId="0" borderId="0" applyFont="0" applyFill="0" applyBorder="0" applyAlignment="0" applyProtection="0">
      <alignment horizontal="right"/>
    </xf>
    <xf numFmtId="243" fontId="2" fillId="0" borderId="0" applyFont="0" applyFill="0" applyBorder="0" applyAlignment="0" applyProtection="0">
      <alignment horizontal="right"/>
    </xf>
    <xf numFmtId="44" fontId="2" fillId="0" borderId="0" applyFont="0" applyFill="0" applyBorder="0" applyAlignment="0" applyProtection="0"/>
    <xf numFmtId="273" fontId="2" fillId="0" borderId="0" applyFont="0" applyFill="0" applyBorder="0" applyAlignment="0" applyProtection="0"/>
    <xf numFmtId="37" fontId="57" fillId="0" borderId="91"/>
    <xf numFmtId="0" fontId="108" fillId="0" borderId="26" applyNumberFormat="0" applyFont="0" applyAlignment="0" applyProtection="0">
      <protection locked="0"/>
    </xf>
    <xf numFmtId="167" fontId="177" fillId="8" borderId="9">
      <alignment horizontal="right" vertical="center"/>
    </xf>
    <xf numFmtId="186" fontId="171" fillId="8" borderId="26">
      <alignment horizontal="right" vertical="center"/>
    </xf>
    <xf numFmtId="182" fontId="171" fillId="8" borderId="26">
      <alignment horizontal="right" vertical="center"/>
    </xf>
    <xf numFmtId="170" fontId="172" fillId="8" borderId="26" applyBorder="0">
      <alignment horizontal="left" vertical="center"/>
    </xf>
    <xf numFmtId="170" fontId="131" fillId="8" borderId="9">
      <alignment vertical="center"/>
    </xf>
    <xf numFmtId="0" fontId="118" fillId="0" borderId="0">
      <alignment horizontal="center"/>
    </xf>
    <xf numFmtId="0" fontId="119" fillId="0" borderId="0">
      <alignment horizontal="center"/>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0" fontId="73" fillId="19" borderId="95" applyNumberFormat="0" applyAlignment="0" applyProtection="0"/>
    <xf numFmtId="0" fontId="73" fillId="19" borderId="95" applyNumberFormat="0" applyAlignment="0" applyProtection="0"/>
    <xf numFmtId="0" fontId="73" fillId="34" borderId="95" applyNumberFormat="0" applyAlignment="0" applyProtection="0"/>
    <xf numFmtId="0" fontId="73" fillId="34" borderId="95" applyNumberFormat="0" applyAlignment="0" applyProtection="0"/>
    <xf numFmtId="5" fontId="22" fillId="10" borderId="87" applyNumberFormat="0">
      <alignment horizontal="left" vertical="center"/>
      <protection locked="0"/>
    </xf>
    <xf numFmtId="38" fontId="88" fillId="1" borderId="26"/>
    <xf numFmtId="9" fontId="2" fillId="0" borderId="0" applyFont="0" applyFill="0" applyBorder="0" applyAlignment="0" applyProtection="0"/>
    <xf numFmtId="0" fontId="73" fillId="19" borderId="33" applyNumberFormat="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59"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59" fillId="0" borderId="0"/>
    <xf numFmtId="0" fontId="59" fillId="0" borderId="0"/>
    <xf numFmtId="0" fontId="30" fillId="35" borderId="96" applyNumberFormat="0" applyFont="0" applyAlignment="0" applyProtection="0"/>
    <xf numFmtId="0" fontId="2" fillId="35" borderId="96" applyNumberFormat="0" applyFont="0" applyAlignment="0" applyProtection="0"/>
    <xf numFmtId="0" fontId="2" fillId="35" borderId="96" applyNumberFormat="0" applyFont="0" applyAlignment="0" applyProtection="0"/>
    <xf numFmtId="0" fontId="2" fillId="35" borderId="96" applyNumberFormat="0" applyFont="0" applyAlignment="0" applyProtection="0"/>
    <xf numFmtId="0" fontId="2" fillId="35" borderId="96" applyNumberFormat="0" applyFont="0" applyAlignment="0" applyProtection="0"/>
    <xf numFmtId="0" fontId="2" fillId="35" borderId="96" applyNumberFormat="0" applyFont="0" applyAlignment="0" applyProtection="0"/>
    <xf numFmtId="0" fontId="2" fillId="35" borderId="96" applyNumberFormat="0" applyFont="0" applyAlignment="0" applyProtection="0"/>
    <xf numFmtId="38" fontId="201" fillId="8" borderId="100">
      <alignment horizontal="right" vertical="center"/>
      <protection hidden="1"/>
    </xf>
    <xf numFmtId="0" fontId="202" fillId="38" borderId="100">
      <alignment horizontal="left" vertical="center"/>
      <protection hidden="1"/>
    </xf>
    <xf numFmtId="0" fontId="202" fillId="38" borderId="100">
      <alignment horizontal="center" vertical="center" wrapText="1"/>
      <protection hidden="1"/>
    </xf>
    <xf numFmtId="0" fontId="78" fillId="0" borderId="99" applyNumberFormat="0" applyFill="0" applyAlignment="0" applyProtection="0"/>
    <xf numFmtId="9" fontId="89" fillId="0" borderId="0" applyFont="0" applyFill="0" applyBorder="0" applyAlignment="0" applyProtection="0"/>
    <xf numFmtId="9" fontId="89" fillId="0" borderId="0" applyFont="0" applyFill="0" applyBorder="0" applyAlignment="0" applyProtection="0"/>
    <xf numFmtId="9" fontId="59" fillId="0" borderId="0" applyFont="0" applyFill="0" applyBorder="0" applyAlignment="0" applyProtection="0"/>
    <xf numFmtId="3" fontId="50" fillId="0" borderId="26"/>
    <xf numFmtId="0" fontId="213" fillId="1" borderId="16" applyNumberFormat="0" applyFont="0" applyAlignment="0">
      <alignment horizontal="center"/>
    </xf>
    <xf numFmtId="0" fontId="66" fillId="32" borderId="33" applyNumberFormat="0" applyAlignment="0" applyProtection="0"/>
    <xf numFmtId="0" fontId="66" fillId="42" borderId="33" applyNumberFormat="0" applyAlignment="0" applyProtection="0"/>
    <xf numFmtId="38" fontId="89" fillId="0" borderId="9"/>
    <xf numFmtId="0" fontId="219" fillId="0" borderId="26" applyBorder="0" applyProtection="0">
      <alignment horizontal="right" vertical="center"/>
    </xf>
    <xf numFmtId="0" fontId="220" fillId="47" borderId="26" applyBorder="0" applyProtection="0">
      <alignment horizontal="centerContinuous" vertical="center"/>
    </xf>
    <xf numFmtId="0" fontId="221" fillId="0" borderId="90"/>
    <xf numFmtId="9" fontId="2" fillId="0" borderId="0" applyFont="0" applyFill="0" applyBorder="0" applyAlignment="0" applyProtection="0"/>
    <xf numFmtId="196" fontId="225" fillId="0" borderId="90">
      <alignment horizontal="centerContinuous"/>
    </xf>
    <xf numFmtId="9" fontId="2" fillId="0" borderId="0" applyFont="0" applyFill="0" applyBorder="0" applyAlignment="0" applyProtection="0"/>
    <xf numFmtId="0" fontId="57" fillId="0" borderId="91"/>
    <xf numFmtId="0" fontId="137" fillId="0" borderId="0">
      <alignment horizontal="center"/>
    </xf>
    <xf numFmtId="0" fontId="73" fillId="19" borderId="33" applyNumberFormat="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3" fillId="19" borderId="95" applyNumberFormat="0" applyAlignment="0" applyProtection="0"/>
    <xf numFmtId="0" fontId="73" fillId="19" borderId="95" applyNumberFormat="0" applyAlignment="0" applyProtection="0"/>
    <xf numFmtId="0" fontId="73" fillId="19" borderId="95" applyNumberFormat="0" applyAlignment="0" applyProtection="0"/>
    <xf numFmtId="0" fontId="73" fillId="19" borderId="95" applyNumberFormat="0" applyAlignment="0" applyProtection="0"/>
    <xf numFmtId="0" fontId="2" fillId="0" borderId="0"/>
    <xf numFmtId="0" fontId="2" fillId="0" borderId="0"/>
    <xf numFmtId="0" fontId="2" fillId="0" borderId="0"/>
    <xf numFmtId="0" fontId="1" fillId="0" borderId="0"/>
    <xf numFmtId="43" fontId="38" fillId="0" borderId="0" applyFont="0" applyFill="0" applyBorder="0" applyAlignment="0" applyProtection="0"/>
    <xf numFmtId="4" fontId="39" fillId="0" borderId="0" applyFont="0" applyFill="0" applyBorder="0" applyAlignment="0" applyProtection="0"/>
    <xf numFmtId="0" fontId="33" fillId="0" borderId="16">
      <alignment horizontal="left" vertical="center"/>
    </xf>
    <xf numFmtId="0" fontId="47" fillId="0" borderId="0"/>
    <xf numFmtId="0" fontId="47" fillId="0" borderId="0"/>
    <xf numFmtId="3" fontId="52" fillId="0" borderId="16"/>
    <xf numFmtId="44" fontId="2" fillId="0" borderId="0" applyFill="0" applyBorder="0" applyAlignment="0" applyProtection="0"/>
    <xf numFmtId="0" fontId="1" fillId="0" borderId="0"/>
    <xf numFmtId="43" fontId="1" fillId="0" borderId="0" applyFont="0" applyFill="0" applyBorder="0" applyAlignment="0" applyProtection="0"/>
    <xf numFmtId="8" fontId="56"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59" fillId="0" borderId="0" applyFont="0" applyFill="0" applyBorder="0" applyAlignment="0" applyProtection="0"/>
    <xf numFmtId="3" fontId="52" fillId="0" borderId="16"/>
    <xf numFmtId="5" fontId="22" fillId="10" borderId="87" applyNumberFormat="0">
      <alignment horizontal="left" vertical="center"/>
      <protection locked="0"/>
    </xf>
    <xf numFmtId="0" fontId="33" fillId="0" borderId="16">
      <alignment horizontal="left" vertical="center"/>
    </xf>
    <xf numFmtId="3" fontId="30" fillId="0" borderId="9"/>
    <xf numFmtId="3" fontId="52" fillId="0" borderId="16"/>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5" fontId="22" fillId="10" borderId="87" applyNumberFormat="0">
      <alignment horizontal="left" vertical="center"/>
      <protection locked="0"/>
    </xf>
    <xf numFmtId="0" fontId="33" fillId="0" borderId="16">
      <alignment horizontal="left" vertical="center"/>
    </xf>
    <xf numFmtId="0" fontId="1" fillId="0" borderId="0"/>
    <xf numFmtId="0" fontId="1" fillId="0" borderId="0"/>
    <xf numFmtId="0" fontId="1" fillId="0" borderId="0"/>
    <xf numFmtId="44" fontId="49" fillId="0" borderId="4">
      <alignment horizontal="centerContinuous"/>
    </xf>
    <xf numFmtId="3" fontId="33" fillId="0" borderId="4" applyNumberFormat="0" applyFill="0" applyProtection="0"/>
    <xf numFmtId="9" fontId="53" fillId="0" borderId="4" applyNumberFormat="0" applyFont="0" applyBorder="0" applyAlignment="0"/>
    <xf numFmtId="0" fontId="30" fillId="0" borderId="0"/>
    <xf numFmtId="0" fontId="137" fillId="0" borderId="0">
      <alignment horizontal="center"/>
    </xf>
    <xf numFmtId="0" fontId="131" fillId="0" borderId="2" applyNumberFormat="0" applyFont="0" applyFill="0" applyAlignment="0" applyProtection="0"/>
    <xf numFmtId="0" fontId="116" fillId="48" borderId="2" applyNumberFormat="0">
      <alignment horizontal="left" vertical="top" indent="1"/>
    </xf>
    <xf numFmtId="0" fontId="116" fillId="0" borderId="2" applyNumberFormat="0" applyFill="0">
      <alignment horizontal="centerContinuous" vertical="top"/>
    </xf>
    <xf numFmtId="0" fontId="137" fillId="0" borderId="0">
      <alignment horizontal="center"/>
    </xf>
    <xf numFmtId="0" fontId="51" fillId="0" borderId="2">
      <alignment horizontal="center"/>
    </xf>
    <xf numFmtId="0" fontId="137" fillId="0" borderId="0">
      <alignment horizontal="center"/>
    </xf>
    <xf numFmtId="0" fontId="30" fillId="0" borderId="0"/>
    <xf numFmtId="0" fontId="78" fillId="0" borderId="99" applyNumberFormat="0" applyFill="0" applyAlignment="0" applyProtection="0"/>
    <xf numFmtId="0" fontId="73" fillId="19" borderId="33" applyNumberFormat="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0" fontId="78" fillId="0" borderId="99" applyNumberFormat="0" applyFill="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3" fontId="30" fillId="0" borderId="85"/>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34" fillId="0" borderId="26" applyNumberFormat="0" applyFill="0" applyAlignment="0" applyProtection="0"/>
    <xf numFmtId="0" fontId="34" fillId="0" borderId="26" applyNumberFormat="0" applyFont="0" applyFill="0" applyProtection="0">
      <alignment horizontal="centerContinuous" vertical="center"/>
    </xf>
    <xf numFmtId="0" fontId="159" fillId="0" borderId="26" applyNumberFormat="0" applyFill="0" applyBorder="0" applyProtection="0">
      <alignment horizontal="right" vertical="center"/>
    </xf>
    <xf numFmtId="0" fontId="108" fillId="0" borderId="26" applyNumberFormat="0" applyFont="0" applyAlignment="0" applyProtection="0">
      <protection locked="0"/>
    </xf>
    <xf numFmtId="167" fontId="177" fillId="8" borderId="85">
      <alignment horizontal="right" vertical="center"/>
    </xf>
    <xf numFmtId="186" fontId="171" fillId="8" borderId="26">
      <alignment horizontal="right" vertical="center"/>
    </xf>
    <xf numFmtId="182" fontId="171" fillId="8" borderId="26">
      <alignment horizontal="right" vertical="center"/>
    </xf>
    <xf numFmtId="170" fontId="172" fillId="8" borderId="26" applyBorder="0">
      <alignment horizontal="left" vertical="center"/>
    </xf>
    <xf numFmtId="170" fontId="131" fillId="8" borderId="85">
      <alignment vertical="center"/>
    </xf>
    <xf numFmtId="38" fontId="88" fillId="1" borderId="26"/>
    <xf numFmtId="3" fontId="50" fillId="0" borderId="26"/>
    <xf numFmtId="38" fontId="89" fillId="0" borderId="85"/>
    <xf numFmtId="0" fontId="219" fillId="0" borderId="26" applyBorder="0" applyProtection="0">
      <alignment horizontal="right" vertical="center"/>
    </xf>
    <xf numFmtId="0" fontId="220" fillId="47" borderId="26" applyBorder="0" applyProtection="0">
      <alignment horizontal="centerContinuous" vertical="center"/>
    </xf>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5" fontId="22" fillId="10" borderId="87" applyNumberFormat="0">
      <alignment horizontal="left" vertical="center"/>
      <protection locked="0"/>
    </xf>
    <xf numFmtId="3" fontId="30" fillId="0" borderId="85"/>
    <xf numFmtId="3" fontId="30" fillId="0" borderId="85"/>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5" fontId="22" fillId="10" borderId="87" applyNumberFormat="0">
      <alignment horizontal="left" vertical="center"/>
      <protection locked="0"/>
    </xf>
    <xf numFmtId="0" fontId="1" fillId="0" borderId="0"/>
    <xf numFmtId="0" fontId="1" fillId="0" borderId="0"/>
    <xf numFmtId="0" fontId="1"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73" fillId="19" borderId="95" applyNumberFormat="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73" fillId="19" borderId="95" applyNumberFormat="0" applyAlignment="0" applyProtection="0"/>
    <xf numFmtId="242" fontId="2" fillId="0" borderId="13" applyFill="0" applyBorder="0" applyAlignment="0" applyProtection="0">
      <alignment horizontal="right"/>
    </xf>
    <xf numFmtId="238" fontId="105" fillId="0" borderId="19" applyBorder="0"/>
    <xf numFmtId="239" fontId="107" fillId="0" borderId="13"/>
    <xf numFmtId="37" fontId="115" fillId="47" borderId="13" applyBorder="0">
      <alignment horizontal="left" vertical="center" indent="1"/>
    </xf>
    <xf numFmtId="252" fontId="125" fillId="0" borderId="19">
      <alignment horizontal="center"/>
    </xf>
    <xf numFmtId="170" fontId="105" fillId="0" borderId="19" applyBorder="0"/>
    <xf numFmtId="0" fontId="31" fillId="6" borderId="19" applyNumberFormat="0" applyFont="0" applyBorder="0" applyAlignment="0" applyProtection="0">
      <alignment horizontal="center"/>
    </xf>
    <xf numFmtId="0" fontId="31" fillId="13" borderId="19" applyNumberFormat="0" applyFont="0" applyBorder="0" applyAlignment="0" applyProtection="0">
      <alignment horizontal="center"/>
    </xf>
    <xf numFmtId="0" fontId="184" fillId="0" borderId="13" applyFill="0" applyBorder="0" applyProtection="0">
      <alignment horizontal="left" vertical="top"/>
    </xf>
    <xf numFmtId="9" fontId="2" fillId="0" borderId="0" applyFont="0" applyFill="0" applyBorder="0" applyAlignment="0" applyProtection="0"/>
    <xf numFmtId="0" fontId="73" fillId="19" borderId="95" applyNumberFormat="0" applyAlignment="0" applyProtection="0"/>
    <xf numFmtId="43" fontId="2" fillId="0" borderId="0" applyFont="0" applyFill="0" applyBorder="0" applyAlignment="0" applyProtection="0"/>
    <xf numFmtId="270" fontId="125" fillId="0" borderId="19"/>
    <xf numFmtId="196" fontId="2" fillId="0" borderId="19">
      <alignment horizontal="center"/>
    </xf>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3" fontId="30" fillId="0" borderId="85"/>
    <xf numFmtId="3" fontId="50" fillId="0" borderId="26"/>
    <xf numFmtId="3" fontId="30" fillId="0" borderId="85"/>
    <xf numFmtId="0" fontId="1" fillId="0" borderId="0"/>
    <xf numFmtId="43" fontId="1" fillId="0" borderId="0" applyFont="0" applyFill="0" applyBorder="0" applyAlignment="0" applyProtection="0"/>
    <xf numFmtId="0" fontId="34" fillId="0" borderId="26" applyNumberFormat="0" applyFill="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57" fillId="0" borderId="91"/>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0" fillId="0" borderId="0"/>
    <xf numFmtId="0" fontId="66" fillId="32" borderId="33" applyNumberFormat="0" applyAlignment="0" applyProtection="0"/>
    <xf numFmtId="0" fontId="73" fillId="19" borderId="33" applyNumberFormat="0" applyAlignment="0" applyProtection="0"/>
    <xf numFmtId="0" fontId="30" fillId="35" borderId="39" applyNumberFormat="0" applyFont="0" applyAlignment="0" applyProtection="0"/>
    <xf numFmtId="0" fontId="66" fillId="42" borderId="33" applyNumberFormat="0" applyAlignment="0" applyProtection="0"/>
    <xf numFmtId="0" fontId="189" fillId="0" borderId="98" applyNumberFormat="0" applyFill="0" applyAlignment="0" applyProtection="0"/>
    <xf numFmtId="0" fontId="72" fillId="0" borderId="37" applyNumberFormat="0" applyFill="0" applyAlignment="0" applyProtection="0"/>
    <xf numFmtId="0" fontId="73" fillId="19" borderId="33" applyNumberFormat="0" applyAlignment="0" applyProtection="0"/>
    <xf numFmtId="0" fontId="30" fillId="35" borderId="39" applyNumberFormat="0" applyFont="0" applyAlignment="0" applyProtection="0"/>
    <xf numFmtId="0" fontId="238" fillId="35" borderId="39" applyNumberFormat="0" applyFont="0" applyAlignment="0" applyProtection="0"/>
    <xf numFmtId="0" fontId="78" fillId="0" borderId="99" applyNumberFormat="0" applyFill="0" applyAlignment="0" applyProtection="0"/>
    <xf numFmtId="0" fontId="33" fillId="0" borderId="16">
      <alignment horizontal="left" vertical="center"/>
    </xf>
    <xf numFmtId="5" fontId="22" fillId="10" borderId="32" applyNumberFormat="0">
      <alignment horizontal="left" vertical="center"/>
      <protection locked="0"/>
    </xf>
    <xf numFmtId="3" fontId="52" fillId="0" borderId="16"/>
    <xf numFmtId="0" fontId="62" fillId="0" borderId="91" applyNumberFormat="0" applyFill="0" applyAlignment="0" applyProtection="0"/>
    <xf numFmtId="0" fontId="62" fillId="0" borderId="91" applyNumberFormat="0" applyFill="0" applyAlignment="0" applyProtection="0"/>
    <xf numFmtId="37" fontId="94" fillId="8" borderId="17" applyBorder="0" applyProtection="0">
      <alignment vertical="center"/>
    </xf>
    <xf numFmtId="0" fontId="66" fillId="32" borderId="33" applyNumberFormat="0" applyAlignment="0" applyProtection="0"/>
    <xf numFmtId="0" fontId="66" fillId="32" borderId="33" applyNumberFormat="0" applyAlignment="0" applyProtection="0"/>
    <xf numFmtId="0" fontId="157" fillId="42" borderId="33" applyNumberFormat="0" applyAlignment="0" applyProtection="0"/>
    <xf numFmtId="0" fontId="157" fillId="42" borderId="33" applyNumberFormat="0" applyAlignment="0" applyProtection="0"/>
    <xf numFmtId="37" fontId="57" fillId="0" borderId="91"/>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37" fontId="120" fillId="0" borderId="16" applyNumberFormat="0" applyFont="0" applyFill="0" applyBorder="0">
      <alignment horizontal="centerContinuous"/>
    </xf>
    <xf numFmtId="0" fontId="73" fillId="19" borderId="33" applyNumberFormat="0" applyAlignment="0" applyProtection="0"/>
    <xf numFmtId="0" fontId="73" fillId="19" borderId="33" applyNumberFormat="0" applyAlignment="0" applyProtection="0"/>
    <xf numFmtId="0" fontId="73" fillId="34" borderId="33" applyNumberFormat="0" applyAlignment="0" applyProtection="0"/>
    <xf numFmtId="0" fontId="73" fillId="34" borderId="33" applyNumberFormat="0" applyAlignment="0" applyProtection="0"/>
    <xf numFmtId="5" fontId="22" fillId="10" borderId="32" applyNumberFormat="0">
      <alignment horizontal="left" vertical="center"/>
      <protection locked="0"/>
    </xf>
    <xf numFmtId="0" fontId="30"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0" fontId="2" fillId="35" borderId="39" applyNumberFormat="0" applyFont="0" applyAlignment="0" applyProtection="0"/>
    <xf numFmtId="38" fontId="201" fillId="8" borderId="73">
      <alignment horizontal="right" vertical="center"/>
      <protection hidden="1"/>
    </xf>
    <xf numFmtId="0" fontId="202" fillId="38" borderId="73">
      <alignment horizontal="left" vertical="center"/>
      <protection hidden="1"/>
    </xf>
    <xf numFmtId="0" fontId="202" fillId="38" borderId="73">
      <alignment horizontal="center" vertical="center" wrapText="1"/>
      <protection hidden="1"/>
    </xf>
    <xf numFmtId="0" fontId="78" fillId="0" borderId="99" applyNumberFormat="0" applyFill="0" applyAlignment="0" applyProtection="0"/>
    <xf numFmtId="0" fontId="213" fillId="1" borderId="16" applyNumberFormat="0" applyFont="0" applyAlignment="0">
      <alignment horizontal="center"/>
    </xf>
    <xf numFmtId="0" fontId="221" fillId="0" borderId="90"/>
    <xf numFmtId="196" fontId="225" fillId="0" borderId="90">
      <alignment horizontal="centerContinuous"/>
    </xf>
    <xf numFmtId="0" fontId="57" fillId="0" borderId="91"/>
    <xf numFmtId="0" fontId="73" fillId="19" borderId="33" applyNumberFormat="0" applyAlignment="0" applyProtection="0"/>
    <xf numFmtId="0" fontId="73" fillId="19" borderId="33" applyNumberFormat="0" applyAlignment="0" applyProtection="0"/>
    <xf numFmtId="0" fontId="73" fillId="19" borderId="33" applyNumberFormat="0" applyAlignment="0" applyProtection="0"/>
    <xf numFmtId="0" fontId="73" fillId="19" borderId="33" applyNumberFormat="0" applyAlignment="0" applyProtection="0"/>
    <xf numFmtId="0" fontId="33" fillId="0" borderId="16">
      <alignment horizontal="left" vertical="center"/>
    </xf>
    <xf numFmtId="3" fontId="52" fillId="0" borderId="16"/>
    <xf numFmtId="3" fontId="52" fillId="0" borderId="16"/>
    <xf numFmtId="5" fontId="22" fillId="10" borderId="32" applyNumberFormat="0">
      <alignment horizontal="left" vertical="center"/>
      <protection locked="0"/>
    </xf>
    <xf numFmtId="0" fontId="33" fillId="0" borderId="16">
      <alignment horizontal="left" vertical="center"/>
    </xf>
    <xf numFmtId="3" fontId="52" fillId="0" borderId="16"/>
    <xf numFmtId="5" fontId="22" fillId="10" borderId="32" applyNumberFormat="0">
      <alignment horizontal="left" vertical="center"/>
      <protection locked="0"/>
    </xf>
    <xf numFmtId="0" fontId="33" fillId="0" borderId="16">
      <alignment horizontal="left" vertical="center"/>
    </xf>
    <xf numFmtId="0" fontId="78" fillId="0" borderId="99" applyNumberFormat="0" applyFill="0" applyAlignment="0" applyProtection="0"/>
    <xf numFmtId="0" fontId="78" fillId="0" borderId="99" applyNumberFormat="0" applyFill="0" applyAlignment="0" applyProtection="0"/>
    <xf numFmtId="3" fontId="30" fillId="0" borderId="9"/>
    <xf numFmtId="167" fontId="177" fillId="8" borderId="9">
      <alignment horizontal="right" vertical="center"/>
    </xf>
    <xf numFmtId="170" fontId="131" fillId="8" borderId="9">
      <alignment vertical="center"/>
    </xf>
    <xf numFmtId="38" fontId="89" fillId="0" borderId="9"/>
    <xf numFmtId="5" fontId="22" fillId="10" borderId="32" applyNumberFormat="0">
      <alignment horizontal="left" vertical="center"/>
      <protection locked="0"/>
    </xf>
    <xf numFmtId="3" fontId="30" fillId="0" borderId="9"/>
    <xf numFmtId="3" fontId="30" fillId="0" borderId="9"/>
    <xf numFmtId="5" fontId="22" fillId="10" borderId="32" applyNumberFormat="0">
      <alignment horizontal="left" vertical="center"/>
      <protection locked="0"/>
    </xf>
    <xf numFmtId="0" fontId="73" fillId="19" borderId="33" applyNumberFormat="0" applyAlignment="0" applyProtection="0"/>
    <xf numFmtId="0" fontId="73" fillId="19" borderId="33" applyNumberFormat="0" applyAlignment="0" applyProtection="0"/>
    <xf numFmtId="0" fontId="73" fillId="19" borderId="33" applyNumberFormat="0" applyAlignment="0" applyProtection="0"/>
    <xf numFmtId="3" fontId="30" fillId="0" borderId="9"/>
    <xf numFmtId="3" fontId="30" fillId="0" borderId="9"/>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2" fillId="0" borderId="0"/>
    <xf numFmtId="0" fontId="242" fillId="0" borderId="0"/>
    <xf numFmtId="0" fontId="242" fillId="0" borderId="0" applyFont="0" applyFill="0" applyBorder="0" applyAlignment="0" applyProtection="0"/>
    <xf numFmtId="0" fontId="24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78" fontId="156" fillId="0" borderId="0" applyFont="0" applyFill="0" applyBorder="0" applyAlignment="0" applyProtection="0"/>
    <xf numFmtId="278" fontId="156" fillId="0" borderId="0" applyFont="0" applyFill="0" applyBorder="0" applyAlignment="0" applyProtection="0"/>
    <xf numFmtId="0" fontId="81" fillId="43" borderId="0" applyNumberFormat="0" applyFont="0" applyBorder="0" applyAlignment="0"/>
    <xf numFmtId="0" fontId="81" fillId="43" borderId="0" applyNumberFormat="0" applyFont="0" applyBorder="0" applyAlignment="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2"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6" fontId="39"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5" fontId="2" fillId="0" borderId="0" applyFont="0" applyFill="0" applyBorder="0" applyAlignment="0" applyProtection="0"/>
    <xf numFmtId="0" fontId="2" fillId="0" borderId="0" applyFont="0" applyFill="0" applyBorder="0" applyAlignment="0" applyProtection="0"/>
    <xf numFmtId="0" fontId="244" fillId="0" borderId="0" applyFont="0" applyFill="0" applyBorder="0" applyAlignment="0" applyProtection="0"/>
    <xf numFmtId="0" fontId="2"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0" fontId="2"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0" fontId="2" fillId="0" borderId="0" applyFont="0" applyFill="0" applyBorder="0" applyAlignment="0" applyProtection="0"/>
    <xf numFmtId="0" fontId="244" fillId="0" borderId="0" applyFont="0" applyFill="0" applyBorder="0" applyAlignment="0" applyProtection="0"/>
    <xf numFmtId="0" fontId="244" fillId="0" borderId="0" applyFont="0" applyFill="0" applyBorder="0" applyAlignment="0" applyProtection="0"/>
    <xf numFmtId="0" fontId="2" fillId="0" borderId="0" applyFont="0" applyFill="0" applyBorder="0" applyAlignment="0" applyProtection="0"/>
    <xf numFmtId="0" fontId="24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2" fontId="169" fillId="0" borderId="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45" fillId="0" borderId="0" applyNumberFormat="0" applyFill="0" applyBorder="0" applyAlignment="0" applyProtection="0"/>
    <xf numFmtId="279" fontId="246" fillId="0" borderId="0">
      <protection locked="0"/>
    </xf>
    <xf numFmtId="279" fontId="246" fillId="0" borderId="0">
      <protection locked="0"/>
    </xf>
    <xf numFmtId="0" fontId="247" fillId="0" borderId="104" applyNumberFormat="0" applyFill="0" applyAlignment="0" applyProtection="0"/>
    <xf numFmtId="0" fontId="57" fillId="0" borderId="25">
      <alignment vertical="center"/>
    </xf>
    <xf numFmtId="0" fontId="57" fillId="0" borderId="25">
      <alignment vertical="center"/>
    </xf>
    <xf numFmtId="37" fontId="248" fillId="0" borderId="0" applyBorder="0">
      <alignment vertical="center"/>
    </xf>
    <xf numFmtId="0" fontId="249" fillId="0" borderId="0" applyNumberFormat="0" applyFill="0" applyBorder="0" applyAlignment="0" applyProtection="0">
      <alignment vertical="top"/>
      <protection locked="0"/>
    </xf>
    <xf numFmtId="0" fontId="250" fillId="0" borderId="0" applyNumberFormat="0" applyFill="0" applyBorder="0" applyAlignment="0" applyProtection="0"/>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1" fontId="88" fillId="65" borderId="88">
      <alignment horizontal="center"/>
    </xf>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0" fontId="81" fillId="63" borderId="0" applyNumberFormat="0" applyFont="0" applyBorder="0" applyAlignment="0"/>
    <xf numFmtId="37" fontId="251" fillId="0" borderId="0" applyFill="0" applyBorder="0" applyProtection="0">
      <alignment vertical="center"/>
    </xf>
    <xf numFmtId="0" fontId="252" fillId="0" borderId="0"/>
    <xf numFmtId="0" fontId="2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252" fillId="0" borderId="0"/>
    <xf numFmtId="0" fontId="25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53" fillId="0" borderId="0"/>
    <xf numFmtId="0" fontId="2" fillId="0" borderId="0"/>
    <xf numFmtId="0" fontId="253"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59" fillId="0" borderId="0"/>
    <xf numFmtId="0" fontId="8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2" fillId="0" borderId="0"/>
    <xf numFmtId="0" fontId="56" fillId="0" borderId="0"/>
    <xf numFmtId="0" fontId="2" fillId="0" borderId="0"/>
    <xf numFmtId="0" fontId="56" fillId="0" borderId="0"/>
    <xf numFmtId="0" fontId="2" fillId="0" borderId="0"/>
    <xf numFmtId="0" fontId="1"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56"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alignment vertical="top"/>
    </xf>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14" fontId="89" fillId="66" borderId="102" applyNumberFormat="0" applyFont="0" applyBorder="0" applyAlignment="0" applyProtection="0"/>
    <xf numFmtId="42" fontId="156" fillId="0" borderId="0" applyFill="0" applyBorder="0" applyAlignment="0" applyProtection="0"/>
    <xf numFmtId="0" fontId="2" fillId="0" borderId="0"/>
    <xf numFmtId="0" fontId="2" fillId="0" borderId="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0" fontId="254" fillId="0" borderId="0" applyNumberFormat="0" applyFill="0" applyBorder="0" applyAlignment="0"/>
    <xf numFmtId="37" fontId="31" fillId="68" borderId="0" applyNumberFormat="0" applyBorder="0" applyAlignment="0" applyProtection="0"/>
    <xf numFmtId="37" fontId="31" fillId="0" borderId="0"/>
    <xf numFmtId="3" fontId="255" fillId="0" borderId="104" applyProtection="0"/>
    <xf numFmtId="280" fontId="156" fillId="0" borderId="0" applyFont="0" applyFill="0" applyBorder="0" applyAlignment="0" applyProtection="0"/>
    <xf numFmtId="280" fontId="1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8" fontId="56" fillId="0" borderId="0" applyFont="0" applyFill="0" applyBorder="0" applyAlignment="0" applyProtection="0"/>
    <xf numFmtId="44" fontId="1" fillId="0" borderId="0" applyFont="0" applyFill="0" applyBorder="0" applyAlignment="0" applyProtection="0"/>
    <xf numFmtId="0" fontId="2" fillId="0" borderId="0"/>
    <xf numFmtId="0" fontId="30" fillId="0" borderId="0"/>
    <xf numFmtId="0" fontId="30" fillId="0" borderId="0"/>
    <xf numFmtId="0" fontId="1" fillId="0" borderId="0"/>
    <xf numFmtId="0" fontId="241" fillId="0" borderId="0"/>
    <xf numFmtId="0" fontId="241" fillId="0" borderId="0"/>
    <xf numFmtId="0" fontId="241" fillId="0" borderId="0"/>
    <xf numFmtId="9" fontId="2"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241" fillId="0" borderId="0" applyFont="0" applyFill="0" applyBorder="0" applyAlignment="0" applyProtection="0"/>
    <xf numFmtId="9" fontId="241" fillId="0" borderId="0" applyFont="0" applyFill="0" applyBorder="0" applyAlignment="0" applyProtection="0"/>
    <xf numFmtId="9" fontId="241" fillId="0" borderId="0" applyFont="0" applyFill="0" applyBorder="0" applyAlignment="0" applyProtection="0"/>
    <xf numFmtId="165" fontId="2" fillId="6" borderId="0" applyFont="0" applyBorder="0" applyProtection="0">
      <alignment horizontal="center"/>
      <protection locked="0"/>
    </xf>
    <xf numFmtId="165" fontId="2" fillId="6" borderId="0" applyFont="0" applyBorder="0" applyProtection="0">
      <alignment horizontal="center"/>
      <protection locked="0"/>
    </xf>
    <xf numFmtId="165" fontId="2" fillId="6" borderId="0">
      <alignment horizontal="center"/>
      <protection locked="0"/>
    </xf>
    <xf numFmtId="41" fontId="37" fillId="0" borderId="0" applyFont="0" applyFill="0" applyBorder="0" applyAlignment="0" applyProtection="0"/>
    <xf numFmtId="170" fontId="256" fillId="0" borderId="0" applyNumberFormat="0" applyFill="0" applyBorder="0" applyAlignment="0" applyProtection="0">
      <alignment horizontal="center"/>
    </xf>
    <xf numFmtId="165" fontId="2" fillId="5" borderId="0" applyBorder="0" applyAlignment="0" applyProtection="0"/>
    <xf numFmtId="165" fontId="2" fillId="5" borderId="0" applyBorder="0" applyAlignment="0" applyProtection="0"/>
    <xf numFmtId="17" fontId="37" fillId="69" borderId="0" applyFont="0" applyFill="0" applyBorder="0" applyAlignment="0" applyProtection="0"/>
    <xf numFmtId="9" fontId="2" fillId="6" borderId="0" applyBorder="0" applyProtection="0">
      <alignment horizontal="right"/>
      <protection locked="0"/>
    </xf>
    <xf numFmtId="0" fontId="257" fillId="70" borderId="92" applyBorder="0"/>
    <xf numFmtId="0" fontId="257" fillId="70" borderId="92" applyBorder="0"/>
    <xf numFmtId="0" fontId="257" fillId="70" borderId="92" applyBorder="0"/>
    <xf numFmtId="3" fontId="2" fillId="10" borderId="0" applyBorder="0" applyProtection="0">
      <alignment horizontal="left"/>
    </xf>
    <xf numFmtId="3" fontId="2" fillId="10" borderId="0" applyBorder="0" applyProtection="0">
      <alignment horizontal="left"/>
    </xf>
    <xf numFmtId="0" fontId="1"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3" fontId="42" fillId="0" borderId="4" applyNumberFormat="0" applyProtection="0"/>
    <xf numFmtId="3" fontId="41" fillId="0" borderId="0">
      <alignment horizontal="left"/>
    </xf>
    <xf numFmtId="183" fontId="44" fillId="38" borderId="0" applyNumberFormat="0" applyBorder="0" applyAlignment="0">
      <protection locked="0"/>
    </xf>
    <xf numFmtId="9" fontId="51" fillId="0" borderId="0" applyNumberFormat="0" applyFill="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83" fontId="44" fillId="38" borderId="0" applyNumberFormat="0" applyBorder="0" applyAlignment="0">
      <protection locked="0"/>
    </xf>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60" fillId="0" borderId="0"/>
    <xf numFmtId="0" fontId="1" fillId="0" borderId="0"/>
    <xf numFmtId="9" fontId="25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57" fillId="70" borderId="17" applyBorder="0"/>
    <xf numFmtId="0" fontId="257" fillId="70" borderId="17" applyBorder="0"/>
    <xf numFmtId="0" fontId="257" fillId="70" borderId="17" applyBorder="0"/>
    <xf numFmtId="43" fontId="2" fillId="0" borderId="0" applyFont="0" applyFill="0" applyBorder="0" applyAlignment="0" applyProtection="0"/>
    <xf numFmtId="44" fontId="2" fillId="0" borderId="0" applyFont="0" applyFill="0" applyBorder="0" applyAlignment="0" applyProtection="0"/>
    <xf numFmtId="0" fontId="257" fillId="70" borderId="17" applyBorder="0"/>
    <xf numFmtId="0" fontId="257" fillId="70" borderId="17" applyBorder="0"/>
    <xf numFmtId="0" fontId="257" fillId="70" borderId="17" applyBorder="0"/>
    <xf numFmtId="43" fontId="2" fillId="0" borderId="0" applyFont="0" applyFill="0" applyBorder="0" applyAlignment="0" applyProtection="0"/>
    <xf numFmtId="43" fontId="2" fillId="0" borderId="0" applyFont="0" applyFill="0" applyBorder="0" applyAlignment="0" applyProtection="0"/>
    <xf numFmtId="0" fontId="30" fillId="0" borderId="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0" fillId="0" borderId="0"/>
    <xf numFmtId="9" fontId="2"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73" fillId="19" borderId="106" applyNumberFormat="0" applyAlignment="0" applyProtection="0"/>
    <xf numFmtId="0" fontId="1" fillId="0" borderId="0"/>
    <xf numFmtId="9" fontId="1" fillId="0" borderId="0" applyFont="0" applyFill="0" applyBorder="0" applyAlignment="0" applyProtection="0"/>
    <xf numFmtId="0" fontId="1" fillId="0" borderId="0"/>
    <xf numFmtId="183" fontId="44" fillId="38" borderId="0" applyNumberFormat="0" applyBorder="0" applyAlignment="0">
      <protection locked="0"/>
    </xf>
    <xf numFmtId="0" fontId="66" fillId="32" borderId="33" applyNumberFormat="0" applyAlignment="0" applyProtection="0"/>
    <xf numFmtId="44" fontId="59" fillId="0" borderId="0" applyFont="0" applyFill="0" applyBorder="0" applyAlignment="0" applyProtection="0"/>
    <xf numFmtId="0" fontId="66" fillId="32" borderId="106" applyNumberFormat="0" applyAlignment="0" applyProtection="0"/>
    <xf numFmtId="0" fontId="70" fillId="0" borderId="35" applyNumberFormat="0" applyFill="0" applyAlignment="0" applyProtection="0"/>
    <xf numFmtId="0" fontId="71" fillId="0" borderId="36" applyNumberFormat="0" applyFill="0" applyAlignment="0" applyProtection="0"/>
    <xf numFmtId="0" fontId="73" fillId="19" borderId="33" applyNumberFormat="0" applyAlignment="0" applyProtection="0"/>
    <xf numFmtId="0" fontId="66" fillId="32" borderId="106" applyNumberFormat="0" applyAlignment="0" applyProtection="0"/>
    <xf numFmtId="0" fontId="30" fillId="35" borderId="39" applyNumberFormat="0" applyFont="0" applyAlignment="0" applyProtection="0"/>
    <xf numFmtId="0" fontId="76" fillId="32" borderId="40" applyNumberFormat="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6" fillId="42" borderId="106" applyNumberFormat="0" applyAlignment="0" applyProtection="0"/>
    <xf numFmtId="0" fontId="76" fillId="32" borderId="108" applyNumberFormat="0" applyAlignment="0" applyProtection="0"/>
    <xf numFmtId="0" fontId="30" fillId="35" borderId="107" applyNumberFormat="0" applyFont="0" applyAlignment="0" applyProtection="0"/>
    <xf numFmtId="0" fontId="73" fillId="19" borderId="10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78" fillId="0" borderId="105" applyNumberFormat="0" applyFill="0" applyAlignment="0" applyProtection="0"/>
    <xf numFmtId="0" fontId="78" fillId="0" borderId="109" applyNumberFormat="0" applyFill="0" applyAlignment="0" applyProtection="0"/>
    <xf numFmtId="0" fontId="78" fillId="0" borderId="41" applyNumberFormat="0" applyFill="0" applyAlignment="0" applyProtection="0"/>
    <xf numFmtId="0" fontId="73" fillId="19" borderId="33" applyNumberFormat="0" applyAlignment="0" applyProtection="0"/>
    <xf numFmtId="0" fontId="30" fillId="35" borderId="39" applyNumberFormat="0" applyFont="0" applyAlignment="0" applyProtection="0"/>
    <xf numFmtId="0" fontId="76" fillId="32" borderId="40"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6" fillId="32" borderId="40" applyNumberFormat="0" applyAlignment="0" applyProtection="0"/>
    <xf numFmtId="0" fontId="66" fillId="32" borderId="33" applyNumberFormat="0" applyAlignment="0" applyProtection="0"/>
    <xf numFmtId="0" fontId="1" fillId="0" borderId="0"/>
    <xf numFmtId="0" fontId="1" fillId="0" borderId="0"/>
    <xf numFmtId="0" fontId="1" fillId="0" borderId="0"/>
    <xf numFmtId="0" fontId="1" fillId="0" borderId="0"/>
    <xf numFmtId="0" fontId="1" fillId="0" borderId="0"/>
    <xf numFmtId="0" fontId="78" fillId="0" borderId="41" applyNumberFormat="0" applyFill="0" applyAlignment="0" applyProtection="0"/>
    <xf numFmtId="0" fontId="1" fillId="0" borderId="0"/>
    <xf numFmtId="0" fontId="30" fillId="35" borderId="39" applyNumberFormat="0" applyFont="0" applyAlignment="0" applyProtection="0"/>
    <xf numFmtId="0" fontId="66" fillId="32" borderId="33" applyNumberFormat="0" applyAlignment="0" applyProtection="0"/>
    <xf numFmtId="0" fontId="1" fillId="0" borderId="0"/>
    <xf numFmtId="0" fontId="73" fillId="19" borderId="33" applyNumberFormat="0" applyAlignment="0" applyProtection="0"/>
    <xf numFmtId="9" fontId="1" fillId="0" borderId="0" applyFont="0" applyFill="0" applyBorder="0" applyAlignment="0" applyProtection="0"/>
    <xf numFmtId="0" fontId="30" fillId="35" borderId="39" applyNumberFormat="0" applyFont="0" applyAlignment="0" applyProtection="0"/>
    <xf numFmtId="0" fontId="238" fillId="35" borderId="39" applyNumberFormat="0" applyFont="0" applyAlignment="0" applyProtection="0"/>
    <xf numFmtId="0" fontId="76" fillId="32" borderId="40" applyNumberFormat="0" applyAlignment="0" applyProtection="0"/>
    <xf numFmtId="0" fontId="78" fillId="0" borderId="41" applyNumberFormat="0" applyFill="0" applyAlignment="0" applyProtection="0"/>
    <xf numFmtId="0" fontId="76" fillId="42" borderId="40" applyNumberFormat="0" applyAlignment="0" applyProtection="0"/>
    <xf numFmtId="0" fontId="78" fillId="0" borderId="105" applyNumberFormat="0" applyFill="0" applyAlignment="0" applyProtection="0"/>
    <xf numFmtId="4" fontId="39" fillId="0" borderId="0" applyFont="0" applyFill="0" applyBorder="0" applyAlignment="0" applyProtection="0"/>
    <xf numFmtId="43" fontId="259" fillId="0" borderId="0" applyFont="0" applyFill="0" applyBorder="0" applyAlignment="0" applyProtection="0"/>
    <xf numFmtId="8" fontId="39" fillId="0" borderId="0" applyFont="0" applyFill="0" applyBorder="0" applyAlignment="0" applyProtection="0"/>
    <xf numFmtId="0" fontId="30" fillId="0" borderId="0"/>
    <xf numFmtId="0" fontId="30" fillId="0" borderId="0"/>
    <xf numFmtId="0" fontId="259" fillId="0" borderId="0"/>
    <xf numFmtId="0" fontId="30" fillId="0" borderId="0"/>
    <xf numFmtId="0" fontId="39" fillId="0" borderId="0"/>
    <xf numFmtId="9" fontId="39"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2" fillId="0" borderId="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76" fillId="32" borderId="108" applyNumberFormat="0" applyAlignment="0" applyProtection="0"/>
    <xf numFmtId="0" fontId="78" fillId="0" borderId="109" applyNumberFormat="0" applyFill="0" applyAlignment="0" applyProtection="0"/>
    <xf numFmtId="0" fontId="66" fillId="42" borderId="106" applyNumberFormat="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5" applyNumberFormat="0" applyFill="0" applyAlignment="0" applyProtection="0"/>
    <xf numFmtId="0" fontId="78" fillId="0" borderId="109" applyNumberFormat="0" applyFill="0" applyAlignment="0" applyProtection="0"/>
    <xf numFmtId="0" fontId="78" fillId="0" borderId="109" applyNumberFormat="0" applyFill="0" applyAlignment="0" applyProtection="0"/>
    <xf numFmtId="0" fontId="73" fillId="19" borderId="106" applyNumberFormat="0" applyAlignment="0" applyProtection="0"/>
    <xf numFmtId="0" fontId="73" fillId="19" borderId="106" applyNumberFormat="0" applyAlignment="0" applyProtection="0"/>
    <xf numFmtId="0" fontId="66" fillId="32" borderId="106" applyNumberFormat="0" applyAlignment="0" applyProtection="0"/>
    <xf numFmtId="0" fontId="66" fillId="32" borderId="106" applyNumberFormat="0" applyAlignment="0" applyProtection="0"/>
    <xf numFmtId="0" fontId="66" fillId="42" borderId="106" applyNumberFormat="0" applyAlignment="0" applyProtection="0"/>
    <xf numFmtId="0" fontId="30" fillId="35" borderId="107" applyNumberFormat="0" applyFont="0" applyAlignment="0" applyProtection="0"/>
    <xf numFmtId="0" fontId="76" fillId="32" borderId="108" applyNumberFormat="0" applyAlignment="0" applyProtection="0"/>
    <xf numFmtId="0" fontId="238" fillId="35" borderId="107" applyNumberFormat="0" applyFont="0" applyAlignment="0" applyProtection="0"/>
    <xf numFmtId="0" fontId="66" fillId="4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66" fillId="3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30" fillId="35" borderId="107" applyNumberFormat="0" applyFont="0" applyAlignment="0" applyProtection="0"/>
    <xf numFmtId="0" fontId="73" fillId="19" borderId="106" applyNumberFormat="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9" applyNumberFormat="0" applyFill="0" applyAlignment="0" applyProtection="0"/>
    <xf numFmtId="0" fontId="30" fillId="35" borderId="107" applyNumberFormat="0" applyFont="0" applyAlignment="0" applyProtection="0"/>
    <xf numFmtId="0" fontId="76" fillId="42" borderId="108" applyNumberFormat="0" applyAlignment="0" applyProtection="0"/>
    <xf numFmtId="0" fontId="78" fillId="0" borderId="105" applyNumberFormat="0" applyFill="0" applyAlignment="0" applyProtection="0"/>
    <xf numFmtId="0" fontId="30" fillId="0" borderId="0"/>
    <xf numFmtId="0" fontId="2" fillId="0" borderId="0"/>
    <xf numFmtId="0" fontId="260" fillId="0" borderId="81">
      <alignment horizontal="center" wrapText="1"/>
    </xf>
    <xf numFmtId="183" fontId="44" fillId="38" borderId="0" applyNumberFormat="0" applyBorder="0" applyAlignment="0">
      <protection locked="0"/>
    </xf>
    <xf numFmtId="3" fontId="42" fillId="0" borderId="103" applyNumberForma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5" applyNumberFormat="0" applyFill="0" applyAlignment="0" applyProtection="0"/>
    <xf numFmtId="0" fontId="78" fillId="0" borderId="109" applyNumberFormat="0" applyFill="0" applyAlignment="0" applyProtection="0"/>
    <xf numFmtId="0" fontId="78" fillId="0" borderId="109" applyNumberFormat="0" applyFill="0" applyAlignment="0" applyProtection="0"/>
    <xf numFmtId="0" fontId="73" fillId="19" borderId="106" applyNumberFormat="0" applyAlignment="0" applyProtection="0"/>
    <xf numFmtId="0" fontId="73" fillId="19" borderId="106" applyNumberFormat="0" applyAlignment="0" applyProtection="0"/>
    <xf numFmtId="0" fontId="66" fillId="32" borderId="106" applyNumberFormat="0" applyAlignment="0" applyProtection="0"/>
    <xf numFmtId="0" fontId="66" fillId="32" borderId="106" applyNumberFormat="0" applyAlignment="0" applyProtection="0"/>
    <xf numFmtId="0" fontId="66" fillId="42" borderId="106" applyNumberFormat="0" applyAlignment="0" applyProtection="0"/>
    <xf numFmtId="0" fontId="30" fillId="35" borderId="107" applyNumberFormat="0" applyFont="0" applyAlignment="0" applyProtection="0"/>
    <xf numFmtId="0" fontId="76" fillId="32" borderId="108" applyNumberFormat="0" applyAlignment="0" applyProtection="0"/>
    <xf numFmtId="0" fontId="238" fillId="35" borderId="107" applyNumberFormat="0" applyFont="0" applyAlignment="0" applyProtection="0"/>
    <xf numFmtId="0" fontId="66" fillId="4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66" fillId="3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30" fillId="35" borderId="107" applyNumberFormat="0" applyFont="0" applyAlignment="0" applyProtection="0"/>
    <xf numFmtId="0" fontId="73" fillId="19" borderId="106" applyNumberFormat="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9" applyNumberFormat="0" applyFill="0" applyAlignment="0" applyProtection="0"/>
    <xf numFmtId="0" fontId="30" fillId="35" borderId="107" applyNumberFormat="0" applyFont="0" applyAlignment="0" applyProtection="0"/>
    <xf numFmtId="0" fontId="76" fillId="42" borderId="108" applyNumberFormat="0" applyAlignment="0" applyProtection="0"/>
    <xf numFmtId="0" fontId="78" fillId="0" borderId="105" applyNumberFormat="0" applyFill="0" applyAlignment="0" applyProtection="0"/>
    <xf numFmtId="44" fontId="1" fillId="0" borderId="0" applyFont="0" applyFill="0" applyBorder="0" applyAlignment="0" applyProtection="0"/>
    <xf numFmtId="44" fontId="1" fillId="0" borderId="0" applyFont="0" applyFill="0" applyBorder="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76" fillId="32" borderId="108" applyNumberFormat="0" applyAlignment="0" applyProtection="0"/>
    <xf numFmtId="0" fontId="78" fillId="0" borderId="109" applyNumberFormat="0" applyFill="0" applyAlignment="0" applyProtection="0"/>
    <xf numFmtId="0" fontId="66" fillId="42" borderId="106" applyNumberFormat="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5" applyNumberFormat="0" applyFill="0" applyAlignment="0" applyProtection="0"/>
    <xf numFmtId="0" fontId="78" fillId="0" borderId="109" applyNumberFormat="0" applyFill="0" applyAlignment="0" applyProtection="0"/>
    <xf numFmtId="0" fontId="78" fillId="0" borderId="109" applyNumberFormat="0" applyFill="0" applyAlignment="0" applyProtection="0"/>
    <xf numFmtId="0" fontId="73" fillId="19" borderId="106" applyNumberFormat="0" applyAlignment="0" applyProtection="0"/>
    <xf numFmtId="0" fontId="73" fillId="19" borderId="106" applyNumberFormat="0" applyAlignment="0" applyProtection="0"/>
    <xf numFmtId="0" fontId="66" fillId="32" borderId="106" applyNumberFormat="0" applyAlignment="0" applyProtection="0"/>
    <xf numFmtId="0" fontId="66" fillId="32" borderId="106" applyNumberFormat="0" applyAlignment="0" applyProtection="0"/>
    <xf numFmtId="0" fontId="66" fillId="42" borderId="106" applyNumberFormat="0" applyAlignment="0" applyProtection="0"/>
    <xf numFmtId="0" fontId="30" fillId="35" borderId="107" applyNumberFormat="0" applyFont="0" applyAlignment="0" applyProtection="0"/>
    <xf numFmtId="0" fontId="76" fillId="32" borderId="108" applyNumberFormat="0" applyAlignment="0" applyProtection="0"/>
    <xf numFmtId="0" fontId="238" fillId="35" borderId="107" applyNumberFormat="0" applyFont="0" applyAlignment="0" applyProtection="0"/>
    <xf numFmtId="0" fontId="66" fillId="4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66" fillId="32" borderId="106" applyNumberFormat="0" applyAlignment="0" applyProtection="0"/>
    <xf numFmtId="0" fontId="78" fillId="0" borderId="109" applyNumberFormat="0" applyFill="0" applyAlignment="0" applyProtection="0"/>
    <xf numFmtId="0" fontId="76" fillId="32" borderId="108" applyNumberFormat="0" applyAlignment="0" applyProtection="0"/>
    <xf numFmtId="0" fontId="30" fillId="35" borderId="107" applyNumberFormat="0" applyFont="0" applyAlignment="0" applyProtection="0"/>
    <xf numFmtId="0" fontId="73" fillId="19" borderId="106" applyNumberFormat="0" applyAlignment="0" applyProtection="0"/>
    <xf numFmtId="0" fontId="66" fillId="32" borderId="106" applyNumberFormat="0" applyAlignment="0" applyProtection="0"/>
    <xf numFmtId="0" fontId="73" fillId="19" borderId="106" applyNumberFormat="0" applyAlignment="0" applyProtection="0"/>
    <xf numFmtId="0" fontId="30" fillId="35" borderId="107" applyNumberFormat="0" applyFont="0" applyAlignment="0" applyProtection="0"/>
    <xf numFmtId="0" fontId="238" fillId="35" borderId="107" applyNumberFormat="0" applyFont="0" applyAlignment="0" applyProtection="0"/>
    <xf numFmtId="0" fontId="76" fillId="42" borderId="108" applyNumberFormat="0" applyAlignment="0" applyProtection="0"/>
    <xf numFmtId="0" fontId="76" fillId="32" borderId="108" applyNumberFormat="0" applyAlignment="0" applyProtection="0"/>
    <xf numFmtId="0" fontId="78" fillId="0" borderId="109" applyNumberFormat="0" applyFill="0" applyAlignment="0" applyProtection="0"/>
    <xf numFmtId="0" fontId="30" fillId="35" borderId="107" applyNumberFormat="0" applyFont="0" applyAlignment="0" applyProtection="0"/>
    <xf numFmtId="0" fontId="76" fillId="42" borderId="108" applyNumberFormat="0" applyAlignment="0" applyProtection="0"/>
    <xf numFmtId="0" fontId="78" fillId="0" borderId="105" applyNumberFormat="0" applyFill="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1" fillId="0" borderId="0" applyFont="0" applyFill="0" applyBorder="0" applyAlignment="0" applyProtection="0"/>
    <xf numFmtId="0" fontId="30" fillId="0" borderId="0"/>
    <xf numFmtId="44"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30"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7" fillId="0" borderId="0"/>
    <xf numFmtId="0" fontId="262" fillId="0" borderId="0"/>
    <xf numFmtId="0" fontId="218" fillId="0" borderId="0" applyFill="0" applyBorder="0" applyProtection="0">
      <alignment horizontal="right"/>
    </xf>
    <xf numFmtId="208" fontId="131" fillId="0" borderId="0" applyFont="0" applyFill="0" applyBorder="0" applyAlignment="0" applyProtection="0"/>
    <xf numFmtId="44" fontId="2" fillId="0" borderId="0" applyFont="0" applyFill="0" applyBorder="0" applyAlignment="0" applyProtection="0"/>
    <xf numFmtId="0" fontId="2" fillId="0" borderId="0"/>
    <xf numFmtId="200" fontId="183" fillId="0" borderId="0" applyFont="0" applyFill="0" applyBorder="0" applyAlignment="0" applyProtection="0"/>
    <xf numFmtId="0" fontId="34" fillId="0" borderId="123" applyNumberFormat="0" applyFill="0" applyAlignment="0" applyProtection="0"/>
    <xf numFmtId="37" fontId="44" fillId="6" borderId="0" applyNumberFormat="0" applyBorder="0" applyAlignment="0">
      <protection locked="0"/>
    </xf>
    <xf numFmtId="0" fontId="38" fillId="0" borderId="0"/>
    <xf numFmtId="0" fontId="85" fillId="0" borderId="0" applyNumberFormat="0" applyFill="0" applyBorder="0" applyProtection="0">
      <alignment horizontal="centerContinuous"/>
    </xf>
    <xf numFmtId="43" fontId="2" fillId="0" borderId="0" applyFont="0" applyFill="0" applyBorder="0" applyAlignment="0" applyProtection="0"/>
    <xf numFmtId="7" fontId="2" fillId="0" borderId="0" applyFont="0" applyFill="0" applyBorder="0" applyAlignment="0" applyProtection="0"/>
    <xf numFmtId="198" fontId="183" fillId="0" borderId="0" applyFont="0" applyFill="0" applyBorder="0" applyAlignment="0" applyProtection="0"/>
    <xf numFmtId="9" fontId="2" fillId="0" borderId="0" applyFont="0" applyFill="0" applyBorder="0" applyAlignment="0" applyProtection="0"/>
    <xf numFmtId="0" fontId="2" fillId="0" borderId="0" applyFont="0" applyFill="0" applyBorder="0" applyAlignment="0" applyProtection="0"/>
    <xf numFmtId="0" fontId="264" fillId="46" borderId="0" applyNumberFormat="0" applyBorder="0" applyProtection="0">
      <alignment horizontal="left" vertical="center"/>
    </xf>
    <xf numFmtId="0" fontId="84" fillId="0" borderId="43" applyNumberFormat="0" applyFill="0" applyProtection="0">
      <alignment horizontal="center"/>
    </xf>
    <xf numFmtId="0" fontId="158" fillId="0" borderId="124" applyNumberFormat="0" applyFill="0" applyProtection="0">
      <alignment horizontal="center" vertical="center"/>
    </xf>
    <xf numFmtId="0" fontId="2" fillId="0" borderId="0" applyFont="0" applyFill="0" applyBorder="0" applyAlignment="0" applyProtection="0"/>
    <xf numFmtId="286" fontId="183" fillId="0" borderId="0" applyFont="0" applyFill="0" applyBorder="0" applyAlignment="0" applyProtection="0"/>
    <xf numFmtId="44" fontId="63" fillId="0" borderId="0" applyFont="0" applyFill="0" applyBorder="0" applyAlignment="0" applyProtection="0"/>
    <xf numFmtId="44" fontId="1" fillId="0" borderId="0" applyFont="0" applyFill="0" applyBorder="0" applyAlignment="0" applyProtection="0"/>
    <xf numFmtId="283" fontId="31" fillId="0" borderId="0" applyBorder="0"/>
    <xf numFmtId="0" fontId="2" fillId="0" borderId="0"/>
    <xf numFmtId="293" fontId="2" fillId="0" borderId="0" applyFont="0" applyFill="0" applyBorder="0" applyAlignment="0" applyProtection="0"/>
    <xf numFmtId="197" fontId="183" fillId="0" borderId="0" applyFont="0" applyFill="0" applyBorder="0" applyAlignment="0" applyProtection="0"/>
    <xf numFmtId="0" fontId="38" fillId="0" borderId="0"/>
    <xf numFmtId="0" fontId="2" fillId="0" borderId="0" applyFont="0" applyFill="0" applyBorder="0" applyAlignment="0" applyProtection="0"/>
    <xf numFmtId="0" fontId="266" fillId="0" borderId="123"/>
    <xf numFmtId="204" fontId="183" fillId="0" borderId="0" applyFont="0" applyFill="0" applyBorder="0" applyProtection="0">
      <alignment horizontal="right"/>
    </xf>
    <xf numFmtId="43" fontId="1" fillId="0" borderId="0" applyFont="0" applyFill="0" applyBorder="0" applyAlignment="0" applyProtection="0"/>
    <xf numFmtId="297" fontId="267" fillId="0" borderId="0" applyFont="0" applyFill="0" applyBorder="0" applyAlignment="0" applyProtection="0"/>
    <xf numFmtId="201" fontId="18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84" fillId="0" borderId="43" applyNumberFormat="0" applyFill="0" applyProtection="0">
      <alignment horizontal="center"/>
    </xf>
    <xf numFmtId="0" fontId="2" fillId="0" borderId="0" applyFont="0" applyFill="0" applyBorder="0" applyAlignment="0" applyProtection="0"/>
    <xf numFmtId="0" fontId="269" fillId="0" borderId="0" applyNumberFormat="0" applyFont="0" applyFill="0" applyBorder="0" applyAlignment="0">
      <alignment horizontal="left" vertical="center"/>
    </xf>
    <xf numFmtId="0" fontId="1" fillId="0" borderId="0"/>
    <xf numFmtId="0" fontId="2" fillId="0" borderId="0" applyNumberFormat="0" applyFont="0" applyFill="0" applyBorder="0" applyAlignment="0" applyProtection="0"/>
    <xf numFmtId="40" fontId="131" fillId="0" borderId="0"/>
    <xf numFmtId="43" fontId="1"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37" fontId="44" fillId="6" borderId="0" applyNumberFormat="0" applyBorder="0" applyAlignment="0">
      <protection locked="0"/>
    </xf>
    <xf numFmtId="43" fontId="1" fillId="0" borderId="0" applyFont="0" applyFill="0" applyBorder="0" applyAlignment="0" applyProtection="0"/>
    <xf numFmtId="0" fontId="2" fillId="0" borderId="0" applyFont="0" applyFill="0" applyBorder="0" applyAlignment="0" applyProtection="0"/>
    <xf numFmtId="0" fontId="162" fillId="0" borderId="0">
      <protection locked="0"/>
    </xf>
    <xf numFmtId="1" fontId="270" fillId="0" borderId="0" applyFont="0" applyFill="0" applyBorder="0" applyAlignment="0" applyProtection="0">
      <alignment horizontal="left" wrapText="1"/>
    </xf>
    <xf numFmtId="0" fontId="162" fillId="0" borderId="0">
      <protection locked="0"/>
    </xf>
    <xf numFmtId="0" fontId="2" fillId="0" borderId="0" applyFont="0" applyFill="0" applyBorder="0" applyAlignment="0" applyProtection="0"/>
    <xf numFmtId="39" fontId="2" fillId="0" borderId="0" applyFont="0" applyFill="0" applyBorder="0" applyAlignment="0" applyProtection="0"/>
    <xf numFmtId="0" fontId="1" fillId="0" borderId="0"/>
    <xf numFmtId="199" fontId="183"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applyFont="0" applyFill="0" applyBorder="0" applyAlignment="0" applyProtection="0"/>
    <xf numFmtId="0" fontId="1" fillId="0" borderId="0"/>
    <xf numFmtId="0" fontId="271" fillId="0" borderId="0" applyNumberFormat="0" applyFill="0" applyBorder="0" applyProtection="0">
      <alignment horizontal="right" vertical="center"/>
    </xf>
    <xf numFmtId="0" fontId="2" fillId="0" borderId="0" applyFont="0" applyFill="0" applyBorder="0" applyAlignment="0" applyProtection="0"/>
    <xf numFmtId="0" fontId="162" fillId="0" borderId="0">
      <protection locked="0"/>
    </xf>
    <xf numFmtId="0" fontId="2" fillId="0" borderId="0" applyFont="0" applyFill="0" applyBorder="0" applyAlignment="0" applyProtection="0"/>
    <xf numFmtId="0" fontId="2" fillId="0" borderId="0" applyFont="0" applyFill="0" applyBorder="0" applyAlignment="0" applyProtection="0"/>
    <xf numFmtId="0" fontId="38" fillId="0" borderId="0"/>
    <xf numFmtId="201" fontId="2" fillId="0" borderId="0" applyFont="0" applyFill="0" applyBorder="0" applyAlignment="0" applyProtection="0"/>
    <xf numFmtId="0" fontId="272" fillId="0"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0" fontId="162" fillId="0" borderId="0">
      <protection locked="0"/>
    </xf>
    <xf numFmtId="9" fontId="1"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33" fillId="0" borderId="11" applyNumberFormat="0" applyAlignment="0" applyProtection="0">
      <alignment horizontal="left"/>
    </xf>
    <xf numFmtId="0" fontId="2" fillId="0" borderId="0" applyFont="0" applyFill="0" applyBorder="0" applyAlignment="0" applyProtection="0"/>
    <xf numFmtId="0" fontId="2" fillId="0" borderId="0" applyFont="0" applyFill="0" applyBorder="0" applyAlignment="0" applyProtection="0"/>
    <xf numFmtId="298" fontId="2" fillId="0" borderId="0"/>
    <xf numFmtId="0" fontId="2" fillId="0" borderId="0" applyFont="0" applyFill="0" applyBorder="0" applyAlignment="0" applyProtection="0"/>
    <xf numFmtId="0" fontId="2" fillId="0" borderId="0" applyFont="0" applyFill="0" applyBorder="0" applyAlignment="0" applyProtection="0"/>
    <xf numFmtId="201"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291" fontId="255" fillId="0" borderId="122" applyFont="0" applyFill="0" applyBorder="0" applyAlignment="0" applyProtection="0"/>
    <xf numFmtId="40" fontId="2" fillId="0" borderId="0" applyFont="0" applyFill="0" applyBorder="0" applyProtection="0">
      <alignment horizontal="right"/>
    </xf>
    <xf numFmtId="0" fontId="2" fillId="0" borderId="0" applyFont="0" applyFill="0" applyBorder="0" applyAlignment="0" applyProtection="0"/>
    <xf numFmtId="44" fontId="1" fillId="0" borderId="0" applyFont="0" applyFill="0" applyBorder="0" applyAlignment="0" applyProtection="0"/>
    <xf numFmtId="201" fontId="2" fillId="0" borderId="0" applyFont="0" applyFill="0" applyBorder="0" applyAlignment="0" applyProtection="0"/>
    <xf numFmtId="3" fontId="33" fillId="0" borderId="0"/>
    <xf numFmtId="0" fontId="258" fillId="0" borderId="0"/>
    <xf numFmtId="0" fontId="2" fillId="0" borderId="0" applyFont="0" applyFill="0" applyBorder="0" applyAlignment="0" applyProtection="0"/>
    <xf numFmtId="0" fontId="2" fillId="0" borderId="0" applyFont="0" applyFill="0" applyBorder="0" applyAlignment="0" applyProtection="0"/>
    <xf numFmtId="0" fontId="1" fillId="0" borderId="0"/>
    <xf numFmtId="201" fontId="2" fillId="0" borderId="0" applyFont="0" applyFill="0" applyBorder="0" applyAlignment="0" applyProtection="0"/>
    <xf numFmtId="44" fontId="1" fillId="0" borderId="0" applyFont="0" applyFill="0" applyBorder="0" applyAlignment="0" applyProtection="0"/>
    <xf numFmtId="10" fontId="31" fillId="38" borderId="112" applyNumberFormat="0" applyBorder="0" applyAlignment="0" applyProtection="0"/>
    <xf numFmtId="44" fontId="1" fillId="0" borderId="0" applyFont="0" applyFill="0" applyBorder="0" applyAlignment="0" applyProtection="0"/>
    <xf numFmtId="0"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2" fillId="0" borderId="0" applyFont="0" applyFill="0" applyBorder="0" applyAlignment="0" applyProtection="0"/>
    <xf numFmtId="0" fontId="2" fillId="0" borderId="0" applyFont="0" applyFill="0" applyBorder="0" applyAlignment="0" applyProtection="0"/>
    <xf numFmtId="0" fontId="84" fillId="0" borderId="43" applyNumberFormat="0" applyFill="0" applyProtection="0">
      <alignment horizontal="center"/>
    </xf>
    <xf numFmtId="0" fontId="2" fillId="0" borderId="0" applyFont="0" applyFill="0" applyBorder="0" applyAlignment="0" applyProtection="0"/>
    <xf numFmtId="201"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76" fillId="0" borderId="0" applyNumberFormat="0">
      <alignment horizontal="left"/>
    </xf>
    <xf numFmtId="0" fontId="1" fillId="0" borderId="0"/>
    <xf numFmtId="0" fontId="183" fillId="68" borderId="0" applyNumberFormat="0" applyFont="0" applyAlignment="0" applyProtection="0"/>
    <xf numFmtId="0" fontId="1" fillId="0" borderId="0"/>
    <xf numFmtId="203" fontId="18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62" fillId="0" borderId="42" applyNumberFormat="0" applyFill="0" applyAlignment="0" applyProtection="0"/>
    <xf numFmtId="0" fontId="84" fillId="0" borderId="43" applyNumberFormat="0" applyFill="0" applyProtection="0">
      <alignment horizontal="center"/>
    </xf>
    <xf numFmtId="14" fontId="278" fillId="0" borderId="0">
      <alignment horizontal="right"/>
    </xf>
    <xf numFmtId="0" fontId="1" fillId="0" borderId="0"/>
    <xf numFmtId="0" fontId="84" fillId="0" borderId="43" applyNumberFormat="0" applyFill="0" applyProtection="0">
      <alignment horizontal="center"/>
    </xf>
    <xf numFmtId="0" fontId="85" fillId="0" borderId="0" applyNumberFormat="0" applyFill="0" applyBorder="0" applyProtection="0">
      <alignment horizontal="centerContinuous"/>
    </xf>
    <xf numFmtId="0" fontId="162" fillId="0" borderId="0">
      <protection locked="0"/>
    </xf>
    <xf numFmtId="0" fontId="85" fillId="0" borderId="0" applyNumberFormat="0" applyFill="0" applyBorder="0" applyProtection="0">
      <alignment horizontal="centerContinuous"/>
    </xf>
    <xf numFmtId="44" fontId="1" fillId="0" borderId="0" applyFont="0" applyFill="0" applyBorder="0" applyAlignment="0" applyProtection="0"/>
    <xf numFmtId="167" fontId="279" fillId="0" borderId="126" applyNumberFormat="0" applyAlignment="0" applyProtection="0">
      <alignment vertical="top"/>
    </xf>
    <xf numFmtId="170" fontId="270" fillId="0" borderId="0" applyFont="0" applyFill="0" applyBorder="0" applyAlignment="0" applyProtection="0">
      <alignment horizontal="left" wrapText="1"/>
    </xf>
    <xf numFmtId="170" fontId="131" fillId="0" borderId="0"/>
    <xf numFmtId="296" fontId="31" fillId="0" borderId="0"/>
    <xf numFmtId="282" fontId="149" fillId="0" borderId="0" applyFont="0" applyFill="0" applyBorder="0" applyAlignment="0" applyProtection="0"/>
    <xf numFmtId="290" fontId="149" fillId="0" borderId="0" applyFont="0" applyFill="0" applyBorder="0" applyAlignment="0" applyProtection="0"/>
    <xf numFmtId="38" fontId="31" fillId="7" borderId="0" applyNumberFormat="0" applyBorder="0" applyAlignment="0" applyProtection="0"/>
    <xf numFmtId="0" fontId="131" fillId="0" borderId="101"/>
    <xf numFmtId="208" fontId="131" fillId="0" borderId="0" applyFont="0" applyFill="0" applyBorder="0" applyAlignment="0" applyProtection="0"/>
    <xf numFmtId="44" fontId="1" fillId="0" borderId="0" applyFont="0" applyFill="0" applyBorder="0" applyAlignment="0" applyProtection="0"/>
    <xf numFmtId="0" fontId="159" fillId="0" borderId="123" applyNumberFormat="0" applyFill="0" applyBorder="0" applyProtection="0">
      <alignment horizontal="right" vertical="center"/>
    </xf>
    <xf numFmtId="0" fontId="280" fillId="0" borderId="0" applyNumberFormat="0" applyFill="0" applyBorder="0" applyAlignment="0" applyProtection="0"/>
    <xf numFmtId="208" fontId="255" fillId="0" borderId="0" applyNumberFormat="0" applyFill="0" applyBorder="0" applyAlignment="0" applyProtection="0">
      <alignment horizontal="center"/>
    </xf>
    <xf numFmtId="43" fontId="1" fillId="0" borderId="0" applyFont="0" applyFill="0" applyBorder="0" applyAlignment="0" applyProtection="0"/>
    <xf numFmtId="43" fontId="1" fillId="0" borderId="0" applyFont="0" applyFill="0" applyBorder="0" applyAlignment="0" applyProtection="0"/>
    <xf numFmtId="0" fontId="1" fillId="0" borderId="0"/>
    <xf numFmtId="0" fontId="281" fillId="0" borderId="0" applyNumberFormat="0" applyFill="0" applyBorder="0" applyAlignment="0" applyProtection="0"/>
    <xf numFmtId="44" fontId="1" fillId="0" borderId="0" applyFont="0" applyFill="0" applyBorder="0" applyAlignment="0" applyProtection="0"/>
    <xf numFmtId="3" fontId="33" fillId="0" borderId="0"/>
    <xf numFmtId="0" fontId="263" fillId="0" borderId="0"/>
    <xf numFmtId="0" fontId="162" fillId="0" borderId="0">
      <protection locked="0"/>
    </xf>
    <xf numFmtId="0" fontId="283" fillId="0" borderId="127" applyFill="0" applyProtection="0">
      <alignment horizontal="right"/>
    </xf>
    <xf numFmtId="0" fontId="35" fillId="0" borderId="128" applyNumberFormat="0" applyFill="0" applyAlignment="0">
      <alignment horizontal="center" vertical="center"/>
    </xf>
    <xf numFmtId="0" fontId="2" fillId="0" borderId="0"/>
    <xf numFmtId="43" fontId="1" fillId="0" borderId="0" applyFont="0" applyFill="0" applyBorder="0" applyAlignment="0" applyProtection="0"/>
    <xf numFmtId="43" fontId="1" fillId="0" borderId="0" applyFont="0" applyFill="0" applyBorder="0" applyAlignment="0" applyProtection="0"/>
    <xf numFmtId="208" fontId="226" fillId="0" borderId="0" applyFont="0" applyFill="0" applyBorder="0" applyAlignment="0" applyProtection="0"/>
    <xf numFmtId="0" fontId="1" fillId="0" borderId="0"/>
    <xf numFmtId="8" fontId="2" fillId="0" borderId="25" applyFont="0" applyFill="0" applyBorder="0" applyProtection="0">
      <alignment horizontal="right"/>
    </xf>
    <xf numFmtId="0" fontId="275" fillId="0" borderId="124" applyNumberFormat="0" applyFill="0" applyProtection="0">
      <alignment horizontal="center" vertical="center"/>
    </xf>
    <xf numFmtId="0" fontId="285" fillId="0" borderId="123" applyNumberFormat="0" applyFill="0" applyBorder="0" applyProtection="0">
      <alignment horizontal="right" vertical="center"/>
    </xf>
    <xf numFmtId="167" fontId="279" fillId="0" borderId="126" applyNumberFormat="0" applyAlignment="0" applyProtection="0">
      <alignment vertical="top"/>
    </xf>
    <xf numFmtId="298" fontId="2" fillId="0" borderId="0"/>
    <xf numFmtId="298" fontId="2" fillId="0" borderId="0"/>
    <xf numFmtId="303" fontId="286" fillId="0" borderId="0" applyFill="0" applyBorder="0" applyAlignment="0" applyProtection="0"/>
    <xf numFmtId="298" fontId="2" fillId="0" borderId="0"/>
    <xf numFmtId="10" fontId="31" fillId="38" borderId="135" applyNumberFormat="0" applyBorder="0" applyAlignment="0" applyProtection="0"/>
    <xf numFmtId="43" fontId="1" fillId="0" borderId="0" applyFont="0" applyFill="0" applyBorder="0" applyAlignment="0" applyProtection="0"/>
    <xf numFmtId="298" fontId="2" fillId="0" borderId="0"/>
    <xf numFmtId="298" fontId="2" fillId="0" borderId="0"/>
    <xf numFmtId="14" fontId="226" fillId="0" borderId="0" applyFont="0" applyFill="0" applyBorder="0" applyAlignment="0" applyProtection="0">
      <alignment horizontal="center"/>
    </xf>
    <xf numFmtId="43" fontId="1" fillId="0" borderId="0" applyFont="0" applyFill="0" applyBorder="0" applyAlignment="0" applyProtection="0"/>
    <xf numFmtId="43" fontId="1" fillId="0" borderId="0" applyFont="0" applyFill="0" applyBorder="0" applyAlignment="0" applyProtection="0"/>
    <xf numFmtId="298" fontId="2" fillId="0" borderId="0"/>
    <xf numFmtId="43" fontId="1" fillId="0" borderId="0" applyFont="0" applyFill="0" applyBorder="0" applyAlignment="0" applyProtection="0"/>
    <xf numFmtId="298" fontId="2" fillId="0" borderId="0"/>
    <xf numFmtId="190"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43" fontId="1" fillId="0" borderId="0" applyFont="0" applyFill="0" applyBorder="0" applyAlignment="0" applyProtection="0"/>
    <xf numFmtId="0" fontId="1" fillId="0" borderId="0"/>
    <xf numFmtId="0" fontId="38" fillId="0" borderId="0"/>
    <xf numFmtId="43" fontId="1" fillId="0" borderId="0" applyFont="0" applyFill="0" applyBorder="0" applyAlignment="0" applyProtection="0"/>
    <xf numFmtId="0" fontId="1" fillId="0" borderId="0"/>
    <xf numFmtId="43" fontId="63" fillId="0" borderId="0" applyFont="0" applyFill="0" applyBorder="0" applyAlignment="0" applyProtection="0"/>
    <xf numFmtId="0" fontId="63"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59" fillId="0" borderId="0" applyFont="0" applyFill="0" applyBorder="0" applyAlignment="0" applyProtection="0"/>
    <xf numFmtId="0" fontId="272" fillId="0" borderId="0"/>
    <xf numFmtId="43" fontId="1" fillId="0" borderId="0" applyFont="0" applyFill="0" applyBorder="0" applyAlignment="0" applyProtection="0"/>
    <xf numFmtId="43" fontId="1" fillId="0" borderId="0" applyFont="0" applyFill="0" applyBorder="0" applyAlignment="0" applyProtection="0"/>
    <xf numFmtId="0" fontId="38" fillId="0" borderId="0"/>
    <xf numFmtId="0" fontId="131" fillId="0" borderId="2"/>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 fillId="0" borderId="0" applyFont="0" applyFill="0" applyBorder="0" applyAlignment="0" applyProtection="0"/>
    <xf numFmtId="0" fontId="287" fillId="0" borderId="0"/>
    <xf numFmtId="0" fontId="270" fillId="0" borderId="0"/>
    <xf numFmtId="300" fontId="131" fillId="0" borderId="0" applyFont="0" applyFill="0" applyBorder="0" applyAlignment="0" applyProtection="0"/>
    <xf numFmtId="0" fontId="287" fillId="0" borderId="0"/>
    <xf numFmtId="0" fontId="272" fillId="0" borderId="0"/>
    <xf numFmtId="0" fontId="270" fillId="0" borderId="0"/>
    <xf numFmtId="37" fontId="197" fillId="0" borderId="0"/>
    <xf numFmtId="3" fontId="268" fillId="0" borderId="0">
      <alignment horizontal="left"/>
    </xf>
    <xf numFmtId="5" fontId="22" fillId="10" borderId="129" applyNumberFormat="0">
      <alignment horizontal="left" vertical="center"/>
      <protection locked="0"/>
    </xf>
    <xf numFmtId="3" fontId="288" fillId="0" borderId="4" applyNumberFormat="0" applyProtection="0"/>
    <xf numFmtId="0" fontId="272" fillId="0" borderId="0"/>
    <xf numFmtId="299" fontId="2" fillId="0" borderId="0" applyFont="0" applyFill="0" applyBorder="0" applyProtection="0">
      <alignment horizontal="right"/>
    </xf>
    <xf numFmtId="0" fontId="1" fillId="0" borderId="0"/>
    <xf numFmtId="44" fontId="1" fillId="0" borderId="0" applyFont="0" applyFill="0" applyBorder="0" applyAlignment="0" applyProtection="0"/>
    <xf numFmtId="44" fontId="1" fillId="0" borderId="0" applyFont="0" applyFill="0" applyBorder="0" applyAlignment="0" applyProtection="0"/>
    <xf numFmtId="44" fontId="258" fillId="0" borderId="0" applyFont="0" applyFill="0" applyBorder="0" applyAlignment="0" applyProtection="0"/>
    <xf numFmtId="44" fontId="1" fillId="0" borderId="0" applyFont="0" applyFill="0" applyBorder="0" applyAlignment="0" applyProtection="0"/>
    <xf numFmtId="0" fontId="2" fillId="41" borderId="130" applyNumberFormat="0" applyProtection="0">
      <alignment horizontal="left" vertical="center" wrapText="1" indent="1"/>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303" fontId="28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0" fontId="31" fillId="38" borderId="112"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72" fillId="0" borderId="0"/>
    <xf numFmtId="44" fontId="1" fillId="0" borderId="0" applyFont="0" applyFill="0" applyBorder="0" applyAlignment="0" applyProtection="0"/>
    <xf numFmtId="10" fontId="31" fillId="38" borderId="112"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 fontId="274" fillId="0" borderId="0"/>
    <xf numFmtId="38" fontId="274" fillId="0" borderId="0" applyFill="0" applyBorder="0" applyAlignment="0" applyProtection="0"/>
    <xf numFmtId="14" fontId="274" fillId="0" borderId="0" applyFont="0"/>
    <xf numFmtId="281" fontId="2" fillId="0" borderId="0" applyFont="0" applyFill="0" applyBorder="0" applyProtection="0">
      <alignment horizontal="right"/>
    </xf>
    <xf numFmtId="292" fontId="261" fillId="0" borderId="0">
      <protection locked="0"/>
    </xf>
    <xf numFmtId="269" fontId="226" fillId="0" borderId="0" applyFont="0" applyFill="0" applyBorder="0" applyAlignment="0" applyProtection="0">
      <alignment horizontal="center"/>
    </xf>
    <xf numFmtId="42" fontId="290" fillId="0" borderId="0"/>
    <xf numFmtId="289" fontId="290" fillId="0" borderId="0"/>
    <xf numFmtId="302" fontId="2" fillId="0" borderId="0" applyFont="0" applyFill="0" applyBorder="0" applyAlignment="0" applyProtection="0"/>
    <xf numFmtId="0" fontId="162" fillId="0" borderId="0">
      <protection locked="0"/>
    </xf>
    <xf numFmtId="0" fontId="162" fillId="0" borderId="0">
      <protection locked="0"/>
    </xf>
    <xf numFmtId="9" fontId="1" fillId="0" borderId="0" applyFont="0" applyFill="0" applyBorder="0" applyAlignment="0" applyProtection="0"/>
    <xf numFmtId="5" fontId="104" fillId="0" borderId="0"/>
    <xf numFmtId="42" fontId="89" fillId="0" borderId="0"/>
    <xf numFmtId="6" fontId="131" fillId="0" borderId="0" applyFont="0" applyFill="0" applyBorder="0" applyAlignment="0" applyProtection="0"/>
    <xf numFmtId="0" fontId="31" fillId="68" borderId="0" applyNumberFormat="0" applyFont="0" applyBorder="0" applyAlignment="0" applyProtection="0"/>
    <xf numFmtId="0" fontId="273" fillId="0" borderId="0">
      <protection locked="0"/>
    </xf>
    <xf numFmtId="0" fontId="265" fillId="0" borderId="0" applyNumberFormat="0" applyFill="0" applyBorder="0" applyProtection="0">
      <alignment horizontal="left" vertical="center"/>
    </xf>
    <xf numFmtId="0" fontId="273" fillId="0" borderId="0">
      <protection locked="0"/>
    </xf>
    <xf numFmtId="0" fontId="63" fillId="0" borderId="0"/>
    <xf numFmtId="189" fontId="89" fillId="0" borderId="0" applyFont="0" applyFill="0" applyBorder="0" applyAlignment="0" applyProtection="0"/>
    <xf numFmtId="0" fontId="89" fillId="0" borderId="0" applyFont="0" applyFill="0" applyBorder="0" applyAlignment="0" applyProtection="0"/>
    <xf numFmtId="0" fontId="162" fillId="0" borderId="0">
      <protection locked="0"/>
    </xf>
    <xf numFmtId="0" fontId="162" fillId="0" borderId="0">
      <protection locked="0"/>
    </xf>
    <xf numFmtId="0" fontId="162" fillId="0" borderId="0">
      <protection locked="0"/>
    </xf>
    <xf numFmtId="302" fontId="2" fillId="0" borderId="0" applyFont="0" applyFill="0" applyBorder="0" applyAlignment="0" applyProtection="0"/>
    <xf numFmtId="1" fontId="2" fillId="0" borderId="0" applyFont="0" applyFill="0" applyBorder="0" applyAlignment="0"/>
    <xf numFmtId="0" fontId="1" fillId="0" borderId="0"/>
    <xf numFmtId="38" fontId="31" fillId="7" borderId="0" applyNumberFormat="0" applyBorder="0" applyAlignment="0" applyProtection="0"/>
    <xf numFmtId="0" fontId="289" fillId="1" borderId="0" applyNumberFormat="0" applyBorder="0" applyProtection="0">
      <alignment horizontal="left" vertical="center"/>
    </xf>
    <xf numFmtId="0" fontId="1" fillId="0" borderId="0"/>
    <xf numFmtId="0" fontId="33" fillId="0" borderId="11" applyNumberFormat="0" applyAlignment="0" applyProtection="0">
      <alignment horizontal="left"/>
    </xf>
    <xf numFmtId="0" fontId="33" fillId="0" borderId="11" applyNumberFormat="0" applyAlignment="0" applyProtection="0">
      <alignment horizontal="left"/>
    </xf>
    <xf numFmtId="0" fontId="33" fillId="0" borderId="120">
      <alignment horizontal="left"/>
    </xf>
    <xf numFmtId="0" fontId="33" fillId="0" borderId="120">
      <alignment horizontal="left"/>
    </xf>
    <xf numFmtId="0" fontId="33" fillId="0" borderId="120">
      <alignment horizontal="left"/>
    </xf>
    <xf numFmtId="0" fontId="88" fillId="0" borderId="4"/>
    <xf numFmtId="284" fontId="277" fillId="0" borderId="0" applyFont="0" applyFill="0" applyBorder="0" applyAlignment="0" applyProtection="0">
      <alignment horizontal="right"/>
    </xf>
    <xf numFmtId="5" fontId="282" fillId="0" borderId="0" applyNumberFormat="0" applyFill="0" applyBorder="0" applyAlignment="0" applyProtection="0"/>
    <xf numFmtId="0" fontId="61" fillId="0" borderId="0"/>
    <xf numFmtId="0" fontId="1" fillId="0" borderId="0"/>
    <xf numFmtId="294" fontId="2" fillId="0" borderId="0" applyFont="0" applyFill="0" applyBorder="0" applyAlignment="0" applyProtection="0"/>
    <xf numFmtId="288" fontId="2" fillId="0" borderId="0" applyFont="0" applyFill="0" applyBorder="0" applyAlignment="0" applyProtection="0"/>
    <xf numFmtId="285"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38" fillId="0" borderId="0"/>
    <xf numFmtId="0" fontId="1" fillId="0" borderId="0"/>
    <xf numFmtId="0" fontId="1" fillId="0" borderId="0"/>
    <xf numFmtId="0" fontId="38" fillId="0" borderId="0"/>
    <xf numFmtId="0" fontId="38" fillId="0" borderId="0"/>
    <xf numFmtId="9" fontId="1" fillId="0" borderId="0" applyFont="0" applyFill="0" applyBorder="0" applyAlignment="0" applyProtection="0"/>
    <xf numFmtId="0" fontId="38" fillId="0" borderId="0"/>
    <xf numFmtId="0" fontId="1" fillId="0" borderId="0"/>
    <xf numFmtId="0" fontId="2" fillId="0" borderId="0"/>
    <xf numFmtId="0" fontId="2" fillId="0" borderId="0"/>
    <xf numFmtId="175" fontId="89" fillId="0" borderId="0"/>
    <xf numFmtId="0" fontId="1" fillId="0" borderId="0"/>
    <xf numFmtId="4" fontId="38" fillId="74" borderId="130" applyNumberFormat="0" applyProtection="0">
      <alignment horizontal="right" vertical="center"/>
    </xf>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37" fontId="291" fillId="0" borderId="131" applyNumberFormat="0" applyFill="0" applyBorder="0" applyAlignment="0">
      <protection locked="0"/>
    </xf>
    <xf numFmtId="0" fontId="1" fillId="0" borderId="0"/>
    <xf numFmtId="0" fontId="1" fillId="0" borderId="0"/>
    <xf numFmtId="175" fontId="89"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307" fillId="0" borderId="0" applyNumberFormat="0" applyFont="0" applyFill="0" applyBorder="0" applyAlignment="0">
      <alignment horizontal="left" vertical="center"/>
    </xf>
    <xf numFmtId="301" fontId="2" fillId="0" borderId="0"/>
    <xf numFmtId="301" fontId="2" fillId="0" borderId="0"/>
    <xf numFmtId="0" fontId="1" fillId="0" borderId="0"/>
    <xf numFmtId="0" fontId="1" fillId="0" borderId="0"/>
    <xf numFmtId="304" fontId="270" fillId="0" borderId="0">
      <alignment vertical="top" wrapText="1"/>
    </xf>
    <xf numFmtId="0" fontId="292" fillId="0" borderId="0" applyNumberFormat="0" applyFill="0" applyBorder="0" applyAlignment="0" applyProtection="0"/>
    <xf numFmtId="3" fontId="30" fillId="0" borderId="125"/>
    <xf numFmtId="0" fontId="270" fillId="0" borderId="0">
      <alignment vertical="top" wrapText="1"/>
    </xf>
    <xf numFmtId="0" fontId="272" fillId="0" borderId="0"/>
    <xf numFmtId="287" fontId="31" fillId="0" borderId="0">
      <alignment horizontal="right"/>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52" fillId="0" borderId="12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8" fillId="0" borderId="0" applyFont="0" applyFill="0" applyBorder="0" applyAlignment="0" applyProtection="0"/>
    <xf numFmtId="295" fontId="2" fillId="0" borderId="0" applyFont="0" applyFill="0" applyBorder="0" applyAlignment="0" applyProtection="0"/>
    <xf numFmtId="305" fontId="131" fillId="0" borderId="0" applyFont="0" applyFill="0" applyBorder="0" applyAlignment="0" applyProtection="0"/>
    <xf numFmtId="208" fontId="131" fillId="0" borderId="0" applyFont="0" applyFill="0" applyBorder="0" applyAlignment="0" applyProtection="0">
      <protection locked="0"/>
    </xf>
    <xf numFmtId="0" fontId="162" fillId="0" borderId="0">
      <protection locked="0"/>
    </xf>
    <xf numFmtId="4" fontId="38" fillId="75" borderId="130" applyNumberFormat="0" applyProtection="0">
      <alignment horizontal="right" vertical="center"/>
    </xf>
    <xf numFmtId="38" fontId="131" fillId="0" borderId="0" applyFont="0" applyFill="0" applyBorder="0" applyAlignment="0" applyProtection="0"/>
    <xf numFmtId="8" fontId="293" fillId="0" borderId="4">
      <alignment horizontal="right"/>
    </xf>
    <xf numFmtId="306" fontId="294" fillId="0" borderId="0"/>
    <xf numFmtId="307" fontId="2" fillId="0" borderId="0" applyFont="0" applyFill="0" applyBorder="0" applyProtection="0">
      <alignment horizontal="right"/>
    </xf>
    <xf numFmtId="308" fontId="2" fillId="0" borderId="0" applyFont="0" applyFill="0" applyBorder="0" applyProtection="0">
      <alignment horizontal="right"/>
    </xf>
    <xf numFmtId="0" fontId="295" fillId="0" borderId="0"/>
    <xf numFmtId="9" fontId="2" fillId="0" borderId="0" applyFont="0" applyFill="0" applyBorder="0" applyAlignment="0" applyProtection="0"/>
    <xf numFmtId="5" fontId="14" fillId="0" borderId="0">
      <alignment horizontal="right" vertical="center" wrapText="1"/>
    </xf>
    <xf numFmtId="5" fontId="14" fillId="0" borderId="0">
      <alignment horizontal="right" vertical="center" wrapText="1"/>
    </xf>
    <xf numFmtId="38" fontId="296" fillId="0" borderId="0"/>
    <xf numFmtId="39" fontId="297" fillId="0" borderId="0"/>
    <xf numFmtId="4" fontId="38" fillId="68" borderId="130" applyNumberFormat="0" applyProtection="0">
      <alignment vertical="center"/>
    </xf>
    <xf numFmtId="4" fontId="298" fillId="68" borderId="130" applyNumberFormat="0" applyProtection="0">
      <alignment vertical="center"/>
    </xf>
    <xf numFmtId="4" fontId="38" fillId="68" borderId="130" applyNumberFormat="0" applyProtection="0">
      <alignment horizontal="left" vertical="center" indent="1"/>
    </xf>
    <xf numFmtId="4" fontId="38" fillId="68" borderId="130" applyNumberFormat="0" applyProtection="0">
      <alignment horizontal="left" vertical="center" indent="1"/>
    </xf>
    <xf numFmtId="0" fontId="2" fillId="11" borderId="130" applyNumberFormat="0" applyProtection="0">
      <alignment horizontal="left" vertical="center" indent="1"/>
    </xf>
    <xf numFmtId="4" fontId="38" fillId="76" borderId="130" applyNumberFormat="0" applyProtection="0">
      <alignment horizontal="right" vertical="center"/>
    </xf>
    <xf numFmtId="4" fontId="38" fillId="77" borderId="130" applyNumberFormat="0" applyProtection="0">
      <alignment horizontal="right" vertical="center"/>
    </xf>
    <xf numFmtId="4" fontId="38" fillId="56" borderId="130" applyNumberFormat="0" applyProtection="0">
      <alignment horizontal="right" vertical="center"/>
    </xf>
    <xf numFmtId="4" fontId="38" fillId="78" borderId="130" applyNumberFormat="0" applyProtection="0">
      <alignment horizontal="right" vertical="center"/>
    </xf>
    <xf numFmtId="4" fontId="38" fillId="79" borderId="130" applyNumberFormat="0" applyProtection="0">
      <alignment horizontal="right" vertical="center"/>
    </xf>
    <xf numFmtId="4" fontId="38" fillId="80" borderId="130" applyNumberFormat="0" applyProtection="0">
      <alignment horizontal="right" vertical="center"/>
    </xf>
    <xf numFmtId="4" fontId="38" fillId="81" borderId="130" applyNumberFormat="0" applyProtection="0">
      <alignment horizontal="right" vertical="center"/>
    </xf>
    <xf numFmtId="4" fontId="80" fillId="82" borderId="130" applyNumberFormat="0" applyProtection="0">
      <alignment horizontal="left" vertical="center" indent="1"/>
    </xf>
    <xf numFmtId="4" fontId="38" fillId="44" borderId="132" applyNumberFormat="0" applyProtection="0">
      <alignment horizontal="left" vertical="center" indent="1"/>
    </xf>
    <xf numFmtId="4" fontId="299" fillId="83" borderId="0" applyNumberFormat="0" applyProtection="0">
      <alignment horizontal="left" vertical="center" indent="1"/>
    </xf>
    <xf numFmtId="0" fontId="2" fillId="11" borderId="130" applyNumberFormat="0" applyProtection="0">
      <alignment horizontal="left" vertical="center" indent="1"/>
    </xf>
    <xf numFmtId="4" fontId="38" fillId="84" borderId="133" applyNumberFormat="0" applyProtection="0">
      <alignment horizontal="left" vertical="center" indent="1"/>
    </xf>
    <xf numFmtId="4" fontId="38" fillId="44" borderId="133" applyNumberFormat="0" applyProtection="0">
      <alignment horizontal="left" vertical="center" indent="1"/>
    </xf>
    <xf numFmtId="0" fontId="2" fillId="7" borderId="130" applyNumberFormat="0" applyProtection="0">
      <alignment horizontal="left" vertical="center" indent="1"/>
    </xf>
    <xf numFmtId="0" fontId="2" fillId="85" borderId="130" applyNumberFormat="0" applyProtection="0">
      <alignment horizontal="left" vertical="center" indent="1"/>
    </xf>
    <xf numFmtId="0" fontId="2" fillId="41" borderId="130" applyNumberFormat="0" applyProtection="0">
      <alignment horizontal="left" vertical="center" indent="1"/>
    </xf>
    <xf numFmtId="0" fontId="2" fillId="41" borderId="130" applyNumberFormat="0" applyProtection="0">
      <alignment horizontal="left" vertical="center" indent="1"/>
    </xf>
    <xf numFmtId="0" fontId="2" fillId="7" borderId="130" applyNumberFormat="0" applyProtection="0">
      <alignment horizontal="left" vertical="center" indent="1"/>
    </xf>
    <xf numFmtId="0" fontId="2" fillId="7" borderId="130" applyNumberFormat="0" applyProtection="0">
      <alignment horizontal="left" vertical="center" indent="1"/>
    </xf>
    <xf numFmtId="0" fontId="2" fillId="11" borderId="130" applyNumberFormat="0" applyProtection="0">
      <alignment horizontal="left" vertical="center" indent="1"/>
    </xf>
    <xf numFmtId="0" fontId="2" fillId="11" borderId="130" applyNumberFormat="0" applyProtection="0">
      <alignment horizontal="left" vertical="center" indent="1"/>
    </xf>
    <xf numFmtId="4" fontId="38" fillId="38" borderId="130" applyNumberFormat="0" applyProtection="0">
      <alignment vertical="center"/>
    </xf>
    <xf numFmtId="4" fontId="298" fillId="38" borderId="130" applyNumberFormat="0" applyProtection="0">
      <alignment vertical="center"/>
    </xf>
    <xf numFmtId="4" fontId="38" fillId="38" borderId="130" applyNumberFormat="0" applyProtection="0">
      <alignment horizontal="left" vertical="center" indent="1"/>
    </xf>
    <xf numFmtId="4" fontId="38" fillId="38" borderId="130" applyNumberFormat="0" applyProtection="0">
      <alignment horizontal="left" vertical="center" indent="1"/>
    </xf>
    <xf numFmtId="4" fontId="38" fillId="84" borderId="130" applyNumberFormat="0" applyProtection="0">
      <alignment horizontal="right" vertical="center"/>
    </xf>
    <xf numFmtId="4" fontId="298" fillId="84" borderId="130" applyNumberFormat="0" applyProtection="0">
      <alignment horizontal="right" vertical="center"/>
    </xf>
    <xf numFmtId="0" fontId="2" fillId="11" borderId="130" applyNumberFormat="0" applyProtection="0">
      <alignment horizontal="left" vertical="center" indent="1"/>
    </xf>
    <xf numFmtId="0" fontId="300" fillId="0" borderId="0"/>
    <xf numFmtId="4" fontId="282" fillId="84" borderId="130" applyNumberFormat="0" applyProtection="0">
      <alignment horizontal="right" vertical="center"/>
    </xf>
    <xf numFmtId="3" fontId="301" fillId="0" borderId="123"/>
    <xf numFmtId="0" fontId="33" fillId="0" borderId="0" applyFill="0" applyBorder="0" applyProtection="0">
      <alignment horizontal="left"/>
    </xf>
    <xf numFmtId="0" fontId="88" fillId="86" borderId="119" applyNumberFormat="0" applyFont="0" applyBorder="0" applyAlignment="0" applyProtection="0"/>
    <xf numFmtId="208" fontId="131" fillId="0" borderId="0" applyFont="0" applyFill="0" applyBorder="0" applyAlignment="0" applyProtection="0"/>
    <xf numFmtId="41" fontId="302" fillId="0" borderId="0"/>
    <xf numFmtId="289" fontId="302" fillId="0" borderId="0"/>
    <xf numFmtId="43" fontId="2" fillId="0" borderId="0" applyFont="0" applyFill="0" applyBorder="0" applyAlignment="0" applyProtection="0"/>
    <xf numFmtId="12" fontId="2" fillId="0" borderId="0" applyFont="0" applyFill="0" applyBorder="0" applyProtection="0">
      <alignment horizontal="right"/>
    </xf>
    <xf numFmtId="269" fontId="2" fillId="0" borderId="0" applyFont="0" applyFill="0" applyBorder="0" applyProtection="0">
      <alignment horizontal="right"/>
    </xf>
    <xf numFmtId="0" fontId="2" fillId="0" borderId="0" applyNumberFormat="0" applyFill="0" applyBorder="0" applyAlignment="0" applyProtection="0"/>
    <xf numFmtId="0" fontId="303" fillId="0" borderId="0">
      <alignment horizontal="center"/>
    </xf>
    <xf numFmtId="0" fontId="304" fillId="0" borderId="0" applyNumberFormat="0">
      <alignment horizontal="left"/>
    </xf>
    <xf numFmtId="0" fontId="2" fillId="0" borderId="0" applyNumberFormat="0" applyFont="0" applyFill="0" applyBorder="0" applyAlignment="0" applyProtection="0"/>
    <xf numFmtId="44" fontId="2" fillId="0" borderId="0" applyFont="0" applyFill="0" applyBorder="0" applyAlignment="0" applyProtection="0"/>
    <xf numFmtId="0" fontId="207" fillId="0" borderId="0"/>
    <xf numFmtId="0" fontId="305" fillId="0" borderId="83"/>
    <xf numFmtId="0" fontId="218" fillId="0" borderId="134"/>
    <xf numFmtId="208" fontId="293" fillId="0" borderId="0" applyNumberFormat="0" applyFill="0" applyBorder="0" applyAlignment="0" applyProtection="0"/>
    <xf numFmtId="0" fontId="175" fillId="0" borderId="0" applyFill="0" applyBorder="0" applyAlignment="0" applyProtection="0"/>
    <xf numFmtId="3" fontId="268" fillId="0" borderId="121"/>
    <xf numFmtId="4" fontId="131" fillId="0" borderId="114"/>
    <xf numFmtId="309" fontId="2" fillId="0" borderId="0">
      <alignment horizontal="left"/>
      <protection locked="0"/>
    </xf>
    <xf numFmtId="0" fontId="57" fillId="0" borderId="0"/>
    <xf numFmtId="0" fontId="2" fillId="81" borderId="0"/>
    <xf numFmtId="0" fontId="2" fillId="0" borderId="0"/>
    <xf numFmtId="1" fontId="13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3" fontId="2" fillId="0" borderId="0" applyFont="0" applyFill="0" applyBorder="0" applyAlignment="0" applyProtection="0"/>
    <xf numFmtId="300" fontId="131" fillId="0" borderId="0" applyFont="0" applyFill="0" applyBorder="0" applyAlignment="0" applyProtection="0"/>
    <xf numFmtId="5" fontId="22" fillId="10" borderId="138" applyNumberFormat="0">
      <alignment horizontal="left" vertical="center"/>
      <protection locked="0"/>
    </xf>
    <xf numFmtId="0" fontId="2" fillId="41" borderId="139" applyNumberFormat="0" applyProtection="0">
      <alignment horizontal="left" vertical="center" wrapText="1" indent="1"/>
    </xf>
    <xf numFmtId="10" fontId="31" fillId="38" borderId="135" applyNumberFormat="0" applyBorder="0" applyAlignment="0" applyProtection="0"/>
    <xf numFmtId="10" fontId="31" fillId="38" borderId="135" applyNumberFormat="0" applyBorder="0" applyAlignment="0" applyProtection="0"/>
    <xf numFmtId="17" fontId="274" fillId="0" borderId="0"/>
    <xf numFmtId="0" fontId="306" fillId="0" borderId="0" applyNumberFormat="0" applyFill="0" applyBorder="0" applyProtection="0">
      <alignment horizontal="left" vertical="center"/>
    </xf>
    <xf numFmtId="4" fontId="38" fillId="74" borderId="139" applyNumberFormat="0" applyProtection="0">
      <alignment horizontal="right" vertical="center"/>
    </xf>
    <xf numFmtId="3" fontId="52" fillId="0" borderId="120"/>
    <xf numFmtId="4" fontId="38" fillId="75" borderId="139" applyNumberFormat="0" applyProtection="0">
      <alignment horizontal="right" vertical="center"/>
    </xf>
    <xf numFmtId="4" fontId="38" fillId="68" borderId="139" applyNumberFormat="0" applyProtection="0">
      <alignment vertical="center"/>
    </xf>
    <xf numFmtId="4" fontId="298" fillId="68" borderId="139" applyNumberFormat="0" applyProtection="0">
      <alignment vertical="center"/>
    </xf>
    <xf numFmtId="4" fontId="38" fillId="68" borderId="139" applyNumberFormat="0" applyProtection="0">
      <alignment horizontal="left" vertical="center" indent="1"/>
    </xf>
    <xf numFmtId="4" fontId="38" fillId="68" borderId="139" applyNumberFormat="0" applyProtection="0">
      <alignment horizontal="left" vertical="center" indent="1"/>
    </xf>
    <xf numFmtId="0" fontId="2" fillId="11" borderId="139" applyNumberFormat="0" applyProtection="0">
      <alignment horizontal="left" vertical="center" indent="1"/>
    </xf>
    <xf numFmtId="4" fontId="38" fillId="76" borderId="139" applyNumberFormat="0" applyProtection="0">
      <alignment horizontal="right" vertical="center"/>
    </xf>
    <xf numFmtId="4" fontId="38" fillId="77" borderId="139" applyNumberFormat="0" applyProtection="0">
      <alignment horizontal="right" vertical="center"/>
    </xf>
    <xf numFmtId="4" fontId="38" fillId="56" borderId="139" applyNumberFormat="0" applyProtection="0">
      <alignment horizontal="right" vertical="center"/>
    </xf>
    <xf numFmtId="4" fontId="38" fillId="78" borderId="139" applyNumberFormat="0" applyProtection="0">
      <alignment horizontal="right" vertical="center"/>
    </xf>
    <xf numFmtId="4" fontId="38" fillId="79" borderId="139" applyNumberFormat="0" applyProtection="0">
      <alignment horizontal="right" vertical="center"/>
    </xf>
    <xf numFmtId="4" fontId="38" fillId="80" borderId="139" applyNumberFormat="0" applyProtection="0">
      <alignment horizontal="right" vertical="center"/>
    </xf>
    <xf numFmtId="4" fontId="38" fillId="81" borderId="139" applyNumberFormat="0" applyProtection="0">
      <alignment horizontal="right" vertical="center"/>
    </xf>
    <xf numFmtId="4" fontId="80" fillId="82" borderId="139" applyNumberFormat="0" applyProtection="0">
      <alignment horizontal="left" vertical="center" indent="1"/>
    </xf>
    <xf numFmtId="0" fontId="2" fillId="11" borderId="139" applyNumberFormat="0" applyProtection="0">
      <alignment horizontal="left" vertical="center" indent="1"/>
    </xf>
    <xf numFmtId="4" fontId="38" fillId="84" borderId="140" applyNumberFormat="0" applyProtection="0">
      <alignment horizontal="left" vertical="center" indent="1"/>
    </xf>
    <xf numFmtId="4" fontId="38" fillId="44" borderId="140" applyNumberFormat="0" applyProtection="0">
      <alignment horizontal="left" vertical="center" indent="1"/>
    </xf>
    <xf numFmtId="0" fontId="2" fillId="7" borderId="139" applyNumberFormat="0" applyProtection="0">
      <alignment horizontal="left" vertical="center" indent="1"/>
    </xf>
    <xf numFmtId="0" fontId="2" fillId="85" borderId="139" applyNumberFormat="0" applyProtection="0">
      <alignment horizontal="left" vertical="center" indent="1"/>
    </xf>
    <xf numFmtId="0" fontId="2" fillId="41" borderId="139" applyNumberFormat="0" applyProtection="0">
      <alignment horizontal="left" vertical="center" indent="1"/>
    </xf>
    <xf numFmtId="0" fontId="2" fillId="41" borderId="139" applyNumberFormat="0" applyProtection="0">
      <alignment horizontal="left" vertical="center" indent="1"/>
    </xf>
    <xf numFmtId="0" fontId="2" fillId="7" borderId="139" applyNumberFormat="0" applyProtection="0">
      <alignment horizontal="left" vertical="center" indent="1"/>
    </xf>
    <xf numFmtId="0" fontId="2" fillId="7" borderId="139" applyNumberFormat="0" applyProtection="0">
      <alignment horizontal="left" vertical="center" indent="1"/>
    </xf>
    <xf numFmtId="0" fontId="2" fillId="11" borderId="139" applyNumberFormat="0" applyProtection="0">
      <alignment horizontal="left" vertical="center" indent="1"/>
    </xf>
    <xf numFmtId="0" fontId="2" fillId="11" borderId="139" applyNumberFormat="0" applyProtection="0">
      <alignment horizontal="left" vertical="center" indent="1"/>
    </xf>
    <xf numFmtId="4" fontId="38" fillId="38" borderId="139" applyNumberFormat="0" applyProtection="0">
      <alignment vertical="center"/>
    </xf>
    <xf numFmtId="4" fontId="298" fillId="38" borderId="139" applyNumberFormat="0" applyProtection="0">
      <alignment vertical="center"/>
    </xf>
    <xf numFmtId="4" fontId="38" fillId="38" borderId="139" applyNumberFormat="0" applyProtection="0">
      <alignment horizontal="left" vertical="center" indent="1"/>
    </xf>
    <xf numFmtId="4" fontId="38" fillId="38" borderId="139" applyNumberFormat="0" applyProtection="0">
      <alignment horizontal="left" vertical="center" indent="1"/>
    </xf>
    <xf numFmtId="4" fontId="38" fillId="84" borderId="139" applyNumberFormat="0" applyProtection="0">
      <alignment horizontal="right" vertical="center"/>
    </xf>
    <xf numFmtId="4" fontId="298" fillId="84" borderId="139" applyNumberFormat="0" applyProtection="0">
      <alignment horizontal="right" vertical="center"/>
    </xf>
    <xf numFmtId="0" fontId="2" fillId="11" borderId="139" applyNumberFormat="0" applyProtection="0">
      <alignment horizontal="left" vertical="center" indent="1"/>
    </xf>
    <xf numFmtId="4" fontId="282" fillId="84" borderId="139" applyNumberFormat="0" applyProtection="0">
      <alignment horizontal="right" vertical="center"/>
    </xf>
    <xf numFmtId="0" fontId="88" fillId="86" borderId="119" applyNumberFormat="0" applyFont="0" applyBorder="0" applyAlignment="0" applyProtection="0"/>
    <xf numFmtId="3" fontId="268" fillId="0" borderId="136"/>
    <xf numFmtId="4" fontId="131" fillId="0" borderId="137"/>
    <xf numFmtId="44" fontId="241" fillId="0" borderId="0" applyFont="0" applyFill="0" applyBorder="0" applyAlignment="0" applyProtection="0"/>
    <xf numFmtId="9" fontId="241" fillId="0" borderId="0" applyFont="0" applyFill="0" applyBorder="0" applyAlignment="0" applyProtection="0"/>
    <xf numFmtId="43" fontId="241" fillId="0" borderId="0" applyFont="0" applyFill="0" applyBorder="0" applyAlignment="0" applyProtection="0"/>
    <xf numFmtId="0" fontId="241" fillId="0" borderId="0"/>
    <xf numFmtId="0" fontId="241" fillId="0" borderId="0"/>
    <xf numFmtId="43" fontId="241" fillId="0" borderId="0" applyFont="0" applyFill="0" applyBorder="0" applyAlignment="0" applyProtection="0"/>
    <xf numFmtId="9" fontId="241" fillId="0" borderId="0" applyFont="0" applyFill="0" applyBorder="0" applyAlignment="0" applyProtection="0"/>
    <xf numFmtId="44" fontId="241" fillId="0" borderId="0" applyFont="0" applyFill="0" applyBorder="0" applyAlignment="0" applyProtection="0"/>
    <xf numFmtId="14" fontId="89" fillId="67" borderId="143" applyNumberFormat="0" applyFont="0" applyBorder="0" applyAlignment="0" applyProtection="0">
      <alignment horizontal="center"/>
      <protection locked="0"/>
    </xf>
    <xf numFmtId="0" fontId="86" fillId="0" borderId="118">
      <alignment horizontal="center"/>
    </xf>
    <xf numFmtId="0" fontId="214" fillId="0" borderId="0" applyNumberFormat="0" applyFill="0" applyBorder="0" applyProtection="0">
      <alignment horizontal="left" vertical="center"/>
    </xf>
    <xf numFmtId="1" fontId="88" fillId="65" borderId="144">
      <alignment horizontal="center"/>
    </xf>
    <xf numFmtId="49" fontId="210" fillId="0" borderId="145" applyFill="0" applyProtection="0">
      <alignment vertical="center"/>
    </xf>
  </cellStyleXfs>
  <cellXfs count="692">
    <xf numFmtId="0" fontId="0" fillId="0" borderId="0" xfId="0"/>
    <xf numFmtId="0" fontId="4" fillId="0" borderId="3" xfId="0" applyFont="1" applyBorder="1"/>
    <xf numFmtId="165" fontId="0" fillId="0" borderId="4" xfId="0" applyNumberFormat="1" applyBorder="1"/>
    <xf numFmtId="0" fontId="0" fillId="0" borderId="5" xfId="0" applyBorder="1" applyAlignment="1">
      <alignment horizontal="right"/>
    </xf>
    <xf numFmtId="10" fontId="6" fillId="0" borderId="0" xfId="3" applyNumberFormat="1" applyFont="1" applyBorder="1"/>
    <xf numFmtId="0" fontId="6" fillId="0" borderId="6" xfId="0" applyFont="1" applyBorder="1"/>
    <xf numFmtId="0" fontId="6" fillId="0" borderId="0" xfId="0" applyFont="1"/>
    <xf numFmtId="0" fontId="0" fillId="0" borderId="6" xfId="0" applyBorder="1"/>
    <xf numFmtId="6" fontId="0" fillId="0" borderId="0" xfId="0" applyNumberFormat="1"/>
    <xf numFmtId="6" fontId="0" fillId="0" borderId="2" xfId="0" applyNumberFormat="1" applyBorder="1"/>
    <xf numFmtId="0" fontId="0" fillId="0" borderId="8" xfId="0" applyBorder="1"/>
    <xf numFmtId="0" fontId="0" fillId="0" borderId="0" xfId="0" applyAlignment="1">
      <alignment horizontal="center" wrapText="1"/>
    </xf>
    <xf numFmtId="49" fontId="0" fillId="0" borderId="0" xfId="0" applyNumberFormat="1" applyAlignment="1">
      <alignment horizontal="center" wrapText="1"/>
    </xf>
    <xf numFmtId="49" fontId="4" fillId="0" borderId="0" xfId="0" applyNumberFormat="1" applyFont="1" applyAlignment="1">
      <alignment horizontal="center" wrapText="1"/>
    </xf>
    <xf numFmtId="0" fontId="0" fillId="0" borderId="0" xfId="0" applyAlignment="1">
      <alignment horizontal="center"/>
    </xf>
    <xf numFmtId="165" fontId="0" fillId="0" borderId="0" xfId="1" applyNumberFormat="1" applyFont="1"/>
    <xf numFmtId="9" fontId="0" fillId="0" borderId="0" xfId="3" applyFont="1" applyAlignment="1">
      <alignment horizontal="center"/>
    </xf>
    <xf numFmtId="2" fontId="0" fillId="0" borderId="0" xfId="0" applyNumberFormat="1" applyAlignment="1">
      <alignment horizontal="center"/>
    </xf>
    <xf numFmtId="43" fontId="0" fillId="0" borderId="0" xfId="0" applyNumberFormat="1"/>
    <xf numFmtId="9" fontId="0" fillId="0" borderId="0" xfId="3" applyFont="1"/>
    <xf numFmtId="0" fontId="9" fillId="0" borderId="0" xfId="0" applyFont="1" applyAlignment="1">
      <alignment horizontal="center"/>
    </xf>
    <xf numFmtId="165" fontId="10" fillId="0" borderId="0" xfId="1" applyNumberFormat="1" applyFont="1"/>
    <xf numFmtId="9" fontId="9" fillId="0" borderId="0" xfId="3" applyFont="1" applyAlignment="1">
      <alignment horizontal="center"/>
    </xf>
    <xf numFmtId="2" fontId="9" fillId="0" borderId="0" xfId="0" applyNumberFormat="1" applyFont="1" applyAlignment="1">
      <alignment horizontal="center"/>
    </xf>
    <xf numFmtId="0" fontId="4" fillId="0" borderId="0" xfId="0" applyFont="1" applyAlignment="1">
      <alignment horizontal="center"/>
    </xf>
    <xf numFmtId="165" fontId="0" fillId="0" borderId="0" xfId="0" applyNumberFormat="1"/>
    <xf numFmtId="9" fontId="4" fillId="0" borderId="0" xfId="3" applyFont="1" applyAlignment="1">
      <alignment horizontal="center"/>
    </xf>
    <xf numFmtId="2" fontId="4" fillId="0" borderId="0" xfId="0" applyNumberFormat="1" applyFont="1" applyAlignment="1">
      <alignment horizontal="center"/>
    </xf>
    <xf numFmtId="165" fontId="4" fillId="0" borderId="0" xfId="0" applyNumberFormat="1" applyFont="1"/>
    <xf numFmtId="166" fontId="4" fillId="0" borderId="0" xfId="2" applyNumberFormat="1" applyFont="1"/>
    <xf numFmtId="0" fontId="4" fillId="0" borderId="0" xfId="0" applyFont="1" applyAlignment="1">
      <alignment horizontal="right"/>
    </xf>
    <xf numFmtId="165" fontId="4" fillId="0" borderId="0" xfId="1" applyNumberFormat="1" applyFont="1"/>
    <xf numFmtId="0" fontId="0" fillId="0" borderId="0" xfId="0" applyAlignment="1">
      <alignment horizontal="right"/>
    </xf>
    <xf numFmtId="167" fontId="0" fillId="0" borderId="0" xfId="3" applyNumberFormat="1" applyFont="1"/>
    <xf numFmtId="9" fontId="6" fillId="0" borderId="0" xfId="3" applyFont="1"/>
    <xf numFmtId="171" fontId="0" fillId="0" borderId="0" xfId="1" applyNumberFormat="1" applyFont="1"/>
    <xf numFmtId="170" fontId="0" fillId="0" borderId="0" xfId="0" applyNumberFormat="1"/>
    <xf numFmtId="43" fontId="6" fillId="0" borderId="0" xfId="0" applyNumberFormat="1" applyFont="1"/>
    <xf numFmtId="0" fontId="11" fillId="0" borderId="0" xfId="0" applyFont="1" applyAlignment="1">
      <alignment horizontal="center"/>
    </xf>
    <xf numFmtId="165" fontId="0" fillId="0" borderId="0" xfId="1" applyNumberFormat="1" applyFont="1" applyBorder="1" applyAlignment="1">
      <alignment horizontal="right"/>
    </xf>
    <xf numFmtId="165" fontId="5" fillId="0" borderId="0" xfId="1" applyNumberFormat="1" applyFont="1" applyBorder="1" applyAlignment="1">
      <alignment horizontal="center"/>
    </xf>
    <xf numFmtId="165" fontId="0" fillId="0" borderId="0" xfId="1" applyNumberFormat="1" applyFont="1" applyAlignment="1">
      <alignment horizontal="right"/>
    </xf>
    <xf numFmtId="0" fontId="7" fillId="0" borderId="0" xfId="0" applyFont="1"/>
    <xf numFmtId="165" fontId="10" fillId="0" borderId="0" xfId="0" applyNumberFormat="1" applyFont="1"/>
    <xf numFmtId="0" fontId="7" fillId="0" borderId="0" xfId="0" applyFont="1" applyAlignment="1">
      <alignment horizontal="right"/>
    </xf>
    <xf numFmtId="165" fontId="7" fillId="0" borderId="0" xfId="0" applyNumberFormat="1" applyFont="1"/>
    <xf numFmtId="172" fontId="0" fillId="0" borderId="0" xfId="0" applyNumberFormat="1"/>
    <xf numFmtId="0" fontId="4" fillId="0" borderId="0" xfId="0" applyFont="1" applyAlignment="1">
      <alignment horizontal="left" wrapText="1"/>
    </xf>
    <xf numFmtId="0" fontId="12" fillId="0" borderId="0" xfId="0" applyFont="1"/>
    <xf numFmtId="0" fontId="13" fillId="0" borderId="0" xfId="0" applyFont="1"/>
    <xf numFmtId="0" fontId="16" fillId="0" borderId="0" xfId="0" applyFont="1"/>
    <xf numFmtId="165" fontId="13" fillId="0" borderId="0" xfId="1" applyNumberFormat="1" applyFont="1" applyBorder="1"/>
    <xf numFmtId="10" fontId="13" fillId="0" borderId="0" xfId="3" applyNumberFormat="1" applyFont="1" applyBorder="1"/>
    <xf numFmtId="165" fontId="13" fillId="0" borderId="0" xfId="0" applyNumberFormat="1" applyFont="1"/>
    <xf numFmtId="49" fontId="12" fillId="0" borderId="0" xfId="0" applyNumberFormat="1" applyFont="1" applyAlignment="1">
      <alignment horizontal="center"/>
    </xf>
    <xf numFmtId="49" fontId="12" fillId="0" borderId="0" xfId="0" applyNumberFormat="1" applyFont="1"/>
    <xf numFmtId="10" fontId="16" fillId="0" borderId="0" xfId="0" applyNumberFormat="1" applyFont="1"/>
    <xf numFmtId="166" fontId="13" fillId="0" borderId="0" xfId="0" applyNumberFormat="1" applyFont="1"/>
    <xf numFmtId="0" fontId="13" fillId="0" borderId="0" xfId="0" applyFont="1" applyAlignment="1">
      <alignment horizontal="left"/>
    </xf>
    <xf numFmtId="0" fontId="15" fillId="0" borderId="0" xfId="0" applyFont="1" applyAlignment="1">
      <alignment horizontal="left"/>
    </xf>
    <xf numFmtId="166" fontId="13" fillId="0" borderId="0" xfId="3" applyNumberFormat="1" applyFont="1" applyBorder="1" applyAlignment="1"/>
    <xf numFmtId="44" fontId="13" fillId="0" borderId="0" xfId="0" applyNumberFormat="1" applyFont="1" applyAlignment="1">
      <alignment horizontal="left"/>
    </xf>
    <xf numFmtId="43" fontId="13" fillId="0" borderId="0" xfId="0" applyNumberFormat="1" applyFont="1"/>
    <xf numFmtId="6" fontId="13" fillId="0" borderId="0" xfId="0" applyNumberFormat="1" applyFont="1" applyAlignment="1">
      <alignment horizontal="left"/>
    </xf>
    <xf numFmtId="0" fontId="15" fillId="0" borderId="0" xfId="0" applyFont="1"/>
    <xf numFmtId="166" fontId="15" fillId="0" borderId="0" xfId="0" applyNumberFormat="1" applyFont="1"/>
    <xf numFmtId="9" fontId="13" fillId="0" borderId="0" xfId="3" applyFont="1"/>
    <xf numFmtId="9" fontId="13" fillId="0" borderId="0" xfId="0" applyNumberFormat="1" applyFont="1"/>
    <xf numFmtId="44" fontId="13" fillId="0" borderId="0" xfId="0" applyNumberFormat="1" applyFont="1" applyAlignment="1">
      <alignment horizontal="right"/>
    </xf>
    <xf numFmtId="10" fontId="13" fillId="0" borderId="0" xfId="3" applyNumberFormat="1" applyFont="1" applyFill="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18" fillId="0" borderId="0" xfId="0" applyFont="1"/>
    <xf numFmtId="164" fontId="13" fillId="0" borderId="0" xfId="1" applyNumberFormat="1" applyFont="1" applyFill="1" applyBorder="1" applyAlignment="1">
      <alignment horizontal="right"/>
    </xf>
    <xf numFmtId="0" fontId="15" fillId="0" borderId="0" xfId="0" applyFont="1" applyAlignment="1">
      <alignment horizontal="center"/>
    </xf>
    <xf numFmtId="165" fontId="12" fillId="0" borderId="0" xfId="1" applyNumberFormat="1" applyFont="1" applyFill="1" applyBorder="1" applyAlignment="1">
      <alignment horizontal="right"/>
    </xf>
    <xf numFmtId="10" fontId="12" fillId="0" borderId="0" xfId="3" applyNumberFormat="1" applyFont="1" applyFill="1" applyBorder="1" applyAlignment="1">
      <alignment horizontal="right"/>
    </xf>
    <xf numFmtId="0" fontId="19" fillId="0" borderId="0" xfId="0" applyFont="1"/>
    <xf numFmtId="9" fontId="19" fillId="0" borderId="0" xfId="3" applyFont="1" applyFill="1"/>
    <xf numFmtId="165" fontId="13" fillId="0" borderId="0" xfId="1" applyNumberFormat="1" applyFont="1" applyFill="1"/>
    <xf numFmtId="166" fontId="14" fillId="0" borderId="0" xfId="1" applyNumberFormat="1" applyFont="1" applyFill="1" applyBorder="1"/>
    <xf numFmtId="9" fontId="14" fillId="0" borderId="0" xfId="3" applyFont="1" applyFill="1"/>
    <xf numFmtId="166" fontId="12" fillId="0" borderId="0" xfId="1" applyNumberFormat="1" applyFont="1" applyFill="1" applyBorder="1"/>
    <xf numFmtId="37" fontId="14" fillId="0" borderId="0" xfId="0" applyNumberFormat="1" applyFont="1"/>
    <xf numFmtId="165" fontId="13" fillId="0" borderId="0" xfId="1" applyNumberFormat="1" applyFont="1" applyFill="1" applyBorder="1" applyAlignment="1">
      <alignment horizontal="right"/>
    </xf>
    <xf numFmtId="166" fontId="16" fillId="0" borderId="0" xfId="3" applyNumberFormat="1" applyFont="1" applyFill="1" applyBorder="1"/>
    <xf numFmtId="38" fontId="13" fillId="0" borderId="0" xfId="0" applyNumberFormat="1" applyFont="1"/>
    <xf numFmtId="3" fontId="14" fillId="0" borderId="0" xfId="0" applyNumberFormat="1" applyFont="1" applyAlignment="1">
      <alignment horizontal="center"/>
    </xf>
    <xf numFmtId="173" fontId="20" fillId="0" borderId="0" xfId="1" applyNumberFormat="1" applyFont="1" applyFill="1" applyBorder="1" applyAlignment="1">
      <alignment horizontal="center"/>
    </xf>
    <xf numFmtId="0" fontId="14" fillId="0" borderId="0" xfId="0" applyFont="1"/>
    <xf numFmtId="166" fontId="14" fillId="0" borderId="0" xfId="0" applyNumberFormat="1" applyFont="1"/>
    <xf numFmtId="165" fontId="13" fillId="0" borderId="0" xfId="1" applyNumberFormat="1" applyFont="1" applyFill="1" applyAlignment="1">
      <alignment horizontal="right"/>
    </xf>
    <xf numFmtId="10" fontId="13" fillId="0" borderId="0" xfId="3" applyNumberFormat="1" applyFont="1" applyFill="1" applyAlignment="1">
      <alignment horizontal="right"/>
    </xf>
    <xf numFmtId="0" fontId="13" fillId="0" borderId="0" xfId="0" applyFont="1" applyAlignment="1">
      <alignment horizontal="right"/>
    </xf>
    <xf numFmtId="168" fontId="12" fillId="0" borderId="0" xfId="0" applyNumberFormat="1" applyFont="1" applyAlignment="1">
      <alignment horizontal="right"/>
    </xf>
    <xf numFmtId="0" fontId="21" fillId="0" borderId="0" xfId="0" applyFont="1"/>
    <xf numFmtId="0" fontId="15" fillId="0" borderId="0" xfId="0" applyFont="1" applyAlignment="1">
      <alignment horizontal="right"/>
    </xf>
    <xf numFmtId="0" fontId="12" fillId="0" borderId="0" xfId="0" applyFont="1" applyAlignment="1">
      <alignment horizontal="center"/>
    </xf>
    <xf numFmtId="0" fontId="14" fillId="0" borderId="0" xfId="0" applyFont="1" applyAlignment="1">
      <alignment horizontal="left"/>
    </xf>
    <xf numFmtId="0" fontId="14" fillId="0" borderId="0" xfId="1" applyNumberFormat="1" applyFont="1" applyFill="1" applyBorder="1" applyAlignment="1">
      <alignment horizontal="right"/>
    </xf>
    <xf numFmtId="0" fontId="14" fillId="0" borderId="0" xfId="1" applyNumberFormat="1" applyFont="1" applyFill="1" applyBorder="1" applyAlignment="1">
      <alignment horizontal="center"/>
    </xf>
    <xf numFmtId="0" fontId="14" fillId="0" borderId="0" xfId="0" applyFont="1" applyAlignment="1">
      <alignment horizontal="right"/>
    </xf>
    <xf numFmtId="0" fontId="22" fillId="0" borderId="0" xfId="0" applyFont="1" applyAlignment="1">
      <alignment horizontal="center"/>
    </xf>
    <xf numFmtId="0" fontId="23" fillId="0" borderId="0" xfId="0" applyFont="1" applyAlignment="1">
      <alignment horizontal="center"/>
    </xf>
    <xf numFmtId="0" fontId="14" fillId="0" borderId="0" xfId="3" applyNumberFormat="1" applyFont="1" applyFill="1" applyBorder="1" applyAlignment="1">
      <alignment horizontal="left"/>
    </xf>
    <xf numFmtId="0" fontId="13" fillId="0" borderId="0" xfId="3" applyNumberFormat="1" applyFont="1" applyFill="1" applyBorder="1" applyAlignment="1">
      <alignment horizontal="right"/>
    </xf>
    <xf numFmtId="0" fontId="16" fillId="0" borderId="0" xfId="3" applyNumberFormat="1" applyFont="1" applyFill="1" applyBorder="1" applyAlignment="1">
      <alignment horizontal="right"/>
    </xf>
    <xf numFmtId="0" fontId="16" fillId="0" borderId="0" xfId="3" applyNumberFormat="1" applyFont="1" applyFill="1" applyBorder="1" applyAlignment="1">
      <alignment horizontal="center"/>
    </xf>
    <xf numFmtId="0" fontId="14" fillId="0" borderId="0" xfId="3" applyNumberFormat="1" applyFont="1" applyFill="1" applyBorder="1" applyAlignment="1">
      <alignment horizontal="center"/>
    </xf>
    <xf numFmtId="9" fontId="13" fillId="0" borderId="0" xfId="3" applyFont="1" applyFill="1" applyBorder="1"/>
    <xf numFmtId="0" fontId="14" fillId="0" borderId="0" xfId="3" applyNumberFormat="1" applyFont="1" applyFill="1" applyBorder="1" applyAlignment="1">
      <alignment horizontal="right"/>
    </xf>
    <xf numFmtId="0" fontId="13" fillId="0" borderId="0" xfId="3" applyNumberFormat="1" applyFont="1" applyFill="1" applyBorder="1" applyAlignment="1">
      <alignment horizontal="center"/>
    </xf>
    <xf numFmtId="0" fontId="13" fillId="0" borderId="0" xfId="1" applyNumberFormat="1" applyFont="1" applyFill="1" applyBorder="1" applyAlignment="1">
      <alignment horizontal="left"/>
    </xf>
    <xf numFmtId="0" fontId="13" fillId="0" borderId="0" xfId="1" applyNumberFormat="1" applyFont="1" applyFill="1" applyBorder="1" applyAlignment="1">
      <alignment horizontal="right"/>
    </xf>
    <xf numFmtId="0" fontId="13" fillId="0" borderId="0" xfId="1" applyNumberFormat="1" applyFont="1" applyFill="1" applyBorder="1" applyAlignment="1">
      <alignment horizontal="center"/>
    </xf>
    <xf numFmtId="165" fontId="13" fillId="0" borderId="0" xfId="1" applyNumberFormat="1" applyFont="1" applyFill="1" applyBorder="1"/>
    <xf numFmtId="165" fontId="14" fillId="0" borderId="0" xfId="1" applyNumberFormat="1" applyFont="1" applyFill="1" applyBorder="1"/>
    <xf numFmtId="0" fontId="14" fillId="0" borderId="0" xfId="1" applyNumberFormat="1" applyFont="1" applyFill="1" applyBorder="1" applyAlignment="1">
      <alignment horizontal="left"/>
    </xf>
    <xf numFmtId="0" fontId="16" fillId="0" borderId="0" xfId="1" applyNumberFormat="1" applyFont="1" applyFill="1" applyBorder="1" applyAlignment="1">
      <alignment horizontal="right"/>
    </xf>
    <xf numFmtId="0" fontId="16" fillId="0" borderId="0" xfId="1" applyNumberFormat="1" applyFont="1" applyFill="1" applyBorder="1" applyAlignment="1">
      <alignment horizontal="center"/>
    </xf>
    <xf numFmtId="0" fontId="24" fillId="0" borderId="0" xfId="1" applyNumberFormat="1" applyFont="1" applyFill="1" applyBorder="1" applyAlignment="1">
      <alignment horizontal="left"/>
    </xf>
    <xf numFmtId="49" fontId="14" fillId="0" borderId="0" xfId="1" applyNumberFormat="1" applyFont="1" applyFill="1" applyBorder="1"/>
    <xf numFmtId="43" fontId="14" fillId="0" borderId="0" xfId="1" applyFont="1" applyFill="1" applyBorder="1"/>
    <xf numFmtId="49" fontId="15" fillId="0" borderId="0" xfId="0" applyNumberFormat="1" applyFont="1"/>
    <xf numFmtId="9" fontId="15" fillId="0" borderId="0" xfId="3" applyFont="1" applyFill="1" applyBorder="1"/>
    <xf numFmtId="0" fontId="12" fillId="0" borderId="0" xfId="1" applyNumberFormat="1" applyFont="1" applyFill="1" applyBorder="1" applyAlignment="1">
      <alignment horizontal="right"/>
    </xf>
    <xf numFmtId="0" fontId="12" fillId="0" borderId="0" xfId="1" applyNumberFormat="1" applyFont="1" applyFill="1" applyBorder="1" applyAlignment="1">
      <alignment horizontal="center"/>
    </xf>
    <xf numFmtId="165" fontId="14" fillId="0" borderId="0" xfId="1" applyNumberFormat="1" applyFont="1" applyFill="1" applyBorder="1" applyAlignment="1">
      <alignment horizontal="left"/>
    </xf>
    <xf numFmtId="165" fontId="14" fillId="0" borderId="0" xfId="1" applyNumberFormat="1" applyFont="1" applyFill="1" applyBorder="1" applyAlignment="1">
      <alignment horizontal="right"/>
    </xf>
    <xf numFmtId="165" fontId="14" fillId="0" borderId="0" xfId="1" applyNumberFormat="1" applyFont="1" applyFill="1" applyBorder="1" applyAlignment="1">
      <alignment horizontal="center"/>
    </xf>
    <xf numFmtId="165" fontId="14" fillId="0" borderId="0" xfId="1" quotePrefix="1" applyNumberFormat="1" applyFont="1" applyFill="1" applyBorder="1" applyAlignment="1">
      <alignment horizontal="right"/>
    </xf>
    <xf numFmtId="165" fontId="13" fillId="0" borderId="0" xfId="1" quotePrefix="1" applyNumberFormat="1" applyFont="1" applyFill="1" applyBorder="1" applyAlignment="1">
      <alignment horizontal="right"/>
    </xf>
    <xf numFmtId="37" fontId="13" fillId="0" borderId="0" xfId="0" applyNumberFormat="1" applyFont="1"/>
    <xf numFmtId="10" fontId="14" fillId="0" borderId="0" xfId="3" applyNumberFormat="1" applyFont="1" applyFill="1" applyBorder="1" applyAlignment="1">
      <alignment horizontal="center"/>
    </xf>
    <xf numFmtId="10" fontId="25" fillId="0" borderId="0" xfId="0" applyNumberFormat="1" applyFont="1" applyAlignment="1">
      <alignment horizontal="right"/>
    </xf>
    <xf numFmtId="10" fontId="16" fillId="0" borderId="0" xfId="3" applyNumberFormat="1" applyFont="1" applyFill="1" applyBorder="1" applyAlignment="1">
      <alignment horizontal="right"/>
    </xf>
    <xf numFmtId="10" fontId="25" fillId="0" borderId="0" xfId="3" applyNumberFormat="1" applyFont="1" applyFill="1" applyBorder="1"/>
    <xf numFmtId="0" fontId="25" fillId="0" borderId="0" xfId="0" applyFont="1" applyAlignment="1">
      <alignment horizontal="right"/>
    </xf>
    <xf numFmtId="165" fontId="14" fillId="0" borderId="0" xfId="4" applyNumberFormat="1" applyFont="1" applyAlignment="1">
      <alignment horizontal="right"/>
    </xf>
    <xf numFmtId="9" fontId="16" fillId="0" borderId="0" xfId="4" applyNumberFormat="1" applyFont="1" applyAlignment="1">
      <alignment horizontal="right"/>
    </xf>
    <xf numFmtId="0" fontId="16" fillId="0" borderId="0" xfId="0" applyFont="1" applyAlignment="1">
      <alignment horizontal="right"/>
    </xf>
    <xf numFmtId="165" fontId="14" fillId="0" borderId="0" xfId="5" applyNumberFormat="1" applyFont="1" applyFill="1" applyBorder="1" applyAlignment="1">
      <alignment horizontal="right"/>
    </xf>
    <xf numFmtId="169" fontId="16" fillId="0" borderId="0" xfId="4" applyNumberFormat="1" applyFont="1" applyAlignment="1">
      <alignment horizontal="right"/>
    </xf>
    <xf numFmtId="43" fontId="13" fillId="0" borderId="0" xfId="1" applyFont="1" applyFill="1" applyBorder="1" applyAlignment="1">
      <alignment horizontal="right"/>
    </xf>
    <xf numFmtId="165" fontId="16" fillId="0" borderId="0" xfId="1" applyNumberFormat="1" applyFont="1" applyFill="1" applyBorder="1" applyAlignment="1">
      <alignment horizontal="right"/>
    </xf>
    <xf numFmtId="165" fontId="16" fillId="0" borderId="0" xfId="1" applyNumberFormat="1" applyFont="1" applyFill="1" applyAlignment="1">
      <alignment horizontal="right"/>
    </xf>
    <xf numFmtId="10" fontId="13" fillId="0" borderId="0" xfId="3" applyNumberFormat="1" applyFont="1" applyFill="1"/>
    <xf numFmtId="9" fontId="14" fillId="0" borderId="0" xfId="3" applyFont="1" applyFill="1" applyBorder="1"/>
    <xf numFmtId="0" fontId="12" fillId="0" borderId="0" xfId="0" applyFont="1" applyAlignment="1">
      <alignment horizontal="right"/>
    </xf>
    <xf numFmtId="6" fontId="14" fillId="0" borderId="0" xfId="0" applyNumberFormat="1" applyFont="1"/>
    <xf numFmtId="44" fontId="14" fillId="0" borderId="0" xfId="0" applyNumberFormat="1" applyFont="1"/>
    <xf numFmtId="166" fontId="12" fillId="0" borderId="0" xfId="0" applyNumberFormat="1" applyFont="1"/>
    <xf numFmtId="165" fontId="14" fillId="0" borderId="0" xfId="1" applyNumberFormat="1" applyFont="1" applyFill="1"/>
    <xf numFmtId="43" fontId="13" fillId="0" borderId="0" xfId="0" applyNumberFormat="1" applyFont="1" applyAlignment="1">
      <alignment horizontal="left"/>
    </xf>
    <xf numFmtId="6" fontId="13" fillId="0" borderId="0" xfId="0" applyNumberFormat="1" applyFont="1"/>
    <xf numFmtId="9" fontId="15" fillId="0" borderId="0" xfId="0" applyNumberFormat="1" applyFont="1" applyAlignment="1">
      <alignment horizontal="center"/>
    </xf>
    <xf numFmtId="165" fontId="14" fillId="0" borderId="0" xfId="1" applyNumberFormat="1" applyFont="1" applyBorder="1"/>
    <xf numFmtId="177" fontId="13" fillId="0" borderId="0" xfId="1" applyNumberFormat="1" applyFont="1" applyFill="1" applyBorder="1"/>
    <xf numFmtId="177" fontId="13" fillId="0" borderId="0" xfId="1" applyNumberFormat="1" applyFont="1" applyBorder="1"/>
    <xf numFmtId="9" fontId="13" fillId="0" borderId="0" xfId="3" applyFont="1" applyBorder="1" applyAlignment="1">
      <alignment horizontal="center"/>
    </xf>
    <xf numFmtId="8" fontId="13" fillId="0" borderId="0" xfId="0" applyNumberFormat="1" applyFont="1" applyAlignment="1">
      <alignment horizontal="left"/>
    </xf>
    <xf numFmtId="0" fontId="14" fillId="0" borderId="0" xfId="7" applyFont="1"/>
    <xf numFmtId="0" fontId="14" fillId="0" borderId="0" xfId="7" applyFont="1" applyAlignment="1">
      <alignment horizontal="center"/>
    </xf>
    <xf numFmtId="9" fontId="12" fillId="0" borderId="0" xfId="8" applyFont="1" applyFill="1" applyBorder="1" applyAlignment="1">
      <alignment horizontal="left"/>
    </xf>
    <xf numFmtId="9" fontId="26" fillId="0" borderId="0" xfId="8" applyFont="1" applyFill="1" applyBorder="1" applyAlignment="1">
      <alignment horizontal="left"/>
    </xf>
    <xf numFmtId="0" fontId="14" fillId="0" borderId="0" xfId="7" applyFont="1" applyAlignment="1">
      <alignment horizontal="left"/>
    </xf>
    <xf numFmtId="3" fontId="12" fillId="0" borderId="0" xfId="7" applyNumberFormat="1" applyFont="1" applyAlignment="1">
      <alignment horizontal="center"/>
    </xf>
    <xf numFmtId="0" fontId="14" fillId="0" borderId="0" xfId="9" applyFont="1" applyAlignment="1">
      <alignment horizontal="center"/>
    </xf>
    <xf numFmtId="173" fontId="1" fillId="0" borderId="0" xfId="10" applyNumberFormat="1" applyAlignment="1">
      <alignment horizontal="center"/>
    </xf>
    <xf numFmtId="173" fontId="14" fillId="0" borderId="0" xfId="7" applyNumberFormat="1" applyFont="1"/>
    <xf numFmtId="9" fontId="12" fillId="0" borderId="0" xfId="7" applyNumberFormat="1" applyFont="1" applyAlignment="1">
      <alignment horizontal="center"/>
    </xf>
    <xf numFmtId="0" fontId="28" fillId="0" borderId="0" xfId="7" applyFont="1" applyAlignment="1">
      <alignment horizontal="left"/>
    </xf>
    <xf numFmtId="0" fontId="14" fillId="4" borderId="0" xfId="7" applyFont="1" applyFill="1" applyAlignment="1">
      <alignment horizontal="center"/>
    </xf>
    <xf numFmtId="0" fontId="14" fillId="4" borderId="1" xfId="7" applyFont="1" applyFill="1" applyBorder="1" applyAlignment="1">
      <alignment horizontal="center"/>
    </xf>
    <xf numFmtId="0" fontId="14" fillId="4" borderId="0" xfId="7" applyFont="1" applyFill="1"/>
    <xf numFmtId="179" fontId="14" fillId="4" borderId="0" xfId="7" applyNumberFormat="1" applyFont="1" applyFill="1" applyAlignment="1">
      <alignment horizontal="center"/>
    </xf>
    <xf numFmtId="179" fontId="14" fillId="4" borderId="1" xfId="7" applyNumberFormat="1" applyFont="1" applyFill="1" applyBorder="1" applyAlignment="1">
      <alignment horizontal="center"/>
    </xf>
    <xf numFmtId="179" fontId="14" fillId="0" borderId="0" xfId="7" applyNumberFormat="1" applyFont="1" applyAlignment="1">
      <alignment horizontal="center"/>
    </xf>
    <xf numFmtId="173" fontId="1" fillId="0" borderId="0" xfId="11" applyNumberFormat="1" applyAlignment="1">
      <alignment horizontal="center"/>
    </xf>
    <xf numFmtId="0" fontId="14" fillId="0" borderId="0" xfId="9" applyFont="1" applyAlignment="1">
      <alignment horizontal="center" wrapText="1"/>
    </xf>
    <xf numFmtId="3" fontId="14" fillId="0" borderId="0" xfId="7" applyNumberFormat="1" applyFont="1" applyAlignment="1">
      <alignment horizontal="center"/>
    </xf>
    <xf numFmtId="6" fontId="14" fillId="0" borderId="0" xfId="7" applyNumberFormat="1" applyFont="1"/>
    <xf numFmtId="6" fontId="15" fillId="0" borderId="0" xfId="0" applyNumberFormat="1" applyFont="1"/>
    <xf numFmtId="0" fontId="12" fillId="0" borderId="0" xfId="6" applyFont="1" applyAlignment="1">
      <alignment horizontal="left"/>
    </xf>
    <xf numFmtId="43" fontId="13" fillId="0" borderId="0" xfId="1" applyFont="1" applyBorder="1"/>
    <xf numFmtId="166" fontId="13" fillId="0" borderId="0" xfId="0" applyNumberFormat="1" applyFont="1" applyAlignment="1">
      <alignment horizontal="left"/>
    </xf>
    <xf numFmtId="165" fontId="13" fillId="0" borderId="0" xfId="0" applyNumberFormat="1" applyFont="1" applyAlignment="1">
      <alignment horizontal="left"/>
    </xf>
    <xf numFmtId="177" fontId="13" fillId="0" borderId="0" xfId="0" applyNumberFormat="1" applyFont="1" applyAlignment="1">
      <alignment horizontal="left"/>
    </xf>
    <xf numFmtId="181" fontId="13" fillId="0" borderId="0" xfId="0" applyNumberFormat="1" applyFont="1" applyAlignment="1">
      <alignment horizontal="left"/>
    </xf>
    <xf numFmtId="43" fontId="13" fillId="0" borderId="0" xfId="0" applyNumberFormat="1" applyFont="1" applyAlignment="1">
      <alignment horizontal="right"/>
    </xf>
    <xf numFmtId="165" fontId="12" fillId="0" borderId="0" xfId="1" applyNumberFormat="1" applyFont="1" applyFill="1" applyBorder="1" applyAlignment="1">
      <alignment horizontal="center"/>
    </xf>
    <xf numFmtId="165" fontId="13" fillId="0" borderId="0" xfId="1" applyNumberFormat="1" applyFont="1" applyFill="1" applyBorder="1" applyAlignment="1">
      <alignment horizontal="left"/>
    </xf>
    <xf numFmtId="0" fontId="0" fillId="0" borderId="141" xfId="0" applyBorder="1"/>
    <xf numFmtId="0" fontId="17" fillId="0" borderId="0" xfId="0" applyFont="1"/>
    <xf numFmtId="182" fontId="14" fillId="2" borderId="0" xfId="0" applyNumberFormat="1" applyFont="1" applyFill="1"/>
    <xf numFmtId="182" fontId="14" fillId="0" borderId="0" xfId="0" applyNumberFormat="1" applyFont="1"/>
    <xf numFmtId="182" fontId="14" fillId="0" borderId="141" xfId="0" applyNumberFormat="1" applyFont="1" applyBorder="1"/>
    <xf numFmtId="0" fontId="13" fillId="0" borderId="141" xfId="0" applyFont="1" applyBorder="1"/>
    <xf numFmtId="182" fontId="13" fillId="0" borderId="141" xfId="0" applyNumberFormat="1" applyFont="1" applyBorder="1"/>
    <xf numFmtId="182" fontId="13" fillId="0" borderId="0" xfId="0" applyNumberFormat="1" applyFont="1"/>
    <xf numFmtId="0" fontId="13" fillId="0" borderId="141" xfId="0" applyFont="1" applyBorder="1" applyAlignment="1">
      <alignment horizontal="left"/>
    </xf>
    <xf numFmtId="0" fontId="308" fillId="0" borderId="0" xfId="0" applyFont="1"/>
    <xf numFmtId="0" fontId="309" fillId="0" borderId="0" xfId="0" applyFont="1"/>
    <xf numFmtId="165" fontId="309" fillId="0" borderId="0" xfId="1" applyNumberFormat="1" applyFont="1" applyFill="1" applyBorder="1" applyAlignment="1">
      <alignment horizontal="left"/>
    </xf>
    <xf numFmtId="0" fontId="308" fillId="0" borderId="0" xfId="0" applyFont="1" applyAlignment="1">
      <alignment horizontal="left"/>
    </xf>
    <xf numFmtId="3" fontId="309" fillId="0" borderId="0" xfId="0" applyNumberFormat="1" applyFont="1" applyAlignment="1">
      <alignment horizontal="left"/>
    </xf>
    <xf numFmtId="0" fontId="310" fillId="0" borderId="0" xfId="0" applyFont="1" applyAlignment="1">
      <alignment horizontal="center"/>
    </xf>
    <xf numFmtId="165" fontId="311" fillId="0" borderId="0" xfId="2031" applyNumberFormat="1" applyFont="1" applyFill="1" applyAlignment="1" applyProtection="1">
      <alignment horizontal="center"/>
    </xf>
    <xf numFmtId="6" fontId="308" fillId="0" borderId="0" xfId="0" applyNumberFormat="1" applyFont="1" applyAlignment="1">
      <alignment horizontal="left"/>
    </xf>
    <xf numFmtId="8" fontId="308" fillId="0" borderId="0" xfId="0" applyNumberFormat="1" applyFont="1" applyAlignment="1">
      <alignment horizontal="left"/>
    </xf>
    <xf numFmtId="43" fontId="308" fillId="0" borderId="0" xfId="0" applyNumberFormat="1" applyFont="1" applyAlignment="1">
      <alignment horizontal="left"/>
    </xf>
    <xf numFmtId="6" fontId="308" fillId="0" borderId="0" xfId="0" applyNumberFormat="1" applyFont="1"/>
    <xf numFmtId="0" fontId="312" fillId="0" borderId="0" xfId="0" applyFont="1" applyAlignment="1">
      <alignment horizontal="left"/>
    </xf>
    <xf numFmtId="0" fontId="312" fillId="4" borderId="3" xfId="0" applyFont="1" applyFill="1" applyBorder="1" applyAlignment="1">
      <alignment horizontal="left" wrapText="1"/>
    </xf>
    <xf numFmtId="0" fontId="312" fillId="4" borderId="4" xfId="0" applyFont="1" applyFill="1" applyBorder="1" applyAlignment="1">
      <alignment horizontal="left"/>
    </xf>
    <xf numFmtId="0" fontId="312" fillId="4" borderId="110" xfId="0" applyFont="1" applyFill="1" applyBorder="1" applyAlignment="1">
      <alignment horizontal="left"/>
    </xf>
    <xf numFmtId="0" fontId="312" fillId="4" borderId="3" xfId="0" applyFont="1" applyFill="1" applyBorder="1" applyAlignment="1">
      <alignment horizontal="center"/>
    </xf>
    <xf numFmtId="0" fontId="312" fillId="4" borderId="4" xfId="0" applyFont="1" applyFill="1" applyBorder="1" applyAlignment="1">
      <alignment horizontal="center"/>
    </xf>
    <xf numFmtId="0" fontId="308" fillId="0" borderId="5" xfId="0" applyFont="1" applyBorder="1" applyAlignment="1">
      <alignment horizontal="left"/>
    </xf>
    <xf numFmtId="1" fontId="308" fillId="0" borderId="0" xfId="0" applyNumberFormat="1" applyFont="1" applyAlignment="1">
      <alignment horizontal="center"/>
    </xf>
    <xf numFmtId="182" fontId="308" fillId="2" borderId="0" xfId="0" applyNumberFormat="1" applyFont="1" applyFill="1" applyAlignment="1">
      <alignment horizontal="center"/>
    </xf>
    <xf numFmtId="173" fontId="308" fillId="0" borderId="6" xfId="0" applyNumberFormat="1" applyFont="1" applyBorder="1" applyAlignment="1">
      <alignment horizontal="right"/>
    </xf>
    <xf numFmtId="10" fontId="308" fillId="2" borderId="0" xfId="3" applyNumberFormat="1" applyFont="1" applyFill="1" applyBorder="1" applyAlignment="1">
      <alignment horizontal="center"/>
    </xf>
    <xf numFmtId="10" fontId="308" fillId="0" borderId="0" xfId="0" applyNumberFormat="1" applyFont="1" applyAlignment="1">
      <alignment horizontal="center"/>
    </xf>
    <xf numFmtId="0" fontId="308" fillId="0" borderId="5" xfId="0" applyFont="1" applyBorder="1" applyAlignment="1">
      <alignment horizontal="center"/>
    </xf>
    <xf numFmtId="0" fontId="308" fillId="0" borderId="0" xfId="0" applyFont="1" applyAlignment="1">
      <alignment horizontal="center"/>
    </xf>
    <xf numFmtId="165" fontId="308" fillId="0" borderId="6" xfId="1" applyNumberFormat="1" applyFont="1" applyBorder="1" applyAlignment="1">
      <alignment horizontal="left"/>
    </xf>
    <xf numFmtId="173" fontId="308" fillId="0" borderId="0" xfId="0" applyNumberFormat="1" applyFont="1" applyAlignment="1">
      <alignment horizontal="center"/>
    </xf>
    <xf numFmtId="0" fontId="308" fillId="4" borderId="5" xfId="0" applyFont="1" applyFill="1" applyBorder="1" applyAlignment="1">
      <alignment horizontal="left"/>
    </xf>
    <xf numFmtId="0" fontId="312" fillId="4" borderId="0" xfId="0" applyFont="1" applyFill="1" applyAlignment="1">
      <alignment horizontal="left"/>
    </xf>
    <xf numFmtId="0" fontId="312" fillId="4" borderId="6" xfId="0" applyFont="1" applyFill="1" applyBorder="1" applyAlignment="1">
      <alignment horizontal="left"/>
    </xf>
    <xf numFmtId="165" fontId="308" fillId="0" borderId="6" xfId="1" applyNumberFormat="1" applyFont="1" applyBorder="1"/>
    <xf numFmtId="0" fontId="308" fillId="0" borderId="5" xfId="0" applyFont="1" applyBorder="1"/>
    <xf numFmtId="3" fontId="308" fillId="0" borderId="0" xfId="0" applyNumberFormat="1" applyFont="1"/>
    <xf numFmtId="173" fontId="308" fillId="0" borderId="6" xfId="0" applyNumberFormat="1" applyFont="1" applyBorder="1"/>
    <xf numFmtId="0" fontId="312" fillId="0" borderId="0" xfId="0" applyFont="1"/>
    <xf numFmtId="0" fontId="308" fillId="0" borderId="2" xfId="0" applyFont="1" applyBorder="1" applyAlignment="1">
      <alignment horizontal="center"/>
    </xf>
    <xf numFmtId="165" fontId="308" fillId="0" borderId="8" xfId="1" applyNumberFormat="1" applyFont="1" applyBorder="1"/>
    <xf numFmtId="0" fontId="308" fillId="0" borderId="111" xfId="0" applyFont="1" applyBorder="1"/>
    <xf numFmtId="9" fontId="308" fillId="0" borderId="0" xfId="3" applyFont="1" applyFill="1" applyBorder="1" applyAlignment="1">
      <alignment horizontal="center"/>
    </xf>
    <xf numFmtId="173" fontId="312" fillId="0" borderId="0" xfId="0" applyNumberFormat="1" applyFont="1"/>
    <xf numFmtId="0" fontId="313" fillId="0" borderId="0" xfId="0" applyFont="1"/>
    <xf numFmtId="0" fontId="314" fillId="0" borderId="3" xfId="0" applyFont="1" applyBorder="1"/>
    <xf numFmtId="0" fontId="309" fillId="7" borderId="4" xfId="9" applyFont="1" applyFill="1" applyBorder="1" applyAlignment="1">
      <alignment horizontal="center" wrapText="1"/>
    </xf>
    <xf numFmtId="0" fontId="309" fillId="7" borderId="110" xfId="9" applyFont="1" applyFill="1" applyBorder="1" applyAlignment="1">
      <alignment horizontal="center" wrapText="1"/>
    </xf>
    <xf numFmtId="182" fontId="308" fillId="0" borderId="0" xfId="0" applyNumberFormat="1" applyFont="1" applyAlignment="1">
      <alignment horizontal="center"/>
    </xf>
    <xf numFmtId="173" fontId="308" fillId="0" borderId="0" xfId="0" applyNumberFormat="1" applyFont="1"/>
    <xf numFmtId="0" fontId="315" fillId="0" borderId="0" xfId="0" applyFont="1" applyAlignment="1">
      <alignment horizontal="center"/>
    </xf>
    <xf numFmtId="0" fontId="313" fillId="0" borderId="0" xfId="9" applyFont="1" applyAlignment="1">
      <alignment horizontal="right"/>
    </xf>
    <xf numFmtId="0" fontId="314" fillId="0" borderId="5" xfId="9" applyFont="1" applyBorder="1" applyAlignment="1">
      <alignment horizontal="center"/>
    </xf>
    <xf numFmtId="173" fontId="308" fillId="0" borderId="0" xfId="0" applyNumberFormat="1" applyFont="1" applyAlignment="1">
      <alignment horizontal="left"/>
    </xf>
    <xf numFmtId="182" fontId="308" fillId="0" borderId="0" xfId="0" applyNumberFormat="1" applyFont="1" applyAlignment="1">
      <alignment horizontal="left"/>
    </xf>
    <xf numFmtId="9" fontId="308" fillId="0" borderId="0" xfId="3" applyFont="1" applyBorder="1" applyAlignment="1">
      <alignment horizontal="left"/>
    </xf>
    <xf numFmtId="0" fontId="308" fillId="0" borderId="111" xfId="0" applyFont="1" applyBorder="1" applyAlignment="1">
      <alignment horizontal="center"/>
    </xf>
    <xf numFmtId="173" fontId="314" fillId="0" borderId="116" xfId="0" applyNumberFormat="1" applyFont="1" applyBorder="1" applyAlignment="1">
      <alignment horizontal="center"/>
    </xf>
    <xf numFmtId="173" fontId="308" fillId="0" borderId="116" xfId="0" applyNumberFormat="1" applyFont="1" applyBorder="1" applyAlignment="1">
      <alignment horizontal="center"/>
    </xf>
    <xf numFmtId="173" fontId="308" fillId="0" borderId="117" xfId="0" applyNumberFormat="1" applyFont="1" applyBorder="1" applyAlignment="1">
      <alignment horizontal="center"/>
    </xf>
    <xf numFmtId="166" fontId="308" fillId="0" borderId="0" xfId="0" applyNumberFormat="1" applyFont="1" applyAlignment="1">
      <alignment horizontal="left"/>
    </xf>
    <xf numFmtId="44" fontId="308" fillId="0" borderId="0" xfId="2" applyFont="1" applyBorder="1" applyAlignment="1">
      <alignment horizontal="left"/>
    </xf>
    <xf numFmtId="9" fontId="312" fillId="71" borderId="3" xfId="0" applyNumberFormat="1" applyFont="1" applyFill="1" applyBorder="1" applyAlignment="1">
      <alignment horizontal="center"/>
    </xf>
    <xf numFmtId="0" fontId="312" fillId="71" borderId="4" xfId="0" applyFont="1" applyFill="1" applyBorder="1" applyAlignment="1">
      <alignment horizontal="center"/>
    </xf>
    <xf numFmtId="0" fontId="312" fillId="71" borderId="4" xfId="0" applyFont="1" applyFill="1" applyBorder="1" applyAlignment="1">
      <alignment horizontal="center" wrapText="1"/>
    </xf>
    <xf numFmtId="0" fontId="312" fillId="72" borderId="4" xfId="0" applyFont="1" applyFill="1" applyBorder="1" applyAlignment="1">
      <alignment horizontal="center"/>
    </xf>
    <xf numFmtId="0" fontId="312" fillId="72" borderId="4" xfId="0" applyFont="1" applyFill="1" applyBorder="1" applyAlignment="1">
      <alignment horizontal="center" wrapText="1"/>
    </xf>
    <xf numFmtId="0" fontId="312" fillId="72" borderId="110" xfId="0" applyFont="1" applyFill="1" applyBorder="1" applyAlignment="1">
      <alignment horizontal="center" wrapText="1"/>
    </xf>
    <xf numFmtId="173" fontId="308" fillId="0" borderId="0" xfId="3" applyNumberFormat="1" applyFont="1" applyFill="1" applyBorder="1" applyAlignment="1">
      <alignment horizontal="center"/>
    </xf>
    <xf numFmtId="173" fontId="308" fillId="2" borderId="0" xfId="0" applyNumberFormat="1" applyFont="1" applyFill="1" applyAlignment="1">
      <alignment horizontal="center"/>
    </xf>
    <xf numFmtId="9" fontId="308" fillId="0" borderId="6" xfId="3" applyFont="1" applyFill="1" applyBorder="1" applyAlignment="1">
      <alignment horizontal="center"/>
    </xf>
    <xf numFmtId="165" fontId="309" fillId="0" borderId="0" xfId="1" applyNumberFormat="1" applyFont="1" applyFill="1" applyBorder="1" applyAlignment="1">
      <alignment horizontal="right"/>
    </xf>
    <xf numFmtId="0" fontId="309" fillId="4" borderId="0" xfId="0" applyFont="1" applyFill="1"/>
    <xf numFmtId="3" fontId="309" fillId="4" borderId="0" xfId="0" applyNumberFormat="1" applyFont="1" applyFill="1"/>
    <xf numFmtId="0" fontId="314" fillId="0" borderId="0" xfId="0" applyFont="1"/>
    <xf numFmtId="3" fontId="309" fillId="0" borderId="0" xfId="0" applyNumberFormat="1" applyFont="1" applyAlignment="1">
      <alignment horizontal="right"/>
    </xf>
    <xf numFmtId="0" fontId="309" fillId="2" borderId="0" xfId="0" applyFont="1" applyFill="1"/>
    <xf numFmtId="165" fontId="314" fillId="0" borderId="0" xfId="1" applyNumberFormat="1" applyFont="1" applyFill="1"/>
    <xf numFmtId="165" fontId="309" fillId="0" borderId="0" xfId="1" applyNumberFormat="1" applyFont="1" applyFill="1" applyBorder="1" applyAlignment="1">
      <alignment horizontal="center"/>
    </xf>
    <xf numFmtId="0" fontId="309" fillId="4" borderId="3" xfId="0" applyFont="1" applyFill="1" applyBorder="1" applyAlignment="1">
      <alignment horizontal="center"/>
    </xf>
    <xf numFmtId="0" fontId="314" fillId="4" borderId="110" xfId="1" applyNumberFormat="1" applyFont="1" applyFill="1" applyBorder="1"/>
    <xf numFmtId="165" fontId="309" fillId="4" borderId="110" xfId="1" applyNumberFormat="1" applyFont="1" applyFill="1" applyBorder="1" applyAlignment="1">
      <alignment horizontal="center" vertical="center"/>
    </xf>
    <xf numFmtId="0" fontId="314" fillId="0" borderId="5" xfId="0" applyFont="1" applyBorder="1"/>
    <xf numFmtId="173" fontId="314" fillId="0" borderId="0" xfId="1" applyNumberFormat="1" applyFont="1" applyFill="1" applyBorder="1"/>
    <xf numFmtId="0" fontId="314" fillId="2" borderId="0" xfId="1" applyNumberFormat="1" applyFont="1" applyFill="1" applyBorder="1" applyAlignment="1">
      <alignment horizontal="center"/>
    </xf>
    <xf numFmtId="0" fontId="314" fillId="0" borderId="6" xfId="1" applyNumberFormat="1" applyFont="1" applyFill="1" applyBorder="1"/>
    <xf numFmtId="173" fontId="314" fillId="0" borderId="5" xfId="1" applyNumberFormat="1" applyFont="1" applyFill="1" applyBorder="1"/>
    <xf numFmtId="165" fontId="314" fillId="0" borderId="0" xfId="1" applyNumberFormat="1" applyFont="1" applyFill="1" applyBorder="1"/>
    <xf numFmtId="177" fontId="314" fillId="0" borderId="0" xfId="1" applyNumberFormat="1" applyFont="1" applyFill="1" applyBorder="1"/>
    <xf numFmtId="167" fontId="314" fillId="0" borderId="5" xfId="3" applyNumberFormat="1" applyFont="1" applyFill="1" applyBorder="1"/>
    <xf numFmtId="173" fontId="314" fillId="0" borderId="5" xfId="1" applyNumberFormat="1" applyFont="1" applyFill="1" applyBorder="1" applyAlignment="1">
      <alignment horizontal="right"/>
    </xf>
    <xf numFmtId="0" fontId="309" fillId="0" borderId="5" xfId="0" applyFont="1" applyBorder="1"/>
    <xf numFmtId="182" fontId="314" fillId="0" borderId="0" xfId="1" applyNumberFormat="1" applyFont="1" applyFill="1" applyBorder="1"/>
    <xf numFmtId="182" fontId="314" fillId="0" borderId="5" xfId="1" applyNumberFormat="1" applyFont="1" applyFill="1" applyBorder="1"/>
    <xf numFmtId="6" fontId="314" fillId="0" borderId="5" xfId="1" applyNumberFormat="1" applyFont="1" applyFill="1" applyBorder="1" applyAlignment="1">
      <alignment horizontal="center"/>
    </xf>
    <xf numFmtId="173" fontId="309" fillId="0" borderId="0" xfId="1" applyNumberFormat="1" applyFont="1" applyFill="1" applyBorder="1"/>
    <xf numFmtId="0" fontId="309" fillId="0" borderId="6" xfId="1" applyNumberFormat="1" applyFont="1" applyFill="1" applyBorder="1"/>
    <xf numFmtId="173" fontId="309" fillId="0" borderId="5" xfId="1" applyNumberFormat="1" applyFont="1" applyFill="1" applyBorder="1"/>
    <xf numFmtId="0" fontId="314" fillId="0" borderId="111" xfId="0" applyFont="1" applyBorder="1"/>
    <xf numFmtId="173" fontId="309" fillId="0" borderId="111" xfId="1" applyNumberFormat="1" applyFont="1" applyFill="1" applyBorder="1"/>
    <xf numFmtId="0" fontId="309" fillId="0" borderId="8" xfId="1" applyNumberFormat="1" applyFont="1" applyFill="1" applyBorder="1"/>
    <xf numFmtId="165" fontId="309" fillId="0" borderId="0" xfId="1" applyNumberFormat="1" applyFont="1" applyFill="1" applyBorder="1"/>
    <xf numFmtId="44" fontId="314" fillId="0" borderId="0" xfId="1" applyNumberFormat="1" applyFont="1" applyFill="1" applyBorder="1"/>
    <xf numFmtId="0" fontId="314" fillId="0" borderId="0" xfId="1" applyNumberFormat="1" applyFont="1" applyFill="1"/>
    <xf numFmtId="173" fontId="314" fillId="0" borderId="0" xfId="1" applyNumberFormat="1" applyFont="1" applyFill="1"/>
    <xf numFmtId="44" fontId="314" fillId="0" borderId="0" xfId="1" applyNumberFormat="1" applyFont="1" applyFill="1"/>
    <xf numFmtId="165" fontId="309" fillId="4" borderId="0" xfId="1" applyNumberFormat="1" applyFont="1" applyFill="1" applyBorder="1" applyAlignment="1">
      <alignment horizontal="center"/>
    </xf>
    <xf numFmtId="9" fontId="314" fillId="2" borderId="0" xfId="3" applyFont="1" applyFill="1" applyBorder="1" applyAlignment="1">
      <alignment horizontal="center"/>
    </xf>
    <xf numFmtId="165" fontId="314" fillId="0" borderId="0" xfId="1" applyNumberFormat="1" applyFont="1" applyFill="1" applyBorder="1" applyAlignment="1">
      <alignment horizontal="center"/>
    </xf>
    <xf numFmtId="0" fontId="314" fillId="0" borderId="0" xfId="0" applyFont="1" applyAlignment="1">
      <alignment horizontal="right" indent="1"/>
    </xf>
    <xf numFmtId="9" fontId="314" fillId="0" borderId="0" xfId="0" applyNumberFormat="1" applyFont="1"/>
    <xf numFmtId="0" fontId="314" fillId="0" borderId="0" xfId="0" applyFont="1" applyAlignment="1">
      <alignment horizontal="left" indent="1"/>
    </xf>
    <xf numFmtId="0" fontId="314" fillId="0" borderId="2" xfId="0" applyFont="1" applyBorder="1" applyAlignment="1">
      <alignment horizontal="left" indent="1"/>
    </xf>
    <xf numFmtId="9" fontId="314" fillId="0" borderId="2" xfId="0" applyNumberFormat="1" applyFont="1" applyBorder="1"/>
    <xf numFmtId="165" fontId="314" fillId="0" borderId="2" xfId="1" applyNumberFormat="1" applyFont="1" applyFill="1" applyBorder="1"/>
    <xf numFmtId="0" fontId="314" fillId="0" borderId="2" xfId="0" applyFont="1" applyBorder="1"/>
    <xf numFmtId="9" fontId="314" fillId="2" borderId="2" xfId="3" applyFont="1" applyFill="1" applyBorder="1" applyAlignment="1">
      <alignment horizontal="center"/>
    </xf>
    <xf numFmtId="0" fontId="309" fillId="0" borderId="10" xfId="0" applyFont="1" applyBorder="1"/>
    <xf numFmtId="0" fontId="309" fillId="0" borderId="11" xfId="0" applyFont="1" applyBorder="1"/>
    <xf numFmtId="165" fontId="309" fillId="0" borderId="11" xfId="1" applyNumberFormat="1" applyFont="1" applyFill="1" applyBorder="1"/>
    <xf numFmtId="1" fontId="314" fillId="0" borderId="0" xfId="1" applyNumberFormat="1" applyFont="1" applyFill="1" applyAlignment="1">
      <alignment horizontal="center"/>
    </xf>
    <xf numFmtId="0" fontId="316" fillId="0" borderId="0" xfId="0" applyFont="1"/>
    <xf numFmtId="9" fontId="314" fillId="0" borderId="0" xfId="3" applyFont="1" applyFill="1" applyBorder="1" applyAlignment="1">
      <alignment horizontal="center"/>
    </xf>
    <xf numFmtId="0" fontId="317" fillId="0" borderId="0" xfId="0" applyFont="1"/>
    <xf numFmtId="0" fontId="317" fillId="0" borderId="0" xfId="3" applyNumberFormat="1" applyFont="1" applyFill="1" applyBorder="1"/>
    <xf numFmtId="9" fontId="317" fillId="0" borderId="0" xfId="3" applyFont="1" applyFill="1" applyBorder="1"/>
    <xf numFmtId="0" fontId="318" fillId="73" borderId="0" xfId="5323" applyFont="1" applyFill="1"/>
    <xf numFmtId="173" fontId="309" fillId="2" borderId="0" xfId="0" applyNumberFormat="1" applyFont="1" applyFill="1"/>
    <xf numFmtId="173" fontId="309" fillId="0" borderId="0" xfId="1" applyNumberFormat="1" applyFont="1" applyFill="1"/>
    <xf numFmtId="182" fontId="314" fillId="0" borderId="0" xfId="1" applyNumberFormat="1" applyFont="1" applyFill="1"/>
    <xf numFmtId="173" fontId="317" fillId="0" borderId="0" xfId="1" applyNumberFormat="1" applyFont="1" applyFill="1"/>
    <xf numFmtId="182" fontId="309" fillId="2" borderId="0" xfId="0" applyNumberFormat="1" applyFont="1" applyFill="1"/>
    <xf numFmtId="0" fontId="319" fillId="4" borderId="0" xfId="0" applyFont="1" applyFill="1"/>
    <xf numFmtId="0" fontId="319" fillId="4" borderId="0" xfId="0" applyFont="1" applyFill="1" applyAlignment="1">
      <alignment wrapText="1"/>
    </xf>
    <xf numFmtId="165" fontId="319" fillId="4" borderId="0" xfId="1" applyNumberFormat="1" applyFont="1" applyFill="1" applyBorder="1" applyAlignment="1">
      <alignment horizontal="center" wrapText="1"/>
    </xf>
    <xf numFmtId="165" fontId="319" fillId="0" borderId="0" xfId="1" applyNumberFormat="1" applyFont="1" applyFill="1" applyBorder="1" applyAlignment="1">
      <alignment horizontal="center" wrapText="1"/>
    </xf>
    <xf numFmtId="0" fontId="4" fillId="0" borderId="0" xfId="0" applyFont="1" applyAlignment="1">
      <alignment horizontal="left"/>
    </xf>
    <xf numFmtId="0" fontId="0" fillId="0" borderId="0" xfId="0" applyAlignment="1">
      <alignment horizontal="left"/>
    </xf>
    <xf numFmtId="173" fontId="0" fillId="0" borderId="0" xfId="0" applyNumberFormat="1"/>
    <xf numFmtId="182" fontId="5" fillId="2" borderId="0" xfId="0" applyNumberFormat="1" applyFont="1" applyFill="1"/>
    <xf numFmtId="166" fontId="0" fillId="0" borderId="0" xfId="2" applyNumberFormat="1" applyFont="1" applyBorder="1"/>
    <xf numFmtId="0" fontId="4" fillId="0" borderId="141" xfId="0" applyFont="1" applyBorder="1" applyAlignment="1">
      <alignment horizontal="left"/>
    </xf>
    <xf numFmtId="173" fontId="0" fillId="0" borderId="141" xfId="0" applyNumberFormat="1" applyBorder="1"/>
    <xf numFmtId="182" fontId="5" fillId="2" borderId="141" xfId="0" applyNumberFormat="1" applyFont="1" applyFill="1" applyBorder="1"/>
    <xf numFmtId="166" fontId="0" fillId="0" borderId="141" xfId="2" applyNumberFormat="1" applyFont="1" applyBorder="1"/>
    <xf numFmtId="182" fontId="5" fillId="0" borderId="0" xfId="0" applyNumberFormat="1" applyFont="1"/>
    <xf numFmtId="182" fontId="5" fillId="0" borderId="141" xfId="0" applyNumberFormat="1" applyFont="1" applyBorder="1"/>
    <xf numFmtId="0" fontId="0" fillId="0" borderId="0" xfId="0" quotePrefix="1" applyAlignment="1" applyProtection="1">
      <alignment horizontal="left"/>
      <protection locked="0"/>
    </xf>
    <xf numFmtId="0" fontId="0" fillId="0" borderId="0" xfId="0" quotePrefix="1" applyAlignment="1">
      <alignment horizontal="left"/>
    </xf>
    <xf numFmtId="0" fontId="0" fillId="0" borderId="0" xfId="0" applyAlignment="1" applyProtection="1">
      <alignment horizontal="left"/>
      <protection locked="0"/>
    </xf>
    <xf numFmtId="182" fontId="0" fillId="0" borderId="141" xfId="0" applyNumberFormat="1" applyBorder="1"/>
    <xf numFmtId="0" fontId="320" fillId="0" borderId="141" xfId="0" applyFont="1" applyBorder="1" applyAlignment="1">
      <alignment horizontal="left"/>
    </xf>
    <xf numFmtId="0" fontId="7" fillId="0" borderId="0" xfId="0" applyFont="1" applyAlignment="1">
      <alignment horizontal="left"/>
    </xf>
    <xf numFmtId="6" fontId="309" fillId="0" borderId="0" xfId="0" applyNumberFormat="1" applyFont="1"/>
    <xf numFmtId="0" fontId="309" fillId="4" borderId="3" xfId="0" applyFont="1" applyFill="1" applyBorder="1"/>
    <xf numFmtId="0" fontId="314" fillId="0" borderId="5" xfId="1" applyNumberFormat="1" applyFont="1" applyFill="1" applyBorder="1" applyAlignment="1">
      <alignment horizontal="right"/>
    </xf>
    <xf numFmtId="0" fontId="314" fillId="2" borderId="6" xfId="1" applyNumberFormat="1" applyFont="1" applyFill="1" applyBorder="1"/>
    <xf numFmtId="0" fontId="314" fillId="0" borderId="12" xfId="1" applyNumberFormat="1" applyFont="1" applyFill="1" applyBorder="1" applyAlignment="1">
      <alignment horizontal="right"/>
    </xf>
    <xf numFmtId="0" fontId="309" fillId="0" borderId="8" xfId="0" applyFont="1" applyBorder="1"/>
    <xf numFmtId="10" fontId="314" fillId="2" borderId="6" xfId="3" applyNumberFormat="1" applyFont="1" applyFill="1" applyBorder="1"/>
    <xf numFmtId="10" fontId="314" fillId="0" borderId="8" xfId="1" applyNumberFormat="1" applyFont="1" applyFill="1" applyBorder="1"/>
    <xf numFmtId="0" fontId="309" fillId="4" borderId="4" xfId="0" applyFont="1" applyFill="1" applyBorder="1"/>
    <xf numFmtId="0" fontId="314" fillId="4" borderId="4" xfId="0" applyFont="1" applyFill="1" applyBorder="1"/>
    <xf numFmtId="0" fontId="309" fillId="0" borderId="5" xfId="0" applyFont="1" applyBorder="1" applyAlignment="1">
      <alignment horizontal="center"/>
    </xf>
    <xf numFmtId="0" fontId="314" fillId="0" borderId="0" xfId="0" applyFont="1" applyAlignment="1">
      <alignment horizontal="center"/>
    </xf>
    <xf numFmtId="0" fontId="314" fillId="0" borderId="6" xfId="0" applyFont="1" applyBorder="1" applyAlignment="1">
      <alignment horizontal="center"/>
    </xf>
    <xf numFmtId="166" fontId="314" fillId="0" borderId="0" xfId="1" applyNumberFormat="1" applyFont="1" applyFill="1" applyBorder="1"/>
    <xf numFmtId="10" fontId="314" fillId="0" borderId="0" xfId="3" applyNumberFormat="1" applyFont="1" applyBorder="1" applyAlignment="1">
      <alignment horizontal="center"/>
    </xf>
    <xf numFmtId="166" fontId="314" fillId="0" borderId="6" xfId="0" applyNumberFormat="1" applyFont="1" applyBorder="1" applyAlignment="1">
      <alignment horizontal="center"/>
    </xf>
    <xf numFmtId="9" fontId="314" fillId="0" borderId="0" xfId="3" applyFont="1" applyBorder="1" applyAlignment="1">
      <alignment horizontal="center"/>
    </xf>
    <xf numFmtId="0" fontId="309" fillId="0" borderId="2" xfId="0" applyFont="1" applyBorder="1" applyAlignment="1">
      <alignment horizontal="right"/>
    </xf>
    <xf numFmtId="0" fontId="309" fillId="4" borderId="2" xfId="0" applyFont="1" applyFill="1" applyBorder="1" applyAlignment="1">
      <alignment horizontal="right"/>
    </xf>
    <xf numFmtId="166" fontId="309" fillId="4" borderId="8" xfId="0" applyNumberFormat="1" applyFont="1" applyFill="1" applyBorder="1" applyAlignment="1">
      <alignment horizontal="center"/>
    </xf>
    <xf numFmtId="10" fontId="308" fillId="0" borderId="0" xfId="3" applyNumberFormat="1" applyFont="1" applyFill="1"/>
    <xf numFmtId="165" fontId="308" fillId="0" borderId="0" xfId="1" applyNumberFormat="1" applyFont="1" applyFill="1"/>
    <xf numFmtId="0" fontId="321" fillId="0" borderId="0" xfId="0" applyFont="1" applyAlignment="1">
      <alignment horizontal="center" wrapText="1"/>
    </xf>
    <xf numFmtId="0" fontId="315" fillId="0" borderId="1" xfId="0" applyFont="1" applyBorder="1" applyAlignment="1">
      <alignment horizontal="center" wrapText="1"/>
    </xf>
    <xf numFmtId="166" fontId="321" fillId="0" borderId="0" xfId="1" applyNumberFormat="1" applyFont="1" applyFill="1" applyBorder="1" applyAlignment="1">
      <alignment horizontal="center"/>
    </xf>
    <xf numFmtId="165" fontId="321" fillId="0" borderId="0" xfId="1" applyNumberFormat="1" applyFont="1" applyFill="1" applyBorder="1" applyAlignment="1">
      <alignment horizontal="center"/>
    </xf>
    <xf numFmtId="166" fontId="308" fillId="0" borderId="1" xfId="3" applyNumberFormat="1" applyFont="1" applyFill="1" applyBorder="1" applyAlignment="1">
      <alignment horizontal="right" wrapText="1"/>
    </xf>
    <xf numFmtId="165" fontId="308" fillId="2" borderId="0" xfId="1" applyNumberFormat="1" applyFont="1" applyFill="1" applyBorder="1" applyAlignment="1"/>
    <xf numFmtId="165" fontId="308" fillId="0" borderId="0" xfId="1" applyNumberFormat="1" applyFont="1" applyFill="1" applyBorder="1" applyAlignment="1">
      <alignment horizontal="right"/>
    </xf>
    <xf numFmtId="166" fontId="308" fillId="0" borderId="0" xfId="3" applyNumberFormat="1" applyFont="1" applyFill="1" applyBorder="1" applyAlignment="1">
      <alignment horizontal="right" wrapText="1"/>
    </xf>
    <xf numFmtId="0" fontId="308" fillId="0" borderId="1" xfId="3" applyNumberFormat="1" applyFont="1" applyFill="1" applyBorder="1" applyAlignment="1">
      <alignment horizontal="left" wrapText="1"/>
    </xf>
    <xf numFmtId="165" fontId="308" fillId="0" borderId="0" xfId="1" applyNumberFormat="1" applyFont="1" applyFill="1" applyBorder="1"/>
    <xf numFmtId="165" fontId="312" fillId="0" borderId="0" xfId="1" applyNumberFormat="1" applyFont="1" applyFill="1" applyBorder="1" applyAlignment="1">
      <alignment horizontal="center" wrapText="1"/>
    </xf>
    <xf numFmtId="9" fontId="308" fillId="0" borderId="0" xfId="3" applyFont="1" applyFill="1" applyBorder="1" applyAlignment="1">
      <alignment horizontal="right" wrapText="1"/>
    </xf>
    <xf numFmtId="44" fontId="308" fillId="0" borderId="0" xfId="0" applyNumberFormat="1" applyFont="1"/>
    <xf numFmtId="166" fontId="308" fillId="0" borderId="0" xfId="1" applyNumberFormat="1" applyFont="1" applyFill="1" applyBorder="1" applyAlignment="1"/>
    <xf numFmtId="166" fontId="308" fillId="0" borderId="1" xfId="3" applyNumberFormat="1" applyFont="1" applyFill="1" applyBorder="1" applyAlignment="1">
      <alignment horizontal="right"/>
    </xf>
    <xf numFmtId="167" fontId="308" fillId="0" borderId="0" xfId="3" applyNumberFormat="1" applyFont="1" applyFill="1" applyBorder="1" applyAlignment="1">
      <alignment horizontal="right" wrapText="1"/>
    </xf>
    <xf numFmtId="9" fontId="308" fillId="2" borderId="0" xfId="3" applyFont="1" applyFill="1" applyBorder="1" applyAlignment="1">
      <alignment horizontal="right" wrapText="1"/>
    </xf>
    <xf numFmtId="173" fontId="308" fillId="2" borderId="0" xfId="3" applyNumberFormat="1" applyFont="1" applyFill="1" applyBorder="1" applyAlignment="1">
      <alignment horizontal="right" wrapText="1"/>
    </xf>
    <xf numFmtId="173" fontId="308" fillId="0" borderId="0" xfId="3" applyNumberFormat="1" applyFont="1" applyFill="1" applyBorder="1" applyAlignment="1">
      <alignment horizontal="right" wrapText="1"/>
    </xf>
    <xf numFmtId="10" fontId="308" fillId="0" borderId="0" xfId="3" applyNumberFormat="1" applyFont="1" applyFill="1" applyBorder="1" applyAlignment="1">
      <alignment horizontal="right" wrapText="1"/>
    </xf>
    <xf numFmtId="182" fontId="308" fillId="2" borderId="0" xfId="3" applyNumberFormat="1" applyFont="1" applyFill="1" applyBorder="1" applyAlignment="1">
      <alignment horizontal="right" wrapText="1"/>
    </xf>
    <xf numFmtId="1" fontId="308" fillId="0" borderId="0" xfId="3" applyNumberFormat="1" applyFont="1" applyFill="1" applyBorder="1" applyAlignment="1">
      <alignment horizontal="right" wrapText="1"/>
    </xf>
    <xf numFmtId="43" fontId="308" fillId="0" borderId="0" xfId="0" applyNumberFormat="1" applyFont="1"/>
    <xf numFmtId="9" fontId="308" fillId="0" borderId="0" xfId="3" applyFont="1" applyFill="1" applyBorder="1" applyAlignment="1">
      <alignment horizontal="right"/>
    </xf>
    <xf numFmtId="0" fontId="308" fillId="0" borderId="1" xfId="3" applyNumberFormat="1" applyFont="1" applyFill="1" applyBorder="1" applyAlignment="1">
      <alignment horizontal="left"/>
    </xf>
    <xf numFmtId="1" fontId="308" fillId="0" borderId="0" xfId="0" applyNumberFormat="1" applyFont="1"/>
    <xf numFmtId="166" fontId="308" fillId="0" borderId="0" xfId="3" applyNumberFormat="1" applyFont="1" applyFill="1" applyBorder="1" applyAlignment="1">
      <alignment horizontal="right"/>
    </xf>
    <xf numFmtId="2" fontId="308" fillId="0" borderId="0" xfId="0" applyNumberFormat="1" applyFont="1"/>
    <xf numFmtId="10" fontId="308" fillId="0" borderId="0" xfId="3" applyNumberFormat="1" applyFont="1" applyFill="1" applyBorder="1"/>
    <xf numFmtId="165" fontId="308" fillId="0" borderId="0" xfId="0" applyNumberFormat="1" applyFont="1"/>
    <xf numFmtId="10" fontId="309" fillId="0" borderId="0" xfId="3" applyNumberFormat="1" applyFont="1" applyFill="1" applyBorder="1" applyAlignment="1">
      <alignment horizontal="right"/>
    </xf>
    <xf numFmtId="165" fontId="323" fillId="0" borderId="0" xfId="1" applyNumberFormat="1" applyFont="1" applyFill="1"/>
    <xf numFmtId="0" fontId="309" fillId="0" borderId="0" xfId="0" applyFont="1" applyAlignment="1">
      <alignment horizontal="right"/>
    </xf>
    <xf numFmtId="0" fontId="308" fillId="0" borderId="113" xfId="0" applyFont="1" applyBorder="1"/>
    <xf numFmtId="165" fontId="308" fillId="0" borderId="113" xfId="1" applyNumberFormat="1" applyFont="1" applyFill="1" applyBorder="1" applyAlignment="1">
      <alignment horizontal="right"/>
    </xf>
    <xf numFmtId="10" fontId="308" fillId="0" borderId="113" xfId="3" applyNumberFormat="1" applyFont="1" applyFill="1" applyBorder="1" applyAlignment="1">
      <alignment horizontal="right"/>
    </xf>
    <xf numFmtId="9" fontId="309" fillId="0" borderId="0" xfId="0" applyNumberFormat="1" applyFont="1" applyAlignment="1">
      <alignment horizontal="center"/>
    </xf>
    <xf numFmtId="0" fontId="308" fillId="0" borderId="114" xfId="0" applyFont="1" applyBorder="1"/>
    <xf numFmtId="165" fontId="308" fillId="0" borderId="115" xfId="1" applyNumberFormat="1" applyFont="1" applyFill="1" applyBorder="1" applyAlignment="1">
      <alignment horizontal="right"/>
    </xf>
    <xf numFmtId="165" fontId="308" fillId="0" borderId="114" xfId="1" applyNumberFormat="1" applyFont="1" applyFill="1" applyBorder="1" applyAlignment="1">
      <alignment horizontal="right"/>
    </xf>
    <xf numFmtId="10" fontId="308" fillId="0" borderId="114" xfId="3" applyNumberFormat="1" applyFont="1" applyFill="1" applyBorder="1" applyAlignment="1">
      <alignment horizontal="right"/>
    </xf>
    <xf numFmtId="9" fontId="314" fillId="0" borderId="0" xfId="3" applyFont="1" applyFill="1" applyAlignment="1">
      <alignment horizontal="center"/>
    </xf>
    <xf numFmtId="38" fontId="314" fillId="0" borderId="0" xfId="0" applyNumberFormat="1" applyFont="1"/>
    <xf numFmtId="3" fontId="324" fillId="2" borderId="0" xfId="0" applyNumberFormat="1" applyFont="1" applyFill="1" applyAlignment="1">
      <alignment horizontal="center"/>
    </xf>
    <xf numFmtId="10" fontId="309" fillId="0" borderId="0" xfId="0" applyNumberFormat="1" applyFont="1"/>
    <xf numFmtId="0" fontId="310" fillId="0" borderId="0" xfId="0" applyFont="1" applyAlignment="1">
      <alignment horizontal="right"/>
    </xf>
    <xf numFmtId="0" fontId="323" fillId="0" borderId="0" xfId="0" applyFont="1"/>
    <xf numFmtId="10" fontId="323" fillId="0" borderId="0" xfId="0" applyNumberFormat="1" applyFont="1"/>
    <xf numFmtId="175" fontId="324" fillId="0" borderId="0" xfId="0" applyNumberFormat="1" applyFont="1" applyAlignment="1">
      <alignment horizontal="right"/>
    </xf>
    <xf numFmtId="0" fontId="325" fillId="4" borderId="3" xfId="0" applyFont="1" applyFill="1" applyBorder="1" applyAlignment="1">
      <alignment horizontal="right"/>
    </xf>
    <xf numFmtId="0" fontId="325" fillId="4" borderId="4" xfId="0" applyFont="1" applyFill="1" applyBorder="1" applyAlignment="1">
      <alignment horizontal="center"/>
    </xf>
    <xf numFmtId="0" fontId="309" fillId="4" borderId="4" xfId="0" applyFont="1" applyFill="1" applyBorder="1" applyAlignment="1">
      <alignment horizontal="right"/>
    </xf>
    <xf numFmtId="10" fontId="314" fillId="0" borderId="5" xfId="0" applyNumberFormat="1" applyFont="1" applyBorder="1"/>
    <xf numFmtId="3" fontId="324" fillId="0" borderId="0" xfId="0" applyNumberFormat="1" applyFont="1" applyAlignment="1">
      <alignment horizontal="center"/>
    </xf>
    <xf numFmtId="0" fontId="324" fillId="0" borderId="0" xfId="0" applyFont="1" applyAlignment="1">
      <alignment horizontal="left"/>
    </xf>
    <xf numFmtId="10" fontId="314" fillId="0" borderId="6" xfId="3" applyNumberFormat="1" applyFont="1" applyFill="1" applyBorder="1"/>
    <xf numFmtId="3" fontId="309" fillId="0" borderId="0" xfId="0" applyNumberFormat="1" applyFont="1"/>
    <xf numFmtId="0" fontId="309" fillId="0" borderId="6" xfId="0" applyFont="1" applyBorder="1"/>
    <xf numFmtId="0" fontId="324" fillId="0" borderId="6" xfId="0" applyFont="1" applyBorder="1" applyAlignment="1">
      <alignment horizontal="center"/>
    </xf>
    <xf numFmtId="3" fontId="309" fillId="2" borderId="2" xfId="0" applyNumberFormat="1" applyFont="1" applyFill="1" applyBorder="1" applyAlignment="1">
      <alignment horizontal="center"/>
    </xf>
    <xf numFmtId="0" fontId="309" fillId="0" borderId="2" xfId="0" applyFont="1" applyBorder="1"/>
    <xf numFmtId="3" fontId="309" fillId="0" borderId="2" xfId="0" applyNumberFormat="1" applyFont="1" applyBorder="1"/>
    <xf numFmtId="0" fontId="325" fillId="0" borderId="0" xfId="0" applyFont="1" applyAlignment="1">
      <alignment horizontal="left"/>
    </xf>
    <xf numFmtId="0" fontId="324" fillId="0" borderId="0" xfId="0" applyFont="1" applyAlignment="1">
      <alignment horizontal="centerContinuous"/>
    </xf>
    <xf numFmtId="173" fontId="324" fillId="0" borderId="0" xfId="0" applyNumberFormat="1" applyFont="1" applyAlignment="1">
      <alignment horizontal="centerContinuous"/>
    </xf>
    <xf numFmtId="165" fontId="309" fillId="4" borderId="3" xfId="1" applyNumberFormat="1" applyFont="1" applyFill="1" applyBorder="1" applyAlignment="1">
      <alignment horizontal="right"/>
    </xf>
    <xf numFmtId="165" fontId="309" fillId="4" borderId="4" xfId="1" applyNumberFormat="1" applyFont="1" applyFill="1" applyBorder="1" applyAlignment="1">
      <alignment horizontal="right"/>
    </xf>
    <xf numFmtId="165" fontId="309" fillId="4" borderId="4" xfId="1" applyNumberFormat="1" applyFont="1" applyFill="1" applyBorder="1" applyAlignment="1">
      <alignment horizontal="right" wrapText="1"/>
    </xf>
    <xf numFmtId="0" fontId="312" fillId="4" borderId="4" xfId="0" applyFont="1" applyFill="1" applyBorder="1" applyAlignment="1">
      <alignment horizontal="right"/>
    </xf>
    <xf numFmtId="0" fontId="308" fillId="0" borderId="0" xfId="0" applyFont="1" applyAlignment="1">
      <alignment horizontal="right"/>
    </xf>
    <xf numFmtId="9" fontId="314" fillId="0" borderId="0" xfId="3" applyFont="1" applyFill="1" applyBorder="1" applyAlignment="1">
      <alignment horizontal="right"/>
    </xf>
    <xf numFmtId="165" fontId="308" fillId="0" borderId="6" xfId="1" applyNumberFormat="1" applyFont="1" applyFill="1" applyBorder="1" applyAlignment="1">
      <alignment horizontal="right"/>
    </xf>
    <xf numFmtId="165" fontId="312" fillId="0" borderId="2" xfId="1" applyNumberFormat="1" applyFont="1" applyFill="1" applyBorder="1" applyAlignment="1">
      <alignment horizontal="right"/>
    </xf>
    <xf numFmtId="9" fontId="312" fillId="0" borderId="2" xfId="3" applyFont="1" applyFill="1" applyBorder="1" applyAlignment="1">
      <alignment horizontal="right"/>
    </xf>
    <xf numFmtId="165" fontId="312" fillId="0" borderId="8" xfId="1" applyNumberFormat="1" applyFont="1" applyFill="1" applyBorder="1" applyAlignment="1">
      <alignment horizontal="right"/>
    </xf>
    <xf numFmtId="0" fontId="325" fillId="0" borderId="0" xfId="0" applyFont="1" applyAlignment="1">
      <alignment horizontal="right"/>
    </xf>
    <xf numFmtId="176" fontId="325" fillId="0" borderId="0" xfId="0" applyNumberFormat="1" applyFont="1" applyAlignment="1">
      <alignment horizontal="right"/>
    </xf>
    <xf numFmtId="0" fontId="314" fillId="0" borderId="0" xfId="0" applyFont="1" applyAlignment="1">
      <alignment horizontal="right"/>
    </xf>
    <xf numFmtId="10" fontId="314" fillId="0" borderId="0" xfId="0" applyNumberFormat="1" applyFont="1" applyAlignment="1">
      <alignment horizontal="right"/>
    </xf>
    <xf numFmtId="0" fontId="308" fillId="2" borderId="0" xfId="0" applyFont="1" applyFill="1" applyAlignment="1">
      <alignment horizontal="left"/>
    </xf>
    <xf numFmtId="165" fontId="309" fillId="4" borderId="3" xfId="1" applyNumberFormat="1" applyFont="1" applyFill="1" applyBorder="1" applyAlignment="1">
      <alignment horizontal="left" vertical="center"/>
    </xf>
    <xf numFmtId="0" fontId="312" fillId="4" borderId="125" xfId="0" applyFont="1" applyFill="1" applyBorder="1" applyAlignment="1">
      <alignment horizontal="center" wrapText="1"/>
    </xf>
    <xf numFmtId="0" fontId="312" fillId="4" borderId="0" xfId="0" applyFont="1" applyFill="1" applyAlignment="1">
      <alignment horizontal="center"/>
    </xf>
    <xf numFmtId="0" fontId="12" fillId="0" borderId="0" xfId="7" applyFont="1" applyAlignment="1">
      <alignment horizontal="center"/>
    </xf>
    <xf numFmtId="9" fontId="26" fillId="0" borderId="0" xfId="8" applyFont="1" applyFill="1" applyBorder="1" applyAlignment="1">
      <alignment horizontal="center"/>
    </xf>
    <xf numFmtId="0" fontId="309" fillId="0" borderId="0" xfId="0" applyFont="1" applyAlignment="1">
      <alignment horizontal="left"/>
    </xf>
    <xf numFmtId="0" fontId="309" fillId="0" borderId="0" xfId="0" applyFont="1" applyAlignment="1">
      <alignment horizontal="center"/>
    </xf>
    <xf numFmtId="0" fontId="33" fillId="7" borderId="0" xfId="0" applyFont="1" applyFill="1"/>
    <xf numFmtId="0" fontId="0" fillId="7" borderId="0" xfId="0" applyFill="1"/>
    <xf numFmtId="0" fontId="326" fillId="0" borderId="0" xfId="0" applyFont="1"/>
    <xf numFmtId="0" fontId="30" fillId="0" borderId="0" xfId="0" applyFont="1"/>
    <xf numFmtId="0" fontId="30" fillId="0" borderId="0" xfId="0" applyFont="1" applyAlignment="1">
      <alignment horizontal="left" indent="3"/>
    </xf>
    <xf numFmtId="0" fontId="0" fillId="0" borderId="0" xfId="0" applyAlignment="1">
      <alignment horizontal="left" indent="3"/>
    </xf>
    <xf numFmtId="0" fontId="309" fillId="4" borderId="110" xfId="0" applyFont="1" applyFill="1" applyBorder="1"/>
    <xf numFmtId="9" fontId="325" fillId="0" borderId="111" xfId="3" applyFont="1" applyFill="1" applyBorder="1" applyAlignment="1" applyProtection="1">
      <alignment horizontal="right"/>
    </xf>
    <xf numFmtId="165" fontId="312" fillId="4" borderId="110" xfId="1" applyNumberFormat="1" applyFont="1" applyFill="1" applyBorder="1" applyAlignment="1">
      <alignment horizontal="right"/>
    </xf>
    <xf numFmtId="0" fontId="309" fillId="0" borderId="111" xfId="1" applyNumberFormat="1" applyFont="1" applyFill="1" applyBorder="1" applyAlignment="1">
      <alignment horizontal="right"/>
    </xf>
    <xf numFmtId="165" fontId="309" fillId="4" borderId="148" xfId="1" applyNumberFormat="1" applyFont="1" applyFill="1" applyBorder="1" applyAlignment="1">
      <alignment horizontal="right"/>
    </xf>
    <xf numFmtId="0" fontId="312" fillId="4" borderId="148" xfId="0" applyFont="1" applyFill="1" applyBorder="1" applyAlignment="1">
      <alignment horizontal="right"/>
    </xf>
    <xf numFmtId="165" fontId="312" fillId="4" borderId="148" xfId="1" applyNumberFormat="1" applyFont="1" applyFill="1" applyBorder="1" applyAlignment="1">
      <alignment horizontal="right"/>
    </xf>
    <xf numFmtId="0" fontId="314" fillId="0" borderId="148" xfId="1" applyNumberFormat="1" applyFont="1" applyFill="1" applyBorder="1" applyAlignment="1">
      <alignment horizontal="right"/>
    </xf>
    <xf numFmtId="165" fontId="314" fillId="0" borderId="148" xfId="1" applyNumberFormat="1" applyFont="1" applyFill="1" applyBorder="1" applyAlignment="1">
      <alignment horizontal="right"/>
    </xf>
    <xf numFmtId="3" fontId="324" fillId="2" borderId="148" xfId="0" applyNumberFormat="1" applyFont="1" applyFill="1" applyBorder="1" applyAlignment="1">
      <alignment horizontal="center"/>
    </xf>
    <xf numFmtId="0" fontId="309" fillId="0" borderId="148" xfId="1" applyNumberFormat="1" applyFont="1" applyFill="1" applyBorder="1" applyAlignment="1">
      <alignment horizontal="right"/>
    </xf>
    <xf numFmtId="165" fontId="312" fillId="0" borderId="148" xfId="0" applyNumberFormat="1" applyFont="1" applyBorder="1" applyAlignment="1">
      <alignment horizontal="right"/>
    </xf>
    <xf numFmtId="165" fontId="312" fillId="0" borderId="148" xfId="1" applyNumberFormat="1" applyFont="1" applyFill="1" applyBorder="1" applyAlignment="1">
      <alignment horizontal="right"/>
    </xf>
    <xf numFmtId="0" fontId="308" fillId="0" borderId="146" xfId="0" applyFont="1" applyBorder="1" applyAlignment="1">
      <alignment horizontal="right"/>
    </xf>
    <xf numFmtId="0" fontId="312" fillId="3" borderId="148" xfId="0" applyFont="1" applyFill="1" applyBorder="1" applyAlignment="1">
      <alignment horizontal="right"/>
    </xf>
    <xf numFmtId="173" fontId="314" fillId="0" borderId="148" xfId="1" applyNumberFormat="1" applyFont="1" applyFill="1" applyBorder="1" applyAlignment="1">
      <alignment horizontal="right"/>
    </xf>
    <xf numFmtId="9" fontId="314" fillId="0" borderId="148" xfId="0" applyNumberFormat="1" applyFont="1" applyBorder="1" applyAlignment="1">
      <alignment horizontal="right"/>
    </xf>
    <xf numFmtId="3" fontId="324" fillId="0" borderId="148" xfId="0" applyNumberFormat="1" applyFont="1" applyBorder="1" applyAlignment="1">
      <alignment horizontal="center"/>
    </xf>
    <xf numFmtId="173" fontId="308" fillId="0" borderId="148" xfId="0" applyNumberFormat="1" applyFont="1" applyBorder="1" applyAlignment="1">
      <alignment horizontal="right"/>
    </xf>
    <xf numFmtId="0" fontId="309" fillId="0" borderId="122" xfId="0" applyFont="1" applyBorder="1" applyAlignment="1">
      <alignment horizontal="left"/>
    </xf>
    <xf numFmtId="0" fontId="309" fillId="0" borderId="122" xfId="0" applyFont="1" applyBorder="1" applyAlignment="1">
      <alignment horizontal="right"/>
    </xf>
    <xf numFmtId="0" fontId="314" fillId="0" borderId="122" xfId="0" applyFont="1" applyBorder="1" applyAlignment="1">
      <alignment horizontal="right"/>
    </xf>
    <xf numFmtId="0" fontId="308" fillId="0" borderId="148" xfId="0" applyFont="1" applyBorder="1" applyAlignment="1">
      <alignment horizontal="left"/>
    </xf>
    <xf numFmtId="165" fontId="314" fillId="0" borderId="148" xfId="1" applyNumberFormat="1" applyFont="1" applyFill="1" applyBorder="1" applyAlignment="1">
      <alignment horizontal="center"/>
    </xf>
    <xf numFmtId="177" fontId="314" fillId="0" borderId="148" xfId="1" applyNumberFormat="1" applyFont="1" applyFill="1" applyBorder="1" applyAlignment="1">
      <alignment horizontal="center"/>
    </xf>
    <xf numFmtId="9" fontId="314" fillId="0" borderId="148" xfId="3" applyFont="1" applyFill="1" applyBorder="1" applyAlignment="1">
      <alignment horizontal="center"/>
    </xf>
    <xf numFmtId="165" fontId="309" fillId="0" borderId="148" xfId="1" applyNumberFormat="1" applyFont="1" applyFill="1" applyBorder="1" applyAlignment="1">
      <alignment horizontal="center"/>
    </xf>
    <xf numFmtId="9" fontId="309" fillId="0" borderId="148" xfId="3" applyFont="1" applyFill="1" applyBorder="1" applyAlignment="1">
      <alignment horizontal="center"/>
    </xf>
    <xf numFmtId="0" fontId="314" fillId="0" borderId="148" xfId="0" applyFont="1" applyBorder="1" applyAlignment="1">
      <alignment horizontal="left"/>
    </xf>
    <xf numFmtId="0" fontId="314" fillId="0" borderId="148" xfId="0" applyFont="1" applyBorder="1" applyAlignment="1">
      <alignment horizontal="center"/>
    </xf>
    <xf numFmtId="0" fontId="309" fillId="0" borderId="122" xfId="0" applyFont="1" applyBorder="1"/>
    <xf numFmtId="165" fontId="308" fillId="0" borderId="148" xfId="1" applyNumberFormat="1" applyFont="1" applyFill="1" applyBorder="1" applyAlignment="1">
      <alignment horizontal="center"/>
    </xf>
    <xf numFmtId="9" fontId="308" fillId="0" borderId="148" xfId="3" applyFont="1" applyFill="1" applyBorder="1" applyAlignment="1">
      <alignment horizontal="center"/>
    </xf>
    <xf numFmtId="0" fontId="312" fillId="4" borderId="149" xfId="0" applyFont="1" applyFill="1" applyBorder="1" applyAlignment="1">
      <alignment horizontal="left"/>
    </xf>
    <xf numFmtId="0" fontId="308" fillId="0" borderId="146" xfId="0" applyFont="1" applyBorder="1"/>
    <xf numFmtId="0" fontId="322" fillId="0" borderId="146" xfId="0" applyFont="1" applyBorder="1" applyAlignment="1">
      <alignment horizontal="left"/>
    </xf>
    <xf numFmtId="0" fontId="308" fillId="0" borderId="146" xfId="0" applyFont="1" applyBorder="1" applyAlignment="1">
      <alignment horizontal="left"/>
    </xf>
    <xf numFmtId="0" fontId="321" fillId="0" borderId="146" xfId="0" applyFont="1" applyBorder="1" applyAlignment="1">
      <alignment horizontal="right"/>
    </xf>
    <xf numFmtId="0" fontId="321" fillId="0" borderId="146" xfId="0" applyFont="1" applyBorder="1" applyAlignment="1">
      <alignment horizontal="left"/>
    </xf>
    <xf numFmtId="0" fontId="308" fillId="0" borderId="146" xfId="0" quotePrefix="1" applyFont="1" applyBorder="1" applyAlignment="1" applyProtection="1">
      <alignment horizontal="left"/>
      <protection locked="0"/>
    </xf>
    <xf numFmtId="0" fontId="308" fillId="0" borderId="146" xfId="0" quotePrefix="1" applyFont="1" applyBorder="1" applyAlignment="1">
      <alignment horizontal="left"/>
    </xf>
    <xf numFmtId="0" fontId="312" fillId="0" borderId="146" xfId="0" applyFont="1" applyBorder="1" applyAlignment="1">
      <alignment horizontal="left"/>
    </xf>
    <xf numFmtId="0" fontId="308" fillId="0" borderId="146" xfId="0" applyFont="1" applyBorder="1" applyAlignment="1" applyProtection="1">
      <alignment horizontal="left"/>
      <protection locked="0"/>
    </xf>
    <xf numFmtId="0" fontId="315" fillId="0" borderId="146" xfId="0" applyFont="1" applyBorder="1" applyAlignment="1">
      <alignment horizontal="left"/>
    </xf>
    <xf numFmtId="0" fontId="322" fillId="0" borderId="147" xfId="0" applyFont="1" applyBorder="1" applyAlignment="1">
      <alignment horizontal="left"/>
    </xf>
    <xf numFmtId="165" fontId="321" fillId="0" borderId="145" xfId="1" applyNumberFormat="1" applyFont="1" applyFill="1" applyBorder="1" applyAlignment="1"/>
    <xf numFmtId="9" fontId="308" fillId="0" borderId="145" xfId="3" applyFont="1" applyFill="1" applyBorder="1" applyAlignment="1">
      <alignment horizontal="right"/>
    </xf>
    <xf numFmtId="0" fontId="308" fillId="0" borderId="150" xfId="3" applyNumberFormat="1" applyFont="1" applyFill="1" applyBorder="1" applyAlignment="1">
      <alignment horizontal="left"/>
    </xf>
    <xf numFmtId="0" fontId="312" fillId="3" borderId="149" xfId="0" applyFont="1" applyFill="1" applyBorder="1" applyAlignment="1">
      <alignment horizontal="left"/>
    </xf>
    <xf numFmtId="0" fontId="312" fillId="0" borderId="147" xfId="0" applyFont="1" applyBorder="1" applyAlignment="1">
      <alignment horizontal="left"/>
    </xf>
    <xf numFmtId="165" fontId="312" fillId="0" borderId="145" xfId="1" applyNumberFormat="1" applyFont="1" applyFill="1" applyBorder="1" applyAlignment="1">
      <alignment horizontal="right"/>
    </xf>
    <xf numFmtId="0" fontId="321" fillId="0" borderId="150" xfId="1" applyNumberFormat="1" applyFont="1" applyFill="1" applyBorder="1" applyAlignment="1"/>
    <xf numFmtId="0" fontId="314" fillId="2" borderId="151" xfId="1" applyNumberFormat="1" applyFont="1" applyFill="1" applyBorder="1"/>
    <xf numFmtId="0" fontId="309" fillId="0" borderId="111" xfId="0" applyFont="1" applyBorder="1" applyAlignment="1">
      <alignment horizontal="right"/>
    </xf>
    <xf numFmtId="0" fontId="314" fillId="0" borderId="111" xfId="1" applyNumberFormat="1" applyFont="1" applyFill="1" applyBorder="1" applyAlignment="1">
      <alignment horizontal="right"/>
    </xf>
    <xf numFmtId="0" fontId="314" fillId="4" borderId="110" xfId="0" applyFont="1" applyFill="1" applyBorder="1"/>
    <xf numFmtId="0" fontId="309" fillId="4" borderId="111" xfId="0" applyFont="1" applyFill="1" applyBorder="1" applyAlignment="1">
      <alignment horizontal="right"/>
    </xf>
    <xf numFmtId="0" fontId="15" fillId="0" borderId="148" xfId="0" applyFont="1" applyBorder="1" applyAlignment="1">
      <alignment horizontal="center"/>
    </xf>
    <xf numFmtId="9" fontId="15" fillId="2" borderId="152" xfId="0" applyNumberFormat="1" applyFont="1" applyFill="1" applyBorder="1" applyAlignment="1">
      <alignment horizontal="center"/>
    </xf>
    <xf numFmtId="9" fontId="15" fillId="0" borderId="148" xfId="0" applyNumberFormat="1" applyFont="1" applyBorder="1" applyAlignment="1">
      <alignment horizontal="center"/>
    </xf>
    <xf numFmtId="9" fontId="15" fillId="0" borderId="153" xfId="0" applyNumberFormat="1" applyFont="1" applyBorder="1" applyAlignment="1">
      <alignment horizontal="center"/>
    </xf>
    <xf numFmtId="0" fontId="12" fillId="0" borderId="148" xfId="6" applyFont="1" applyBorder="1" applyAlignment="1">
      <alignment horizontal="center"/>
    </xf>
    <xf numFmtId="41" fontId="12" fillId="0" borderId="152" xfId="0" quotePrefix="1" applyNumberFormat="1" applyFont="1" applyBorder="1" applyAlignment="1">
      <alignment horizontal="center"/>
    </xf>
    <xf numFmtId="0" fontId="15" fillId="0" borderId="122" xfId="0" applyFont="1" applyBorder="1" applyAlignment="1">
      <alignment horizontal="center"/>
    </xf>
    <xf numFmtId="0" fontId="14" fillId="0" borderId="148" xfId="0" applyFont="1" applyBorder="1" applyAlignment="1">
      <alignment horizontal="center"/>
    </xf>
    <xf numFmtId="165" fontId="13" fillId="0" borderId="148" xfId="1" applyNumberFormat="1" applyFont="1" applyBorder="1"/>
    <xf numFmtId="165" fontId="14" fillId="0" borderId="152" xfId="1" applyNumberFormat="1" applyFont="1" applyBorder="1"/>
    <xf numFmtId="165" fontId="13" fillId="0" borderId="122" xfId="1" applyNumberFormat="1" applyFont="1" applyBorder="1"/>
    <xf numFmtId="0" fontId="14" fillId="0" borderId="122" xfId="1" applyNumberFormat="1" applyFont="1" applyBorder="1" applyAlignment="1">
      <alignment horizontal="center"/>
    </xf>
    <xf numFmtId="165" fontId="13" fillId="0" borderId="148" xfId="1" applyNumberFormat="1" applyFont="1" applyFill="1" applyBorder="1"/>
    <xf numFmtId="0" fontId="14" fillId="0" borderId="148" xfId="1" applyNumberFormat="1" applyFont="1" applyBorder="1" applyAlignment="1">
      <alignment horizontal="center"/>
    </xf>
    <xf numFmtId="165" fontId="14" fillId="0" borderId="148" xfId="1" applyNumberFormat="1" applyFont="1" applyBorder="1"/>
    <xf numFmtId="0" fontId="13" fillId="0" borderId="148" xfId="0" applyFont="1" applyBorder="1" applyAlignment="1">
      <alignment horizontal="center"/>
    </xf>
    <xf numFmtId="165" fontId="13" fillId="0" borderId="148" xfId="1" applyNumberFormat="1" applyFont="1" applyFill="1" applyBorder="1" applyAlignment="1"/>
    <xf numFmtId="0" fontId="15" fillId="0" borderId="149" xfId="0" applyFont="1" applyBorder="1" applyAlignment="1">
      <alignment horizontal="center"/>
    </xf>
    <xf numFmtId="0" fontId="15" fillId="0" borderId="153" xfId="0" applyFont="1" applyBorder="1" applyAlignment="1">
      <alignment horizontal="center"/>
    </xf>
    <xf numFmtId="41" fontId="12" fillId="0" borderId="147" xfId="0" quotePrefix="1" applyNumberFormat="1" applyFont="1" applyBorder="1" applyAlignment="1">
      <alignment horizontal="center"/>
    </xf>
    <xf numFmtId="9" fontId="15" fillId="0" borderId="147" xfId="0" applyNumberFormat="1" applyFont="1" applyBorder="1" applyAlignment="1">
      <alignment horizontal="center"/>
    </xf>
    <xf numFmtId="9" fontId="15" fillId="0" borderId="122" xfId="0" applyNumberFormat="1" applyFont="1" applyBorder="1" applyAlignment="1">
      <alignment horizontal="center"/>
    </xf>
    <xf numFmtId="0" fontId="13" fillId="0" borderId="148" xfId="0" applyFont="1" applyBorder="1" applyAlignment="1">
      <alignment horizontal="right"/>
    </xf>
    <xf numFmtId="165" fontId="13" fillId="0" borderId="147" xfId="1" applyNumberFormat="1" applyFont="1" applyFill="1" applyBorder="1"/>
    <xf numFmtId="177" fontId="13" fillId="0" borderId="122" xfId="1" applyNumberFormat="1" applyFont="1" applyFill="1" applyBorder="1"/>
    <xf numFmtId="177" fontId="13" fillId="0" borderId="148" xfId="1" applyNumberFormat="1" applyFont="1" applyFill="1" applyBorder="1"/>
    <xf numFmtId="165" fontId="13" fillId="0" borderId="152" xfId="1" applyNumberFormat="1" applyFont="1" applyBorder="1"/>
    <xf numFmtId="165" fontId="13" fillId="0" borderId="147" xfId="1" applyNumberFormat="1" applyFont="1" applyBorder="1"/>
    <xf numFmtId="177" fontId="13" fillId="0" borderId="148" xfId="1" applyNumberFormat="1" applyFont="1" applyBorder="1"/>
    <xf numFmtId="165" fontId="13" fillId="0" borderId="146" xfId="1" applyNumberFormat="1" applyFont="1" applyBorder="1"/>
    <xf numFmtId="0" fontId="13" fillId="0" borderId="146" xfId="0" applyFont="1" applyBorder="1" applyAlignment="1">
      <alignment horizontal="left"/>
    </xf>
    <xf numFmtId="43" fontId="13" fillId="0" borderId="148" xfId="1" applyFont="1" applyFill="1" applyBorder="1"/>
    <xf numFmtId="9" fontId="15" fillId="2" borderId="148" xfId="0" applyNumberFormat="1" applyFont="1" applyFill="1" applyBorder="1" applyAlignment="1">
      <alignment horizontal="center"/>
    </xf>
    <xf numFmtId="9" fontId="13" fillId="0" borderId="148" xfId="3" applyFont="1" applyBorder="1" applyAlignment="1">
      <alignment horizontal="center"/>
    </xf>
    <xf numFmtId="9" fontId="13" fillId="0" borderId="122" xfId="3" applyFont="1" applyBorder="1" applyAlignment="1">
      <alignment horizontal="center"/>
    </xf>
    <xf numFmtId="0" fontId="13" fillId="0" borderId="148" xfId="0" applyFont="1" applyBorder="1" applyAlignment="1">
      <alignment horizontal="left"/>
    </xf>
    <xf numFmtId="10" fontId="13" fillId="2" borderId="148" xfId="0" applyNumberFormat="1" applyFont="1" applyFill="1" applyBorder="1" applyAlignment="1">
      <alignment horizontal="center"/>
    </xf>
    <xf numFmtId="1" fontId="13" fillId="2" borderId="148" xfId="0" applyNumberFormat="1" applyFont="1" applyFill="1" applyBorder="1" applyAlignment="1">
      <alignment horizontal="center"/>
    </xf>
    <xf numFmtId="0" fontId="13" fillId="0" borderId="148" xfId="0" applyFont="1" applyBorder="1"/>
    <xf numFmtId="165" fontId="13" fillId="0" borderId="122" xfId="1" applyNumberFormat="1" applyFont="1" applyFill="1" applyBorder="1"/>
    <xf numFmtId="0" fontId="13" fillId="0" borderId="146" xfId="0" applyFont="1" applyBorder="1"/>
    <xf numFmtId="177" fontId="13" fillId="0" borderId="148" xfId="0" applyNumberFormat="1" applyFont="1" applyBorder="1" applyAlignment="1">
      <alignment horizontal="left" indent="4"/>
    </xf>
    <xf numFmtId="0" fontId="15" fillId="0" borderId="148" xfId="0" applyFont="1" applyBorder="1" applyAlignment="1">
      <alignment horizontal="right"/>
    </xf>
    <xf numFmtId="165" fontId="15" fillId="0" borderId="148" xfId="0" applyNumberFormat="1" applyFont="1" applyBorder="1"/>
    <xf numFmtId="177" fontId="15" fillId="0" borderId="148" xfId="0" applyNumberFormat="1" applyFont="1" applyBorder="1"/>
    <xf numFmtId="0" fontId="15" fillId="0" borderId="152" xfId="0" applyFont="1" applyBorder="1" applyAlignment="1">
      <alignment horizontal="left"/>
    </xf>
    <xf numFmtId="0" fontId="15" fillId="0" borderId="154" xfId="0" applyFont="1" applyBorder="1" applyAlignment="1">
      <alignment horizontal="center"/>
    </xf>
    <xf numFmtId="0" fontId="15" fillId="0" borderId="155" xfId="0" applyFont="1" applyBorder="1" applyAlignment="1">
      <alignment horizontal="center"/>
    </xf>
    <xf numFmtId="0" fontId="15" fillId="0" borderId="148" xfId="0" applyFont="1" applyBorder="1"/>
    <xf numFmtId="174" fontId="13" fillId="0" borderId="148" xfId="3" applyNumberFormat="1" applyFont="1" applyBorder="1" applyAlignment="1">
      <alignment horizontal="right"/>
    </xf>
    <xf numFmtId="165" fontId="13" fillId="0" borderId="148" xfId="1" applyNumberFormat="1" applyFont="1" applyBorder="1" applyAlignment="1">
      <alignment horizontal="center"/>
    </xf>
    <xf numFmtId="165" fontId="13" fillId="0" borderId="148" xfId="1" applyNumberFormat="1" applyFont="1" applyBorder="1" applyAlignment="1"/>
    <xf numFmtId="49" fontId="4" fillId="0" borderId="141" xfId="0" applyNumberFormat="1" applyFont="1" applyBorder="1" applyAlignment="1">
      <alignment horizontal="center" wrapText="1"/>
    </xf>
    <xf numFmtId="0" fontId="4" fillId="0" borderId="141" xfId="0" applyFont="1" applyBorder="1"/>
    <xf numFmtId="165" fontId="4" fillId="0" borderId="141" xfId="1" applyNumberFormat="1" applyFont="1" applyBorder="1" applyAlignment="1">
      <alignment horizontal="center"/>
    </xf>
    <xf numFmtId="0" fontId="4" fillId="0" borderId="141" xfId="0" applyFont="1" applyBorder="1" applyAlignment="1">
      <alignment horizontal="center"/>
    </xf>
    <xf numFmtId="0" fontId="4" fillId="0" borderId="141" xfId="0" applyFont="1" applyBorder="1" applyAlignment="1">
      <alignment horizontal="right"/>
    </xf>
    <xf numFmtId="14" fontId="4" fillId="0" borderId="141" xfId="0" applyNumberFormat="1" applyFont="1" applyBorder="1" applyAlignment="1">
      <alignment horizontal="right"/>
    </xf>
    <xf numFmtId="14" fontId="8" fillId="0" borderId="141" xfId="0" applyNumberFormat="1" applyFont="1" applyBorder="1" applyAlignment="1">
      <alignment horizontal="center"/>
    </xf>
    <xf numFmtId="0" fontId="0" fillId="0" borderId="110" xfId="0" applyBorder="1"/>
    <xf numFmtId="0" fontId="0" fillId="0" borderId="111" xfId="0" applyBorder="1" applyAlignment="1">
      <alignment horizontal="right"/>
    </xf>
    <xf numFmtId="0" fontId="312" fillId="4" borderId="110" xfId="0" applyFont="1" applyFill="1" applyBorder="1" applyAlignment="1">
      <alignment horizontal="center"/>
    </xf>
    <xf numFmtId="0" fontId="308" fillId="0" borderId="2" xfId="0" applyFont="1" applyBorder="1"/>
    <xf numFmtId="0" fontId="308" fillId="0" borderId="8" xfId="0" applyFont="1" applyBorder="1"/>
    <xf numFmtId="173" fontId="314" fillId="0" borderId="148" xfId="0" applyNumberFormat="1" applyFont="1" applyBorder="1" applyAlignment="1">
      <alignment horizontal="center"/>
    </xf>
    <xf numFmtId="173" fontId="308" fillId="0" borderId="148" xfId="0" applyNumberFormat="1" applyFont="1" applyBorder="1" applyAlignment="1">
      <alignment horizontal="center"/>
    </xf>
    <xf numFmtId="173" fontId="308" fillId="0" borderId="156" xfId="0" applyNumberFormat="1" applyFont="1" applyBorder="1" applyAlignment="1">
      <alignment horizontal="center"/>
    </xf>
    <xf numFmtId="0" fontId="308" fillId="4" borderId="148" xfId="0" applyFont="1" applyFill="1" applyBorder="1" applyAlignment="1">
      <alignment horizontal="center"/>
    </xf>
    <xf numFmtId="166" fontId="308" fillId="0" borderId="148" xfId="1" applyNumberFormat="1" applyFont="1" applyFill="1" applyBorder="1"/>
    <xf numFmtId="9" fontId="308" fillId="4" borderId="148" xfId="3" applyFont="1" applyFill="1" applyBorder="1" applyAlignment="1">
      <alignment horizontal="center"/>
    </xf>
    <xf numFmtId="0" fontId="308" fillId="2" borderId="148" xfId="0" applyFont="1" applyFill="1" applyBorder="1" applyAlignment="1">
      <alignment horizontal="center"/>
    </xf>
    <xf numFmtId="173" fontId="308" fillId="2" borderId="148" xfId="2" applyNumberFormat="1" applyFont="1" applyFill="1" applyBorder="1" applyAlignment="1">
      <alignment horizontal="center"/>
    </xf>
    <xf numFmtId="0" fontId="308" fillId="2" borderId="148" xfId="3" applyNumberFormat="1" applyFont="1" applyFill="1" applyBorder="1" applyAlignment="1">
      <alignment horizontal="center"/>
    </xf>
    <xf numFmtId="182" fontId="308" fillId="2" borderId="148" xfId="0" applyNumberFormat="1" applyFont="1" applyFill="1" applyBorder="1" applyAlignment="1">
      <alignment horizontal="center"/>
    </xf>
    <xf numFmtId="173" fontId="308" fillId="0" borderId="2" xfId="0" applyNumberFormat="1" applyFont="1" applyBorder="1" applyAlignment="1">
      <alignment horizontal="center"/>
    </xf>
    <xf numFmtId="173" fontId="308" fillId="0" borderId="2" xfId="3" applyNumberFormat="1" applyFont="1" applyFill="1" applyBorder="1" applyAlignment="1">
      <alignment horizontal="center"/>
    </xf>
    <xf numFmtId="9" fontId="308" fillId="0" borderId="2" xfId="3" applyFont="1" applyFill="1" applyBorder="1" applyAlignment="1">
      <alignment horizontal="center"/>
    </xf>
    <xf numFmtId="1" fontId="308" fillId="0" borderId="2" xfId="0" applyNumberFormat="1" applyFont="1" applyBorder="1" applyAlignment="1">
      <alignment horizontal="center"/>
    </xf>
    <xf numFmtId="9" fontId="308" fillId="0" borderId="8" xfId="3" applyFont="1" applyFill="1" applyBorder="1" applyAlignment="1">
      <alignment horizontal="center"/>
    </xf>
    <xf numFmtId="165" fontId="308" fillId="0" borderId="2" xfId="1" applyNumberFormat="1" applyFont="1" applyFill="1" applyBorder="1" applyAlignment="1">
      <alignment horizontal="left"/>
    </xf>
    <xf numFmtId="182" fontId="308" fillId="0" borderId="2" xfId="0" applyNumberFormat="1" applyFont="1" applyBorder="1" applyAlignment="1">
      <alignment horizontal="center"/>
    </xf>
    <xf numFmtId="182" fontId="308" fillId="0" borderId="2" xfId="0" applyNumberFormat="1" applyFont="1" applyBorder="1" applyAlignment="1">
      <alignment horizontal="right"/>
    </xf>
    <xf numFmtId="3" fontId="12" fillId="0" borderId="148" xfId="7" applyNumberFormat="1" applyFont="1" applyBorder="1" applyAlignment="1">
      <alignment horizontal="center"/>
    </xf>
    <xf numFmtId="0" fontId="12" fillId="0" borderId="148" xfId="7" applyFont="1" applyBorder="1" applyAlignment="1">
      <alignment horizontal="center"/>
    </xf>
    <xf numFmtId="3" fontId="12" fillId="0" borderId="146" xfId="7" applyNumberFormat="1" applyFont="1" applyBorder="1" applyAlignment="1">
      <alignment horizontal="center"/>
    </xf>
    <xf numFmtId="0" fontId="14" fillId="0" borderId="146" xfId="7" applyFont="1" applyBorder="1" applyAlignment="1">
      <alignment horizontal="left"/>
    </xf>
    <xf numFmtId="9" fontId="12" fillId="0" borderId="148" xfId="7" applyNumberFormat="1" applyFont="1" applyBorder="1" applyAlignment="1">
      <alignment horizontal="center"/>
    </xf>
    <xf numFmtId="14" fontId="12" fillId="0" borderId="148" xfId="7" applyNumberFormat="1" applyFont="1" applyBorder="1" applyAlignment="1">
      <alignment horizontal="center"/>
    </xf>
    <xf numFmtId="9" fontId="29" fillId="0" borderId="153" xfId="7" applyNumberFormat="1" applyFont="1" applyBorder="1" applyAlignment="1">
      <alignment horizontal="center"/>
    </xf>
    <xf numFmtId="9" fontId="15" fillId="0" borderId="153" xfId="7" applyNumberFormat="1" applyFont="1" applyBorder="1" applyAlignment="1">
      <alignment horizontal="left"/>
    </xf>
    <xf numFmtId="3" fontId="12" fillId="0" borderId="125" xfId="7" applyNumberFormat="1" applyFont="1" applyBorder="1" applyAlignment="1">
      <alignment horizontal="center"/>
    </xf>
    <xf numFmtId="0" fontId="14" fillId="0" borderId="125" xfId="7" applyFont="1" applyBorder="1" applyAlignment="1">
      <alignment horizontal="left"/>
    </xf>
    <xf numFmtId="0" fontId="14" fillId="0" borderId="125" xfId="7" applyFont="1" applyBorder="1"/>
    <xf numFmtId="0" fontId="14" fillId="0" borderId="145" xfId="7" applyFont="1" applyBorder="1" applyAlignment="1">
      <alignment horizontal="center"/>
    </xf>
    <xf numFmtId="0" fontId="14" fillId="0" borderId="145" xfId="7" applyFont="1" applyBorder="1"/>
    <xf numFmtId="0" fontId="14" fillId="4" borderId="149" xfId="7" applyFont="1" applyFill="1" applyBorder="1"/>
    <xf numFmtId="0" fontId="14" fillId="4" borderId="125" xfId="7" applyFont="1" applyFill="1" applyBorder="1"/>
    <xf numFmtId="0" fontId="14" fillId="4" borderId="142" xfId="7" applyFont="1" applyFill="1" applyBorder="1" applyAlignment="1">
      <alignment horizontal="center"/>
    </xf>
    <xf numFmtId="178" fontId="26" fillId="4" borderId="149" xfId="7" applyNumberFormat="1" applyFont="1" applyFill="1" applyBorder="1"/>
    <xf numFmtId="178" fontId="26" fillId="4" borderId="125" xfId="7" applyNumberFormat="1" applyFont="1" applyFill="1" applyBorder="1"/>
    <xf numFmtId="0" fontId="14" fillId="4" borderId="125" xfId="7" applyFont="1" applyFill="1" applyBorder="1" applyAlignment="1">
      <alignment horizontal="center"/>
    </xf>
    <xf numFmtId="0" fontId="14" fillId="4" borderId="146" xfId="7" applyFont="1" applyFill="1" applyBorder="1" applyAlignment="1">
      <alignment horizontal="center"/>
    </xf>
    <xf numFmtId="0" fontId="14" fillId="4" borderId="146" xfId="7" applyFont="1" applyFill="1" applyBorder="1"/>
    <xf numFmtId="0" fontId="14" fillId="0" borderId="152" xfId="9" applyFont="1" applyBorder="1" applyAlignment="1">
      <alignment horizontal="center"/>
    </xf>
    <xf numFmtId="2" fontId="14" fillId="0" borderId="154" xfId="9" applyNumberFormat="1" applyFont="1" applyBorder="1" applyAlignment="1">
      <alignment horizontal="center"/>
    </xf>
    <xf numFmtId="0" fontId="14" fillId="4" borderId="147" xfId="7" applyFont="1" applyFill="1" applyBorder="1" applyAlignment="1">
      <alignment horizontal="center"/>
    </xf>
    <xf numFmtId="0" fontId="14" fillId="4" borderId="145" xfId="7" applyFont="1" applyFill="1" applyBorder="1" applyAlignment="1">
      <alignment horizontal="center"/>
    </xf>
    <xf numFmtId="0" fontId="14" fillId="4" borderId="145" xfId="9" applyFont="1" applyFill="1" applyBorder="1" applyAlignment="1">
      <alignment horizontal="center"/>
    </xf>
    <xf numFmtId="9" fontId="14" fillId="4" borderId="145" xfId="9" applyNumberFormat="1" applyFont="1" applyFill="1" applyBorder="1" applyAlignment="1">
      <alignment horizontal="center"/>
    </xf>
    <xf numFmtId="180" fontId="14" fillId="4" borderId="145" xfId="7" applyNumberFormat="1" applyFont="1" applyFill="1" applyBorder="1" applyAlignment="1">
      <alignment horizontal="center" wrapText="1"/>
    </xf>
    <xf numFmtId="0" fontId="14" fillId="4" borderId="145" xfId="7" applyFont="1" applyFill="1" applyBorder="1" applyAlignment="1">
      <alignment horizontal="center" wrapText="1"/>
    </xf>
    <xf numFmtId="0" fontId="14" fillId="4" borderId="145" xfId="9" applyFont="1" applyFill="1" applyBorder="1" applyAlignment="1">
      <alignment horizontal="center" wrapText="1"/>
    </xf>
    <xf numFmtId="0" fontId="14" fillId="4" borderId="150" xfId="9" applyFont="1" applyFill="1" applyBorder="1" applyAlignment="1">
      <alignment horizontal="center" wrapText="1"/>
    </xf>
    <xf numFmtId="0" fontId="14" fillId="0" borderId="154" xfId="9" applyFont="1" applyBorder="1" applyAlignment="1">
      <alignment horizontal="center"/>
    </xf>
    <xf numFmtId="39" fontId="14" fillId="0" borderId="154" xfId="9" applyNumberFormat="1" applyFont="1" applyBorder="1" applyAlignment="1">
      <alignment horizontal="center"/>
    </xf>
    <xf numFmtId="3" fontId="12" fillId="0" borderId="152" xfId="7" applyNumberFormat="1" applyFont="1" applyBorder="1" applyAlignment="1">
      <alignment horizontal="center"/>
    </xf>
    <xf numFmtId="3" fontId="12" fillId="0" borderId="154" xfId="7" applyNumberFormat="1" applyFont="1" applyBorder="1" applyAlignment="1">
      <alignment horizontal="center"/>
    </xf>
    <xf numFmtId="3" fontId="12" fillId="0" borderId="155" xfId="7" applyNumberFormat="1" applyFont="1" applyBorder="1" applyAlignment="1">
      <alignment horizontal="center"/>
    </xf>
    <xf numFmtId="37" fontId="14" fillId="0" borderId="154" xfId="9" applyNumberFormat="1" applyFont="1" applyBorder="1" applyAlignment="1">
      <alignment horizontal="center"/>
    </xf>
    <xf numFmtId="165" fontId="309" fillId="4" borderId="4" xfId="1" applyNumberFormat="1" applyFont="1" applyFill="1" applyBorder="1" applyAlignment="1">
      <alignment horizontal="center" vertical="center"/>
    </xf>
    <xf numFmtId="0" fontId="324" fillId="0" borderId="148" xfId="5318" applyFont="1" applyBorder="1" applyAlignment="1">
      <alignment horizontal="right" vertical="center"/>
    </xf>
    <xf numFmtId="6" fontId="314" fillId="0" borderId="148" xfId="5318" applyNumberFormat="1" applyFont="1" applyBorder="1" applyAlignment="1">
      <alignment horizontal="center" vertical="center"/>
    </xf>
    <xf numFmtId="173" fontId="309" fillId="0" borderId="2" xfId="1" applyNumberFormat="1" applyFont="1" applyFill="1" applyBorder="1"/>
    <xf numFmtId="0" fontId="0" fillId="0" borderId="146" xfId="0" applyBorder="1" applyAlignment="1">
      <alignment horizontal="left"/>
    </xf>
    <xf numFmtId="0" fontId="314" fillId="0" borderId="148" xfId="0" applyFont="1" applyBorder="1"/>
    <xf numFmtId="0" fontId="314" fillId="0" borderId="148" xfId="0" applyFont="1" applyBorder="1" applyAlignment="1">
      <alignment horizontal="right"/>
    </xf>
    <xf numFmtId="166" fontId="312" fillId="0" borderId="0" xfId="2" applyNumberFormat="1" applyFont="1"/>
    <xf numFmtId="44" fontId="312" fillId="0" borderId="0" xfId="2" applyFont="1"/>
    <xf numFmtId="37" fontId="308" fillId="2" borderId="0" xfId="1" applyNumberFormat="1" applyFont="1" applyFill="1" applyBorder="1" applyAlignment="1"/>
    <xf numFmtId="37" fontId="308" fillId="0" borderId="0" xfId="1" applyNumberFormat="1" applyFont="1" applyFill="1" applyBorder="1" applyAlignment="1">
      <alignment horizontal="right"/>
    </xf>
    <xf numFmtId="37" fontId="312" fillId="0" borderId="0" xfId="1" applyNumberFormat="1" applyFont="1" applyFill="1" applyBorder="1" applyAlignment="1"/>
    <xf numFmtId="37" fontId="312" fillId="0" borderId="0" xfId="1" applyNumberFormat="1" applyFont="1" applyFill="1" applyBorder="1" applyAlignment="1">
      <alignment horizontal="right"/>
    </xf>
    <xf numFmtId="37" fontId="308" fillId="0" borderId="0" xfId="1" applyNumberFormat="1" applyFont="1" applyFill="1" applyBorder="1"/>
    <xf numFmtId="37" fontId="312" fillId="0" borderId="0" xfId="1" applyNumberFormat="1" applyFont="1" applyFill="1" applyBorder="1" applyAlignment="1">
      <alignment horizontal="right" wrapText="1"/>
    </xf>
    <xf numFmtId="37" fontId="312" fillId="0" borderId="0" xfId="1" applyNumberFormat="1" applyFont="1" applyFill="1" applyBorder="1" applyAlignment="1">
      <alignment horizontal="left"/>
    </xf>
    <xf numFmtId="37" fontId="321" fillId="0" borderId="0" xfId="1" applyNumberFormat="1" applyFont="1" applyFill="1" applyBorder="1" applyAlignment="1">
      <alignment horizontal="right"/>
    </xf>
    <xf numFmtId="37" fontId="308" fillId="0" borderId="0" xfId="1" applyNumberFormat="1" applyFont="1" applyFill="1" applyBorder="1" applyAlignment="1"/>
    <xf numFmtId="37" fontId="321" fillId="0" borderId="0" xfId="1" applyNumberFormat="1" applyFont="1" applyFill="1" applyBorder="1" applyAlignment="1">
      <alignment horizontal="center"/>
    </xf>
    <xf numFmtId="37" fontId="312" fillId="0" borderId="0" xfId="0" applyNumberFormat="1" applyFont="1" applyAlignment="1">
      <alignment horizontal="left"/>
    </xf>
    <xf numFmtId="37" fontId="308" fillId="0" borderId="0" xfId="1" applyNumberFormat="1" applyFont="1" applyFill="1" applyBorder="1" applyAlignment="1">
      <alignment horizontal="left"/>
    </xf>
    <xf numFmtId="37" fontId="321" fillId="0" borderId="0" xfId="1" applyNumberFormat="1" applyFont="1" applyFill="1" applyBorder="1" applyAlignment="1"/>
    <xf numFmtId="37" fontId="321" fillId="0" borderId="145" xfId="1" applyNumberFormat="1" applyFont="1" applyFill="1" applyBorder="1" applyAlignment="1"/>
    <xf numFmtId="37" fontId="308" fillId="0" borderId="0" xfId="0" applyNumberFormat="1" applyFont="1"/>
    <xf numFmtId="37" fontId="312" fillId="3" borderId="125" xfId="0" applyNumberFormat="1" applyFont="1" applyFill="1" applyBorder="1" applyAlignment="1">
      <alignment horizontal="right"/>
    </xf>
    <xf numFmtId="37" fontId="312" fillId="3" borderId="142" xfId="0" applyNumberFormat="1" applyFont="1" applyFill="1" applyBorder="1" applyAlignment="1">
      <alignment horizontal="right"/>
    </xf>
    <xf numFmtId="37" fontId="308" fillId="0" borderId="1" xfId="3" applyNumberFormat="1" applyFont="1" applyFill="1" applyBorder="1" applyAlignment="1">
      <alignment horizontal="right"/>
    </xf>
    <xf numFmtId="37" fontId="312" fillId="0" borderId="145" xfId="1" applyNumberFormat="1" applyFont="1" applyFill="1" applyBorder="1" applyAlignment="1">
      <alignment horizontal="right"/>
    </xf>
    <xf numFmtId="37" fontId="321" fillId="0" borderId="150" xfId="1" applyNumberFormat="1" applyFont="1" applyFill="1" applyBorder="1" applyAlignment="1"/>
    <xf numFmtId="0" fontId="5" fillId="73" borderId="1" xfId="0" applyFont="1" applyFill="1" applyBorder="1" applyAlignment="1" applyProtection="1">
      <alignment vertical="center" wrapText="1"/>
      <protection locked="0"/>
    </xf>
    <xf numFmtId="0" fontId="314" fillId="0" borderId="0" xfId="0" applyFont="1" applyAlignment="1">
      <alignment wrapText="1"/>
    </xf>
    <xf numFmtId="173" fontId="314" fillId="0" borderId="5" xfId="1" applyNumberFormat="1" applyFont="1" applyFill="1" applyBorder="1" applyAlignment="1">
      <alignment horizontal="left" indent="5"/>
    </xf>
    <xf numFmtId="173" fontId="314" fillId="0" borderId="5" xfId="1" applyNumberFormat="1" applyFont="1" applyFill="1" applyBorder="1" applyAlignment="1">
      <alignment horizontal="left" indent="9"/>
    </xf>
    <xf numFmtId="0" fontId="30" fillId="0" borderId="0" xfId="0" applyFont="1" applyAlignment="1">
      <alignment horizontal="left" wrapText="1" indent="2"/>
    </xf>
    <xf numFmtId="0" fontId="312" fillId="4" borderId="148" xfId="0" applyFont="1" applyFill="1" applyBorder="1" applyAlignment="1">
      <alignment horizontal="center"/>
    </xf>
    <xf numFmtId="0" fontId="309" fillId="4" borderId="152" xfId="0" applyFont="1" applyFill="1" applyBorder="1" applyAlignment="1">
      <alignment horizontal="center"/>
    </xf>
    <xf numFmtId="0" fontId="309" fillId="4" borderId="154" xfId="0" applyFont="1" applyFill="1" applyBorder="1" applyAlignment="1">
      <alignment horizontal="center"/>
    </xf>
    <xf numFmtId="0" fontId="309" fillId="4" borderId="155" xfId="0" applyFont="1" applyFill="1" applyBorder="1" applyAlignment="1">
      <alignment horizontal="center"/>
    </xf>
    <xf numFmtId="0" fontId="312" fillId="4" borderId="125" xfId="0" applyFont="1" applyFill="1" applyBorder="1" applyAlignment="1">
      <alignment horizontal="center" wrapText="1"/>
    </xf>
    <xf numFmtId="0" fontId="312" fillId="4" borderId="142" xfId="0" applyFont="1" applyFill="1" applyBorder="1" applyAlignment="1">
      <alignment horizontal="center" wrapText="1"/>
    </xf>
    <xf numFmtId="0" fontId="12" fillId="0" borderId="0" xfId="0" applyFont="1" applyAlignment="1">
      <alignment horizontal="center"/>
    </xf>
    <xf numFmtId="0" fontId="4" fillId="0" borderId="0" xfId="0" applyFont="1" applyAlignment="1">
      <alignment horizontal="left"/>
    </xf>
    <xf numFmtId="0" fontId="312" fillId="0" borderId="0" xfId="0" applyFont="1" applyAlignment="1">
      <alignment horizontal="center"/>
    </xf>
    <xf numFmtId="0" fontId="312" fillId="4" borderId="0" xfId="0" applyFont="1" applyFill="1" applyAlignment="1">
      <alignment horizontal="center"/>
    </xf>
    <xf numFmtId="0" fontId="12" fillId="0" borderId="0" xfId="7" applyFont="1" applyAlignment="1">
      <alignment horizontal="center"/>
    </xf>
    <xf numFmtId="9" fontId="26" fillId="0" borderId="0" xfId="8" applyFont="1" applyFill="1" applyBorder="1" applyAlignment="1">
      <alignment horizontal="center"/>
    </xf>
    <xf numFmtId="0" fontId="309" fillId="0" borderId="152" xfId="5318" applyFont="1" applyBorder="1" applyAlignment="1">
      <alignment horizontal="center" vertical="center"/>
    </xf>
    <xf numFmtId="0" fontId="309" fillId="0" borderId="155" xfId="5318" applyFont="1" applyBorder="1" applyAlignment="1">
      <alignment horizontal="center" vertical="center"/>
    </xf>
    <xf numFmtId="0" fontId="309" fillId="0" borderId="0" xfId="0" applyFont="1" applyAlignment="1">
      <alignment horizontal="left"/>
    </xf>
    <xf numFmtId="0" fontId="309" fillId="0" borderId="0" xfId="0" applyFont="1" applyAlignment="1">
      <alignment horizontal="center"/>
    </xf>
    <xf numFmtId="0" fontId="7" fillId="0" borderId="0" xfId="0" applyFont="1" applyAlignment="1">
      <alignment horizontal="left"/>
    </xf>
  </cellXfs>
  <cellStyles count="5851">
    <cellStyle name="$" xfId="256" xr:uid="{00000000-0005-0000-0000-000000000000}"/>
    <cellStyle name="$ / sq Ft" xfId="254" xr:uid="{00000000-0005-0000-0000-000001000000}"/>
    <cellStyle name="$ 0 decimal" xfId="253" xr:uid="{00000000-0005-0000-0000-000002000000}"/>
    <cellStyle name="$ 1 decimal" xfId="252" xr:uid="{00000000-0005-0000-0000-000003000000}"/>
    <cellStyle name="$ 2 decimals" xfId="244" xr:uid="{00000000-0005-0000-0000-000004000000}"/>
    <cellStyle name="$,000.  t10" xfId="245" xr:uid="{00000000-0005-0000-0000-000005000000}"/>
    <cellStyle name="$,000.  t10 2" xfId="246" xr:uid="{00000000-0005-0000-0000-000006000000}"/>
    <cellStyle name="$,000.  t10 2 2" xfId="247" xr:uid="{00000000-0005-0000-0000-000007000000}"/>
    <cellStyle name="$,000.  t10 2 2 2" xfId="3124" xr:uid="{00000000-0005-0000-0000-000008000000}"/>
    <cellStyle name="$,000.  t10 2 2 3" xfId="3306" xr:uid="{00000000-0005-0000-0000-000009000000}"/>
    <cellStyle name="$,000.  t10 2 3" xfId="3123" xr:uid="{00000000-0005-0000-0000-00000A000000}"/>
    <cellStyle name="$,000.  t10 2 4" xfId="3307" xr:uid="{00000000-0005-0000-0000-00000B000000}"/>
    <cellStyle name="$,000.  t10 3" xfId="248" xr:uid="{00000000-0005-0000-0000-00000C000000}"/>
    <cellStyle name="$,000.  t10 3 2" xfId="249" xr:uid="{00000000-0005-0000-0000-00000D000000}"/>
    <cellStyle name="$,000.  t10 3 2 2" xfId="3126" xr:uid="{00000000-0005-0000-0000-00000E000000}"/>
    <cellStyle name="$,000.  t10 3 2 3" xfId="3304" xr:uid="{00000000-0005-0000-0000-00000F000000}"/>
    <cellStyle name="$,000.  t10 3 3" xfId="3125" xr:uid="{00000000-0005-0000-0000-000010000000}"/>
    <cellStyle name="$,000.  t10 3 4" xfId="3305" xr:uid="{00000000-0005-0000-0000-000011000000}"/>
    <cellStyle name="$,000.  t10 4" xfId="3122" xr:uid="{00000000-0005-0000-0000-000012000000}"/>
    <cellStyle name="$,000.  t10 5" xfId="3308" xr:uid="{00000000-0005-0000-0000-000013000000}"/>
    <cellStyle name="$,000.  t12" xfId="250" xr:uid="{00000000-0005-0000-0000-000014000000}"/>
    <cellStyle name="$,000.  t12 2" xfId="251" xr:uid="{00000000-0005-0000-0000-000015000000}"/>
    <cellStyle name="$,000.  t12 2 2" xfId="258" xr:uid="{00000000-0005-0000-0000-000016000000}"/>
    <cellStyle name="$,000.  t12 2 2 2" xfId="3130" xr:uid="{00000000-0005-0000-0000-000017000000}"/>
    <cellStyle name="$,000.  t12 2 2 3" xfId="3301" xr:uid="{00000000-0005-0000-0000-000018000000}"/>
    <cellStyle name="$,000.  t12 2 3" xfId="3128" xr:uid="{00000000-0005-0000-0000-000019000000}"/>
    <cellStyle name="$,000.  t12 2 4" xfId="3302" xr:uid="{00000000-0005-0000-0000-00001A000000}"/>
    <cellStyle name="$,000.  t12 3" xfId="259" xr:uid="{00000000-0005-0000-0000-00001B000000}"/>
    <cellStyle name="$,000.  t12 3 2" xfId="260" xr:uid="{00000000-0005-0000-0000-00001C000000}"/>
    <cellStyle name="$,000.  t12 3 2 2" xfId="3132" xr:uid="{00000000-0005-0000-0000-00001D000000}"/>
    <cellStyle name="$,000.  t12 3 2 3" xfId="3299" xr:uid="{00000000-0005-0000-0000-00001E000000}"/>
    <cellStyle name="$,000.  t12 3 3" xfId="3131" xr:uid="{00000000-0005-0000-0000-00001F000000}"/>
    <cellStyle name="$,000.  t12 3 4" xfId="3300" xr:uid="{00000000-0005-0000-0000-000020000000}"/>
    <cellStyle name="$,000.  t12 4" xfId="3127" xr:uid="{00000000-0005-0000-0000-000021000000}"/>
    <cellStyle name="$,000.  t12 5" xfId="3303" xr:uid="{00000000-0005-0000-0000-000022000000}"/>
    <cellStyle name="$,000.00  t12" xfId="261" xr:uid="{00000000-0005-0000-0000-000023000000}"/>
    <cellStyle name="$,000.00  t12 2" xfId="262" xr:uid="{00000000-0005-0000-0000-000024000000}"/>
    <cellStyle name="$,000.00  t12 2 2" xfId="263" xr:uid="{00000000-0005-0000-0000-000025000000}"/>
    <cellStyle name="$,000.00  t12 2 2 2" xfId="3135" xr:uid="{00000000-0005-0000-0000-000026000000}"/>
    <cellStyle name="$,000.00  t12 2 2 3" xfId="3329" xr:uid="{00000000-0005-0000-0000-000027000000}"/>
    <cellStyle name="$,000.00  t12 2 3" xfId="3134" xr:uid="{00000000-0005-0000-0000-000028000000}"/>
    <cellStyle name="$,000.00  t12 2 4" xfId="3297" xr:uid="{00000000-0005-0000-0000-000029000000}"/>
    <cellStyle name="$,000.00  t12 3" xfId="264" xr:uid="{00000000-0005-0000-0000-00002A000000}"/>
    <cellStyle name="$,000.00  t12 3 2" xfId="265" xr:uid="{00000000-0005-0000-0000-00002B000000}"/>
    <cellStyle name="$,000.00  t12 3 2 2" xfId="3137" xr:uid="{00000000-0005-0000-0000-00002C000000}"/>
    <cellStyle name="$,000.00  t12 3 2 3" xfId="3295" xr:uid="{00000000-0005-0000-0000-00002D000000}"/>
    <cellStyle name="$,000.00  t12 3 3" xfId="3136" xr:uid="{00000000-0005-0000-0000-00002E000000}"/>
    <cellStyle name="$,000.00  t12 3 4" xfId="3112" xr:uid="{00000000-0005-0000-0000-00002F000000}"/>
    <cellStyle name="$,000.00  t12 4" xfId="3133" xr:uid="{00000000-0005-0000-0000-000030000000}"/>
    <cellStyle name="$,000.00  t12 5" xfId="3298" xr:uid="{00000000-0005-0000-0000-000031000000}"/>
    <cellStyle name="$0.0" xfId="266" xr:uid="{00000000-0005-0000-0000-000032000000}"/>
    <cellStyle name="$0.0 2" xfId="267" xr:uid="{00000000-0005-0000-0000-000033000000}"/>
    <cellStyle name="$0.0 2 2" xfId="268" xr:uid="{00000000-0005-0000-0000-000034000000}"/>
    <cellStyle name="$0.0 2 2 2" xfId="269" xr:uid="{00000000-0005-0000-0000-000035000000}"/>
    <cellStyle name="$0.0 2 3" xfId="270" xr:uid="{00000000-0005-0000-0000-000036000000}"/>
    <cellStyle name="$0.0 2_120403-Utica-3rd Flr Gym" xfId="271" xr:uid="{00000000-0005-0000-0000-000037000000}"/>
    <cellStyle name="$0.0 3" xfId="272" xr:uid="{00000000-0005-0000-0000-000038000000}"/>
    <cellStyle name="$0.0_120403-Utica-3rd Flr Gym" xfId="273" xr:uid="{00000000-0005-0000-0000-000039000000}"/>
    <cellStyle name="$0.00" xfId="274" xr:uid="{00000000-0005-0000-0000-00003A000000}"/>
    <cellStyle name="$0.000" xfId="275" xr:uid="{00000000-0005-0000-0000-00003B000000}"/>
    <cellStyle name="$00.00" xfId="34" xr:uid="{00000000-0005-0000-0000-00003C000000}"/>
    <cellStyle name="% Presentation" xfId="5345" xr:uid="{00000000-0005-0000-0000-00003D000000}"/>
    <cellStyle name="**" xfId="276" xr:uid="{00000000-0005-0000-0000-00003E000000}"/>
    <cellStyle name="******************************************" xfId="5364" xr:uid="{00000000-0005-0000-0000-00003F000000}"/>
    <cellStyle name="_ heading$" xfId="277" xr:uid="{00000000-0005-0000-0000-000040000000}"/>
    <cellStyle name="_ heading$ 2" xfId="278" xr:uid="{00000000-0005-0000-0000-000041000000}"/>
    <cellStyle name="_ heading$ 2 2" xfId="279" xr:uid="{00000000-0005-0000-0000-000042000000}"/>
    <cellStyle name="_ heading$ 2 2 2" xfId="280" xr:uid="{00000000-0005-0000-0000-000043000000}"/>
    <cellStyle name="_ heading$ 2 3" xfId="281" xr:uid="{00000000-0005-0000-0000-000044000000}"/>
    <cellStyle name="_ heading$ 3" xfId="282" xr:uid="{00000000-0005-0000-0000-000045000000}"/>
    <cellStyle name="_ heading%" xfId="283" xr:uid="{00000000-0005-0000-0000-000046000000}"/>
    <cellStyle name="_ heading% 2" xfId="284" xr:uid="{00000000-0005-0000-0000-000047000000}"/>
    <cellStyle name="_ heading% 2 2" xfId="285" xr:uid="{00000000-0005-0000-0000-000048000000}"/>
    <cellStyle name="_ heading% 2 2 2" xfId="286" xr:uid="{00000000-0005-0000-0000-000049000000}"/>
    <cellStyle name="_ heading% 2 3" xfId="287" xr:uid="{00000000-0005-0000-0000-00004A000000}"/>
    <cellStyle name="_ heading% 3" xfId="288" xr:uid="{00000000-0005-0000-0000-00004B000000}"/>
    <cellStyle name="_ heading£" xfId="289" xr:uid="{00000000-0005-0000-0000-00004C000000}"/>
    <cellStyle name="_ heading£ 2" xfId="290" xr:uid="{00000000-0005-0000-0000-00004D000000}"/>
    <cellStyle name="_ heading£ 2 2" xfId="291" xr:uid="{00000000-0005-0000-0000-00004E000000}"/>
    <cellStyle name="_ heading£ 2 2 2" xfId="292" xr:uid="{00000000-0005-0000-0000-00004F000000}"/>
    <cellStyle name="_ heading£ 2 3" xfId="293" xr:uid="{00000000-0005-0000-0000-000050000000}"/>
    <cellStyle name="_ heading£ 3" xfId="294" xr:uid="{00000000-0005-0000-0000-000051000000}"/>
    <cellStyle name="_ heading¥" xfId="295" xr:uid="{00000000-0005-0000-0000-000052000000}"/>
    <cellStyle name="_ heading¥ 2" xfId="296" xr:uid="{00000000-0005-0000-0000-000053000000}"/>
    <cellStyle name="_ heading¥ 2 2" xfId="297" xr:uid="{00000000-0005-0000-0000-000054000000}"/>
    <cellStyle name="_ heading¥ 2 2 2" xfId="298" xr:uid="{00000000-0005-0000-0000-000055000000}"/>
    <cellStyle name="_ heading¥ 2 3" xfId="299" xr:uid="{00000000-0005-0000-0000-000056000000}"/>
    <cellStyle name="_ heading¥ 3" xfId="300" xr:uid="{00000000-0005-0000-0000-000057000000}"/>
    <cellStyle name="_ heading€" xfId="301" xr:uid="{00000000-0005-0000-0000-000058000000}"/>
    <cellStyle name="_ heading€ 2" xfId="302" xr:uid="{00000000-0005-0000-0000-000059000000}"/>
    <cellStyle name="_ heading€ 2 2" xfId="303" xr:uid="{00000000-0005-0000-0000-00005A000000}"/>
    <cellStyle name="_ heading€ 2 2 2" xfId="304" xr:uid="{00000000-0005-0000-0000-00005B000000}"/>
    <cellStyle name="_ heading€ 2 3" xfId="305" xr:uid="{00000000-0005-0000-0000-00005C000000}"/>
    <cellStyle name="_ heading€ 3" xfId="306" xr:uid="{00000000-0005-0000-0000-00005D000000}"/>
    <cellStyle name="_ headingx" xfId="307" xr:uid="{00000000-0005-0000-0000-00005E000000}"/>
    <cellStyle name="_ headingx 2" xfId="308" xr:uid="{00000000-0005-0000-0000-00005F000000}"/>
    <cellStyle name="_ headingx 2 2" xfId="309" xr:uid="{00000000-0005-0000-0000-000060000000}"/>
    <cellStyle name="_ headingx 2 2 2" xfId="310" xr:uid="{00000000-0005-0000-0000-000061000000}"/>
    <cellStyle name="_ headingx 2 3" xfId="311" xr:uid="{00000000-0005-0000-0000-000062000000}"/>
    <cellStyle name="_ headingx 3" xfId="312" xr:uid="{00000000-0005-0000-0000-000063000000}"/>
    <cellStyle name="_%(SignOnly)" xfId="313" xr:uid="{00000000-0005-0000-0000-000064000000}"/>
    <cellStyle name="_%(SignOnly) 2" xfId="314" xr:uid="{00000000-0005-0000-0000-000065000000}"/>
    <cellStyle name="_%(SignOnly) 2 2" xfId="315" xr:uid="{00000000-0005-0000-0000-000066000000}"/>
    <cellStyle name="_%(SignOnly) 2 2 2" xfId="316" xr:uid="{00000000-0005-0000-0000-000067000000}"/>
    <cellStyle name="_%(SignOnly) 2 3" xfId="317" xr:uid="{00000000-0005-0000-0000-000068000000}"/>
    <cellStyle name="_%(SignOnly) 3" xfId="5348" xr:uid="{00000000-0005-0000-0000-000069000000}"/>
    <cellStyle name="_%(SignSpaceOnly)" xfId="318" xr:uid="{00000000-0005-0000-0000-00006A000000}"/>
    <cellStyle name="_%(SignSpaceOnly) 2" xfId="319" xr:uid="{00000000-0005-0000-0000-00006B000000}"/>
    <cellStyle name="_%(SignSpaceOnly) 2 2" xfId="320" xr:uid="{00000000-0005-0000-0000-00006C000000}"/>
    <cellStyle name="_%(SignSpaceOnly) 2 2 2" xfId="321" xr:uid="{00000000-0005-0000-0000-00006D000000}"/>
    <cellStyle name="_%(SignSpaceOnly) 2 3" xfId="322" xr:uid="{00000000-0005-0000-0000-00006E000000}"/>
    <cellStyle name="_%(SignSpaceOnly) 3" xfId="5335" xr:uid="{00000000-0005-0000-0000-00006F000000}"/>
    <cellStyle name="_%(SignSpaceOnly)_ControlTables" xfId="323" xr:uid="{00000000-0005-0000-0000-000070000000}"/>
    <cellStyle name="_%(SignSpaceOnly)_ControlTablesI" xfId="324" xr:uid="{00000000-0005-0000-0000-000071000000}"/>
    <cellStyle name="_%(SignSpaceOnly)_Database - Comparables" xfId="325" xr:uid="{00000000-0005-0000-0000-000072000000}"/>
    <cellStyle name="_%(SignSpaceOnly)_DB_Eye" xfId="326" xr:uid="{00000000-0005-0000-0000-000073000000}"/>
    <cellStyle name="_%(SignSpaceOnly)_Exec Summary" xfId="327" xr:uid="{00000000-0005-0000-0000-000074000000}"/>
    <cellStyle name="_%(SignSpaceOnly)_Exec Summary_1" xfId="328" xr:uid="{00000000-0005-0000-0000-000075000000}"/>
    <cellStyle name="_%(SignSpaceOnly)_Sheet1" xfId="329" xr:uid="{00000000-0005-0000-0000-000076000000}"/>
    <cellStyle name="_0.0[1space]" xfId="330" xr:uid="{00000000-0005-0000-0000-000077000000}"/>
    <cellStyle name="_0.0[1space] 2" xfId="331" xr:uid="{00000000-0005-0000-0000-000078000000}"/>
    <cellStyle name="_0.0[1space] 2 2" xfId="332" xr:uid="{00000000-0005-0000-0000-000079000000}"/>
    <cellStyle name="_0.0[1space] 2 2 2" xfId="333" xr:uid="{00000000-0005-0000-0000-00007A000000}"/>
    <cellStyle name="_0.0[1space] 2 3" xfId="334" xr:uid="{00000000-0005-0000-0000-00007B000000}"/>
    <cellStyle name="_0.0[1space] 3" xfId="335" xr:uid="{00000000-0005-0000-0000-00007C000000}"/>
    <cellStyle name="_0.0[2space]" xfId="336" xr:uid="{00000000-0005-0000-0000-00007D000000}"/>
    <cellStyle name="_0.0[2space] 2" xfId="337" xr:uid="{00000000-0005-0000-0000-00007E000000}"/>
    <cellStyle name="_0.0[2space] 2 2" xfId="338" xr:uid="{00000000-0005-0000-0000-00007F000000}"/>
    <cellStyle name="_0.0[2space] 2 2 2" xfId="339" xr:uid="{00000000-0005-0000-0000-000080000000}"/>
    <cellStyle name="_0.0[2space] 2 3" xfId="340" xr:uid="{00000000-0005-0000-0000-000081000000}"/>
    <cellStyle name="_0.0[2space] 3" xfId="341" xr:uid="{00000000-0005-0000-0000-000082000000}"/>
    <cellStyle name="_0.0[3space]" xfId="342" xr:uid="{00000000-0005-0000-0000-000083000000}"/>
    <cellStyle name="_0.0[3space] 2" xfId="343" xr:uid="{00000000-0005-0000-0000-000084000000}"/>
    <cellStyle name="_0.0[3space] 2 2" xfId="344" xr:uid="{00000000-0005-0000-0000-000085000000}"/>
    <cellStyle name="_0.0[3space] 2 2 2" xfId="345" xr:uid="{00000000-0005-0000-0000-000086000000}"/>
    <cellStyle name="_0.0[3space] 2 3" xfId="346" xr:uid="{00000000-0005-0000-0000-000087000000}"/>
    <cellStyle name="_0.0[3space] 3" xfId="347" xr:uid="{00000000-0005-0000-0000-000088000000}"/>
    <cellStyle name="_0.0[4space]" xfId="348" xr:uid="{00000000-0005-0000-0000-000089000000}"/>
    <cellStyle name="_0.0[4space] 2" xfId="349" xr:uid="{00000000-0005-0000-0000-00008A000000}"/>
    <cellStyle name="_0.0[4space] 2 2" xfId="350" xr:uid="{00000000-0005-0000-0000-00008B000000}"/>
    <cellStyle name="_0.0[4space] 2 2 2" xfId="351" xr:uid="{00000000-0005-0000-0000-00008C000000}"/>
    <cellStyle name="_0.0[4space] 2 3" xfId="352" xr:uid="{00000000-0005-0000-0000-00008D000000}"/>
    <cellStyle name="_0.0[4space] 3" xfId="353" xr:uid="{00000000-0005-0000-0000-00008E000000}"/>
    <cellStyle name="_0.00[1space]" xfId="354" xr:uid="{00000000-0005-0000-0000-00008F000000}"/>
    <cellStyle name="_0.00[1space] 2" xfId="355" xr:uid="{00000000-0005-0000-0000-000090000000}"/>
    <cellStyle name="_0.00[1space] 2 2" xfId="356" xr:uid="{00000000-0005-0000-0000-000091000000}"/>
    <cellStyle name="_0.00[1space] 2 2 2" xfId="357" xr:uid="{00000000-0005-0000-0000-000092000000}"/>
    <cellStyle name="_0.00[1space] 2 3" xfId="358" xr:uid="{00000000-0005-0000-0000-000093000000}"/>
    <cellStyle name="_0.00[1space] 3" xfId="359" xr:uid="{00000000-0005-0000-0000-000094000000}"/>
    <cellStyle name="_0.00[2space]" xfId="360" xr:uid="{00000000-0005-0000-0000-000095000000}"/>
    <cellStyle name="_0.00[2space] 2" xfId="361" xr:uid="{00000000-0005-0000-0000-000096000000}"/>
    <cellStyle name="_0.00[2space] 2 2" xfId="362" xr:uid="{00000000-0005-0000-0000-000097000000}"/>
    <cellStyle name="_0.00[2space] 2 2 2" xfId="363" xr:uid="{00000000-0005-0000-0000-000098000000}"/>
    <cellStyle name="_0.00[2space] 2 3" xfId="364" xr:uid="{00000000-0005-0000-0000-000099000000}"/>
    <cellStyle name="_0.00[2space] 3" xfId="365" xr:uid="{00000000-0005-0000-0000-00009A000000}"/>
    <cellStyle name="_0.00[3space]" xfId="366" xr:uid="{00000000-0005-0000-0000-00009B000000}"/>
    <cellStyle name="_0.00[3space] 2" xfId="367" xr:uid="{00000000-0005-0000-0000-00009C000000}"/>
    <cellStyle name="_0.00[3space] 2 2" xfId="368" xr:uid="{00000000-0005-0000-0000-00009D000000}"/>
    <cellStyle name="_0.00[3space] 2 2 2" xfId="369" xr:uid="{00000000-0005-0000-0000-00009E000000}"/>
    <cellStyle name="_0.00[3space] 2 3" xfId="370" xr:uid="{00000000-0005-0000-0000-00009F000000}"/>
    <cellStyle name="_0.00[3space] 3" xfId="371" xr:uid="{00000000-0005-0000-0000-0000A0000000}"/>
    <cellStyle name="_0.00[4space]" xfId="372" xr:uid="{00000000-0005-0000-0000-0000A1000000}"/>
    <cellStyle name="_0.00[4space] 2" xfId="373" xr:uid="{00000000-0005-0000-0000-0000A2000000}"/>
    <cellStyle name="_0.00[4space] 2 2" xfId="374" xr:uid="{00000000-0005-0000-0000-0000A3000000}"/>
    <cellStyle name="_0.00[4space] 2 2 2" xfId="375" xr:uid="{00000000-0005-0000-0000-0000A4000000}"/>
    <cellStyle name="_0.00[4space] 2 3" xfId="376" xr:uid="{00000000-0005-0000-0000-0000A5000000}"/>
    <cellStyle name="_0.00[4space] 3" xfId="377" xr:uid="{00000000-0005-0000-0000-0000A6000000}"/>
    <cellStyle name="_0[1space]" xfId="378" xr:uid="{00000000-0005-0000-0000-0000A7000000}"/>
    <cellStyle name="_0[1space] 2" xfId="379" xr:uid="{00000000-0005-0000-0000-0000A8000000}"/>
    <cellStyle name="_0[2space]" xfId="380" xr:uid="{00000000-0005-0000-0000-0000A9000000}"/>
    <cellStyle name="_0[2space] 2" xfId="381" xr:uid="{00000000-0005-0000-0000-0000AA000000}"/>
    <cellStyle name="_0[3space]" xfId="382" xr:uid="{00000000-0005-0000-0000-0000AB000000}"/>
    <cellStyle name="_0[3space] 2" xfId="383" xr:uid="{00000000-0005-0000-0000-0000AC000000}"/>
    <cellStyle name="_0[4space]" xfId="384" xr:uid="{00000000-0005-0000-0000-0000AD000000}"/>
    <cellStyle name="_0[4space]_Options" xfId="385" xr:uid="{00000000-0005-0000-0000-0000AE000000}"/>
    <cellStyle name="_0[4space]_Options 2" xfId="386" xr:uid="{00000000-0005-0000-0000-0000AF000000}"/>
    <cellStyle name="_0[4space]_Options1" xfId="387" xr:uid="{00000000-0005-0000-0000-0000B0000000}"/>
    <cellStyle name="_0[4space]_Options1 2" xfId="388" xr:uid="{00000000-0005-0000-0000-0000B1000000}"/>
    <cellStyle name="_0[5space]" xfId="389" xr:uid="{00000000-0005-0000-0000-0000B2000000}"/>
    <cellStyle name="_Comma" xfId="390" xr:uid="{00000000-0005-0000-0000-0000B3000000}"/>
    <cellStyle name="_Comma 10" xfId="5381" xr:uid="{00000000-0005-0000-0000-0000B4000000}"/>
    <cellStyle name="_Comma 2" xfId="391" xr:uid="{00000000-0005-0000-0000-0000B5000000}"/>
    <cellStyle name="_Comma 2 2" xfId="392" xr:uid="{00000000-0005-0000-0000-0000B6000000}"/>
    <cellStyle name="_Comma 2 2 2" xfId="393" xr:uid="{00000000-0005-0000-0000-0000B7000000}"/>
    <cellStyle name="_Comma 2 3" xfId="394" xr:uid="{00000000-0005-0000-0000-0000B8000000}"/>
    <cellStyle name="_Comma 3" xfId="395" xr:uid="{00000000-0005-0000-0000-0000B9000000}"/>
    <cellStyle name="_Comma 3 2" xfId="396" xr:uid="{00000000-0005-0000-0000-0000BA000000}"/>
    <cellStyle name="_Comma 4" xfId="397" xr:uid="{00000000-0005-0000-0000-0000BB000000}"/>
    <cellStyle name="_Comma 4 2" xfId="398" xr:uid="{00000000-0005-0000-0000-0000BC000000}"/>
    <cellStyle name="_Comma 5" xfId="399" xr:uid="{00000000-0005-0000-0000-0000BD000000}"/>
    <cellStyle name="_Comma 5 2" xfId="400" xr:uid="{00000000-0005-0000-0000-0000BE000000}"/>
    <cellStyle name="_Comma 6" xfId="401" xr:uid="{00000000-0005-0000-0000-0000BF000000}"/>
    <cellStyle name="_Comma 6 2" xfId="402" xr:uid="{00000000-0005-0000-0000-0000C0000000}"/>
    <cellStyle name="_Comma 7" xfId="403" xr:uid="{00000000-0005-0000-0000-0000C1000000}"/>
    <cellStyle name="_Comma 7 2" xfId="404" xr:uid="{00000000-0005-0000-0000-0000C2000000}"/>
    <cellStyle name="_Comma 8" xfId="405" xr:uid="{00000000-0005-0000-0000-0000C3000000}"/>
    <cellStyle name="_Comma 8 2" xfId="406" xr:uid="{00000000-0005-0000-0000-0000C4000000}"/>
    <cellStyle name="_Comma 9" xfId="407" xr:uid="{00000000-0005-0000-0000-0000C5000000}"/>
    <cellStyle name="_Comma 9 2" xfId="408" xr:uid="{00000000-0005-0000-0000-0000C6000000}"/>
    <cellStyle name="_Comma_Assumptions" xfId="409" xr:uid="{00000000-0005-0000-0000-0000C7000000}"/>
    <cellStyle name="_Comma_Assumptions 2" xfId="410" xr:uid="{00000000-0005-0000-0000-0000C8000000}"/>
    <cellStyle name="_Comma_AVP" xfId="411" xr:uid="{00000000-0005-0000-0000-0000C9000000}"/>
    <cellStyle name="_Comma_AVP 2" xfId="412" xr:uid="{00000000-0005-0000-0000-0000CA000000}"/>
    <cellStyle name="_Comma_AVP 2 2" xfId="413" xr:uid="{00000000-0005-0000-0000-0000CB000000}"/>
    <cellStyle name="_Comma_AVP 2 2 2" xfId="414" xr:uid="{00000000-0005-0000-0000-0000CC000000}"/>
    <cellStyle name="_Comma_AVP 2 3" xfId="415" xr:uid="{00000000-0005-0000-0000-0000CD000000}"/>
    <cellStyle name="_Comma_AVP 3" xfId="416" xr:uid="{00000000-0005-0000-0000-0000CE000000}"/>
    <cellStyle name="_Comma_Balance Sheet" xfId="417" xr:uid="{00000000-0005-0000-0000-0000CF000000}"/>
    <cellStyle name="_Comma_Balance Sheet_ControlTables" xfId="418" xr:uid="{00000000-0005-0000-0000-0000D0000000}"/>
    <cellStyle name="_Comma_Balance Sheet_ControlTablesI" xfId="419" xr:uid="{00000000-0005-0000-0000-0000D1000000}"/>
    <cellStyle name="_Comma_Balance Sheet_Database - Comparables" xfId="420" xr:uid="{00000000-0005-0000-0000-0000D2000000}"/>
    <cellStyle name="_Comma_Balance Sheet_DB_Eye" xfId="421" xr:uid="{00000000-0005-0000-0000-0000D3000000}"/>
    <cellStyle name="_Comma_Balance Sheet_Exec Summary" xfId="422" xr:uid="{00000000-0005-0000-0000-0000D4000000}"/>
    <cellStyle name="_Comma_Balance Sheet_Sheet1" xfId="423" xr:uid="{00000000-0005-0000-0000-0000D5000000}"/>
    <cellStyle name="_Comma_Bolt Financials and Comps" xfId="424" xr:uid="{00000000-0005-0000-0000-0000D6000000}"/>
    <cellStyle name="_Comma_Bolt Financials and Comps 2" xfId="425" xr:uid="{00000000-0005-0000-0000-0000D7000000}"/>
    <cellStyle name="_Comma_Bolt Financials and Comps 2 2" xfId="426" xr:uid="{00000000-0005-0000-0000-0000D8000000}"/>
    <cellStyle name="_Comma_Bolt Financials and Comps 2 2 2" xfId="427" xr:uid="{00000000-0005-0000-0000-0000D9000000}"/>
    <cellStyle name="_Comma_Bolt Financials and Comps 2 3" xfId="428" xr:uid="{00000000-0005-0000-0000-0000DA000000}"/>
    <cellStyle name="_Comma_Bolt Financials and Comps 3" xfId="429" xr:uid="{00000000-0005-0000-0000-0000DB000000}"/>
    <cellStyle name="_Comma_Book1" xfId="430" xr:uid="{00000000-0005-0000-0000-0000DC000000}"/>
    <cellStyle name="_Comma_Book1 2" xfId="431" xr:uid="{00000000-0005-0000-0000-0000DD000000}"/>
    <cellStyle name="_Comma_Book1 2 2" xfId="432" xr:uid="{00000000-0005-0000-0000-0000DE000000}"/>
    <cellStyle name="_Comma_Book1 2 2 2" xfId="433" xr:uid="{00000000-0005-0000-0000-0000DF000000}"/>
    <cellStyle name="_Comma_Book1 2 3" xfId="434" xr:uid="{00000000-0005-0000-0000-0000E0000000}"/>
    <cellStyle name="_Comma_Book1 3" xfId="435" xr:uid="{00000000-0005-0000-0000-0000E1000000}"/>
    <cellStyle name="_Comma_Book1_1" xfId="436" xr:uid="{00000000-0005-0000-0000-0000E2000000}"/>
    <cellStyle name="_Comma_Book1_1 2" xfId="437" xr:uid="{00000000-0005-0000-0000-0000E3000000}"/>
    <cellStyle name="_Comma_Book1_1 2 2" xfId="438" xr:uid="{00000000-0005-0000-0000-0000E4000000}"/>
    <cellStyle name="_Comma_Book1_1 2 2 2" xfId="439" xr:uid="{00000000-0005-0000-0000-0000E5000000}"/>
    <cellStyle name="_Comma_Book1_1 2 3" xfId="440" xr:uid="{00000000-0005-0000-0000-0000E6000000}"/>
    <cellStyle name="_Comma_Book1_1 3" xfId="441" xr:uid="{00000000-0005-0000-0000-0000E7000000}"/>
    <cellStyle name="_Comma_contribution_analysis" xfId="442" xr:uid="{00000000-0005-0000-0000-0000E8000000}"/>
    <cellStyle name="_Comma_ControlTables" xfId="443" xr:uid="{00000000-0005-0000-0000-0000E9000000}"/>
    <cellStyle name="_Comma_ControlTablesI" xfId="444" xr:uid="{00000000-0005-0000-0000-0000EA000000}"/>
    <cellStyle name="_Comma_Criteria" xfId="445" xr:uid="{00000000-0005-0000-0000-0000EB000000}"/>
    <cellStyle name="_Comma_Criteria_ControlTables" xfId="446" xr:uid="{00000000-0005-0000-0000-0000EC000000}"/>
    <cellStyle name="_Comma_Criteria_ControlTablesI" xfId="447" xr:uid="{00000000-0005-0000-0000-0000ED000000}"/>
    <cellStyle name="_Comma_Criteria_Database - Comparables" xfId="448" xr:uid="{00000000-0005-0000-0000-0000EE000000}"/>
    <cellStyle name="_Comma_Criteria_DB_Eye" xfId="449" xr:uid="{00000000-0005-0000-0000-0000EF000000}"/>
    <cellStyle name="_Comma_Criteria_Exec Summary" xfId="450" xr:uid="{00000000-0005-0000-0000-0000F0000000}"/>
    <cellStyle name="_Comma_Criteria_Sheet1" xfId="451" xr:uid="{00000000-0005-0000-0000-0000F1000000}"/>
    <cellStyle name="_Comma_Data Tape" xfId="452" xr:uid="{00000000-0005-0000-0000-0000F2000000}"/>
    <cellStyle name="_Comma_Data Tape_ControlTables" xfId="453" xr:uid="{00000000-0005-0000-0000-0000F3000000}"/>
    <cellStyle name="_Comma_Data Tape_ControlTablesI" xfId="454" xr:uid="{00000000-0005-0000-0000-0000F4000000}"/>
    <cellStyle name="_Comma_Data Tape_Database - Comparables" xfId="455" xr:uid="{00000000-0005-0000-0000-0000F5000000}"/>
    <cellStyle name="_Comma_Data Tape_DB_Eye" xfId="456" xr:uid="{00000000-0005-0000-0000-0000F6000000}"/>
    <cellStyle name="_Comma_Data Tape_Exec Summary" xfId="457" xr:uid="{00000000-0005-0000-0000-0000F7000000}"/>
    <cellStyle name="_Comma_Data Tape_Sheet1" xfId="458" xr:uid="{00000000-0005-0000-0000-0000F8000000}"/>
    <cellStyle name="_Comma_Data_Tape" xfId="459" xr:uid="{00000000-0005-0000-0000-0000F9000000}"/>
    <cellStyle name="_Comma_Database - Comparables" xfId="460" xr:uid="{00000000-0005-0000-0000-0000FA000000}"/>
    <cellStyle name="_Comma_DB_Eye" xfId="461" xr:uid="{00000000-0005-0000-0000-0000FB000000}"/>
    <cellStyle name="_Comma_Exec Summary" xfId="462" xr:uid="{00000000-0005-0000-0000-0000FC000000}"/>
    <cellStyle name="_Comma_EyeChart" xfId="463" xr:uid="{00000000-0005-0000-0000-0000FD000000}"/>
    <cellStyle name="_Comma_EyeChart 090503" xfId="464" xr:uid="{00000000-0005-0000-0000-0000FE000000}"/>
    <cellStyle name="_Comma_Input" xfId="465" xr:uid="{00000000-0005-0000-0000-0000FF000000}"/>
    <cellStyle name="_Comma_Input_1" xfId="466" xr:uid="{00000000-0005-0000-0000-000000010000}"/>
    <cellStyle name="_Comma_Input_ControlTables" xfId="467" xr:uid="{00000000-0005-0000-0000-000001010000}"/>
    <cellStyle name="_Comma_Input_ControlTablesI" xfId="468" xr:uid="{00000000-0005-0000-0000-000002010000}"/>
    <cellStyle name="_Comma_Input_Database - Comparables" xfId="469" xr:uid="{00000000-0005-0000-0000-000003010000}"/>
    <cellStyle name="_Comma_Input_DB_Eye" xfId="470" xr:uid="{00000000-0005-0000-0000-000004010000}"/>
    <cellStyle name="_Comma_Input_Exec Summary" xfId="471" xr:uid="{00000000-0005-0000-0000-000005010000}"/>
    <cellStyle name="_Comma_Input_Sheet1" xfId="472" xr:uid="{00000000-0005-0000-0000-000006010000}"/>
    <cellStyle name="_Comma_Pools" xfId="473" xr:uid="{00000000-0005-0000-0000-000007010000}"/>
    <cellStyle name="_Comma_Pricing" xfId="474" xr:uid="{00000000-0005-0000-0000-000008010000}"/>
    <cellStyle name="_Comma_Senario Input Assumptions" xfId="475" xr:uid="{00000000-0005-0000-0000-000009010000}"/>
    <cellStyle name="_Comma_Senario Input Assumptions_ControlTables" xfId="476" xr:uid="{00000000-0005-0000-0000-00000A010000}"/>
    <cellStyle name="_Comma_Senario Input Assumptions_ControlTablesI" xfId="477" xr:uid="{00000000-0005-0000-0000-00000B010000}"/>
    <cellStyle name="_Comma_Senario Input Assumptions_Database - Comparables" xfId="478" xr:uid="{00000000-0005-0000-0000-00000C010000}"/>
    <cellStyle name="_Comma_Senario Input Assumptions_DB_Eye" xfId="479" xr:uid="{00000000-0005-0000-0000-00000D010000}"/>
    <cellStyle name="_Comma_Senario Input Assumptions_Exec Summary" xfId="480" xr:uid="{00000000-0005-0000-0000-00000E010000}"/>
    <cellStyle name="_Comma_Senario Input Assumptions_Sheet1" xfId="481" xr:uid="{00000000-0005-0000-0000-00000F010000}"/>
    <cellStyle name="_Comma_Sheet1" xfId="482" xr:uid="{00000000-0005-0000-0000-000010010000}"/>
    <cellStyle name="_Comma_Sheet1_1" xfId="483" xr:uid="{00000000-0005-0000-0000-000011010000}"/>
    <cellStyle name="_Comma_Sheet1_Balance Sheet" xfId="484" xr:uid="{00000000-0005-0000-0000-000012010000}"/>
    <cellStyle name="_Comma_Sheet1_Criteria" xfId="485" xr:uid="{00000000-0005-0000-0000-000013010000}"/>
    <cellStyle name="_Comma_Sheet1_Data Tape" xfId="486" xr:uid="{00000000-0005-0000-0000-000014010000}"/>
    <cellStyle name="_Comma_Sheet1_Data_Tape" xfId="487" xr:uid="{00000000-0005-0000-0000-000015010000}"/>
    <cellStyle name="_Comma_Sheet1_Data_Tape_ControlTables" xfId="488" xr:uid="{00000000-0005-0000-0000-000016010000}"/>
    <cellStyle name="_Comma_Sheet1_Data_Tape_ControlTablesI" xfId="489" xr:uid="{00000000-0005-0000-0000-000017010000}"/>
    <cellStyle name="_Comma_Sheet1_Data_Tape_Database - Comparables" xfId="490" xr:uid="{00000000-0005-0000-0000-000018010000}"/>
    <cellStyle name="_Comma_Sheet1_Data_Tape_DB_Eye" xfId="491" xr:uid="{00000000-0005-0000-0000-000019010000}"/>
    <cellStyle name="_Comma_Sheet1_Data_Tape_Exec Summary" xfId="492" xr:uid="{00000000-0005-0000-0000-00001A010000}"/>
    <cellStyle name="_Comma_Sheet1_Data_Tape_Sheet1" xfId="493" xr:uid="{00000000-0005-0000-0000-00001B010000}"/>
    <cellStyle name="_Comma_Sheet1_Input" xfId="494" xr:uid="{00000000-0005-0000-0000-00001C010000}"/>
    <cellStyle name="_Comma_Sheet1_Pools" xfId="495" xr:uid="{00000000-0005-0000-0000-00001D010000}"/>
    <cellStyle name="_Comma_Sheet1_Pools_ControlTables" xfId="496" xr:uid="{00000000-0005-0000-0000-00001E010000}"/>
    <cellStyle name="_Comma_Sheet1_Pools_ControlTablesI" xfId="497" xr:uid="{00000000-0005-0000-0000-00001F010000}"/>
    <cellStyle name="_Comma_Sheet1_Pools_Database - Comparables" xfId="498" xr:uid="{00000000-0005-0000-0000-000020010000}"/>
    <cellStyle name="_Comma_Sheet1_Pools_DB_Eye" xfId="499" xr:uid="{00000000-0005-0000-0000-000021010000}"/>
    <cellStyle name="_Comma_Sheet1_Pools_Exec Summary" xfId="500" xr:uid="{00000000-0005-0000-0000-000022010000}"/>
    <cellStyle name="_Comma_Sheet1_Pools_Sheet1" xfId="501" xr:uid="{00000000-0005-0000-0000-000023010000}"/>
    <cellStyle name="_Comma_Sheet1_Senario Input Assumptions" xfId="502" xr:uid="{00000000-0005-0000-0000-000024010000}"/>
    <cellStyle name="_Comma_Sheet1_Structure Model_2003_test2" xfId="503" xr:uid="{00000000-0005-0000-0000-000025010000}"/>
    <cellStyle name="_Comma_Sheet2" xfId="504" xr:uid="{00000000-0005-0000-0000-000026010000}"/>
    <cellStyle name="_Comma_Sheet3" xfId="505" xr:uid="{00000000-0005-0000-0000-000027010000}"/>
    <cellStyle name="_Comma_Sheet4" xfId="506" xr:uid="{00000000-0005-0000-0000-000028010000}"/>
    <cellStyle name="_Comma_Structure Model_2003_test2" xfId="507" xr:uid="{00000000-0005-0000-0000-000029010000}"/>
    <cellStyle name="_Comma_Structure Model_2003_test2_ControlTables" xfId="508" xr:uid="{00000000-0005-0000-0000-00002A010000}"/>
    <cellStyle name="_Comma_Structure Model_2003_test2_ControlTablesI" xfId="509" xr:uid="{00000000-0005-0000-0000-00002B010000}"/>
    <cellStyle name="_Comma_Structure Model_2003_test2_Database - Comparables" xfId="510" xr:uid="{00000000-0005-0000-0000-00002C010000}"/>
    <cellStyle name="_Comma_Structure Model_2003_test2_DB_Eye" xfId="511" xr:uid="{00000000-0005-0000-0000-00002D010000}"/>
    <cellStyle name="_Comma_Structure Model_2003_test2_Exec Summary" xfId="512" xr:uid="{00000000-0005-0000-0000-00002E010000}"/>
    <cellStyle name="_Comma_Structure Model_2003_test2_Sheet1" xfId="513" xr:uid="{00000000-0005-0000-0000-00002F010000}"/>
    <cellStyle name="_Currency" xfId="514" xr:uid="{00000000-0005-0000-0000-000030010000}"/>
    <cellStyle name="_Currency 10" xfId="5328" xr:uid="{00000000-0005-0000-0000-000031010000}"/>
    <cellStyle name="_Currency 2" xfId="515" xr:uid="{00000000-0005-0000-0000-000032010000}"/>
    <cellStyle name="_Currency 2 2" xfId="516" xr:uid="{00000000-0005-0000-0000-000033010000}"/>
    <cellStyle name="_Currency 2 2 2" xfId="517" xr:uid="{00000000-0005-0000-0000-000034010000}"/>
    <cellStyle name="_Currency 2 3" xfId="518" xr:uid="{00000000-0005-0000-0000-000035010000}"/>
    <cellStyle name="_Currency 3" xfId="519" xr:uid="{00000000-0005-0000-0000-000036010000}"/>
    <cellStyle name="_Currency 3 2" xfId="520" xr:uid="{00000000-0005-0000-0000-000037010000}"/>
    <cellStyle name="_Currency 4" xfId="521" xr:uid="{00000000-0005-0000-0000-000038010000}"/>
    <cellStyle name="_Currency 4 2" xfId="522" xr:uid="{00000000-0005-0000-0000-000039010000}"/>
    <cellStyle name="_Currency 5" xfId="523" xr:uid="{00000000-0005-0000-0000-00003A010000}"/>
    <cellStyle name="_Currency 5 2" xfId="524" xr:uid="{00000000-0005-0000-0000-00003B010000}"/>
    <cellStyle name="_Currency 6" xfId="525" xr:uid="{00000000-0005-0000-0000-00003C010000}"/>
    <cellStyle name="_Currency 6 2" xfId="526" xr:uid="{00000000-0005-0000-0000-00003D010000}"/>
    <cellStyle name="_Currency 7" xfId="527" xr:uid="{00000000-0005-0000-0000-00003E010000}"/>
    <cellStyle name="_Currency 7 2" xfId="528" xr:uid="{00000000-0005-0000-0000-00003F010000}"/>
    <cellStyle name="_Currency 8" xfId="529" xr:uid="{00000000-0005-0000-0000-000040010000}"/>
    <cellStyle name="_Currency 8 2" xfId="530" xr:uid="{00000000-0005-0000-0000-000041010000}"/>
    <cellStyle name="_Currency 9" xfId="531" xr:uid="{00000000-0005-0000-0000-000042010000}"/>
    <cellStyle name="_Currency 9 2" xfId="532" xr:uid="{00000000-0005-0000-0000-000043010000}"/>
    <cellStyle name="_Currency_03-05-31 Final OBS Reports" xfId="533" xr:uid="{00000000-0005-0000-0000-000044010000}"/>
    <cellStyle name="_Currency_Assumptions" xfId="534" xr:uid="{00000000-0005-0000-0000-000045010000}"/>
    <cellStyle name="_Currency_Assumptions 2" xfId="535" xr:uid="{00000000-0005-0000-0000-000046010000}"/>
    <cellStyle name="_Currency_AVP" xfId="536" xr:uid="{00000000-0005-0000-0000-000047010000}"/>
    <cellStyle name="_Currency_AVP 2" xfId="537" xr:uid="{00000000-0005-0000-0000-000048010000}"/>
    <cellStyle name="_Currency_AVP 2 2" xfId="538" xr:uid="{00000000-0005-0000-0000-000049010000}"/>
    <cellStyle name="_Currency_AVP 2 2 2" xfId="539" xr:uid="{00000000-0005-0000-0000-00004A010000}"/>
    <cellStyle name="_Currency_AVP 2 3" xfId="540" xr:uid="{00000000-0005-0000-0000-00004B010000}"/>
    <cellStyle name="_Currency_AVP 3" xfId="541" xr:uid="{00000000-0005-0000-0000-00004C010000}"/>
    <cellStyle name="_Currency_Balance Sheet" xfId="542" xr:uid="{00000000-0005-0000-0000-00004D010000}"/>
    <cellStyle name="_Currency_Balance Sheet_ControlTables" xfId="543" xr:uid="{00000000-0005-0000-0000-00004E010000}"/>
    <cellStyle name="_Currency_Balance Sheet_ControlTablesI" xfId="544" xr:uid="{00000000-0005-0000-0000-00004F010000}"/>
    <cellStyle name="_Currency_Balance Sheet_Database - Comparables" xfId="545" xr:uid="{00000000-0005-0000-0000-000050010000}"/>
    <cellStyle name="_Currency_Balance Sheet_DB_Eye" xfId="546" xr:uid="{00000000-0005-0000-0000-000051010000}"/>
    <cellStyle name="_Currency_Balance Sheet_Exec Summary" xfId="547" xr:uid="{00000000-0005-0000-0000-000052010000}"/>
    <cellStyle name="_Currency_Balance Sheet_Exec Summary_1" xfId="548" xr:uid="{00000000-0005-0000-0000-000053010000}"/>
    <cellStyle name="_Currency_Balance Sheet_Sheet1" xfId="549" xr:uid="{00000000-0005-0000-0000-000054010000}"/>
    <cellStyle name="_Currency_Bolt Financials and Comps" xfId="550" xr:uid="{00000000-0005-0000-0000-000055010000}"/>
    <cellStyle name="_Currency_Bolt Financials and Comps 2" xfId="551" xr:uid="{00000000-0005-0000-0000-000056010000}"/>
    <cellStyle name="_Currency_Bolt Financials and Comps 2 2" xfId="552" xr:uid="{00000000-0005-0000-0000-000057010000}"/>
    <cellStyle name="_Currency_Bolt Financials and Comps 2 2 2" xfId="553" xr:uid="{00000000-0005-0000-0000-000058010000}"/>
    <cellStyle name="_Currency_Bolt Financials and Comps 2 3" xfId="554" xr:uid="{00000000-0005-0000-0000-000059010000}"/>
    <cellStyle name="_Currency_Bolt Financials and Comps 3" xfId="555" xr:uid="{00000000-0005-0000-0000-00005A010000}"/>
    <cellStyle name="_Currency_Book1" xfId="556" xr:uid="{00000000-0005-0000-0000-00005B010000}"/>
    <cellStyle name="_Currency_Book1 2" xfId="557" xr:uid="{00000000-0005-0000-0000-00005C010000}"/>
    <cellStyle name="_Currency_Book1 2 2" xfId="558" xr:uid="{00000000-0005-0000-0000-00005D010000}"/>
    <cellStyle name="_Currency_Book1 2 2 2" xfId="559" xr:uid="{00000000-0005-0000-0000-00005E010000}"/>
    <cellStyle name="_Currency_Book1 2 3" xfId="560" xr:uid="{00000000-0005-0000-0000-00005F010000}"/>
    <cellStyle name="_Currency_Book1 3" xfId="561" xr:uid="{00000000-0005-0000-0000-000060010000}"/>
    <cellStyle name="_Currency_Book1_1" xfId="562" xr:uid="{00000000-0005-0000-0000-000061010000}"/>
    <cellStyle name="_Currency_Book1_1 2" xfId="563" xr:uid="{00000000-0005-0000-0000-000062010000}"/>
    <cellStyle name="_Currency_Book1_1 2 2" xfId="564" xr:uid="{00000000-0005-0000-0000-000063010000}"/>
    <cellStyle name="_Currency_Book1_1 2 2 2" xfId="565" xr:uid="{00000000-0005-0000-0000-000064010000}"/>
    <cellStyle name="_Currency_Book1_1 2 3" xfId="566" xr:uid="{00000000-0005-0000-0000-000065010000}"/>
    <cellStyle name="_Currency_Book1_1 3" xfId="567" xr:uid="{00000000-0005-0000-0000-000066010000}"/>
    <cellStyle name="_Currency_contribution_analysis" xfId="568" xr:uid="{00000000-0005-0000-0000-000067010000}"/>
    <cellStyle name="_Currency_ControlTables" xfId="569" xr:uid="{00000000-0005-0000-0000-000068010000}"/>
    <cellStyle name="_Currency_ControlTablesI" xfId="570" xr:uid="{00000000-0005-0000-0000-000069010000}"/>
    <cellStyle name="_Currency_Criteria" xfId="571" xr:uid="{00000000-0005-0000-0000-00006A010000}"/>
    <cellStyle name="_Currency_Criteria_ControlTables" xfId="572" xr:uid="{00000000-0005-0000-0000-00006B010000}"/>
    <cellStyle name="_Currency_Criteria_ControlTablesI" xfId="573" xr:uid="{00000000-0005-0000-0000-00006C010000}"/>
    <cellStyle name="_Currency_Criteria_Database - Comparables" xfId="574" xr:uid="{00000000-0005-0000-0000-00006D010000}"/>
    <cellStyle name="_Currency_Criteria_DB_Eye" xfId="575" xr:uid="{00000000-0005-0000-0000-00006E010000}"/>
    <cellStyle name="_Currency_Criteria_Exec Summary" xfId="576" xr:uid="{00000000-0005-0000-0000-00006F010000}"/>
    <cellStyle name="_Currency_Criteria_Exec Summary_1" xfId="577" xr:uid="{00000000-0005-0000-0000-000070010000}"/>
    <cellStyle name="_Currency_Criteria_Sheet1" xfId="578" xr:uid="{00000000-0005-0000-0000-000071010000}"/>
    <cellStyle name="_Currency_Data Tape" xfId="579" xr:uid="{00000000-0005-0000-0000-000072010000}"/>
    <cellStyle name="_Currency_Data Tape_ControlTables" xfId="580" xr:uid="{00000000-0005-0000-0000-000073010000}"/>
    <cellStyle name="_Currency_Data Tape_ControlTablesI" xfId="581" xr:uid="{00000000-0005-0000-0000-000074010000}"/>
    <cellStyle name="_Currency_Data Tape_Database - Comparables" xfId="582" xr:uid="{00000000-0005-0000-0000-000075010000}"/>
    <cellStyle name="_Currency_Data Tape_DB_Eye" xfId="583" xr:uid="{00000000-0005-0000-0000-000076010000}"/>
    <cellStyle name="_Currency_Data Tape_Exec Summary" xfId="584" xr:uid="{00000000-0005-0000-0000-000077010000}"/>
    <cellStyle name="_Currency_Data Tape_Exec Summary_1" xfId="585" xr:uid="{00000000-0005-0000-0000-000078010000}"/>
    <cellStyle name="_Currency_Data Tape_Sheet1" xfId="586" xr:uid="{00000000-0005-0000-0000-000079010000}"/>
    <cellStyle name="_Currency_Data_Tape" xfId="587" xr:uid="{00000000-0005-0000-0000-00007A010000}"/>
    <cellStyle name="_Currency_Data_Tape_ControlTables" xfId="588" xr:uid="{00000000-0005-0000-0000-00007B010000}"/>
    <cellStyle name="_Currency_Data_Tape_ControlTablesI" xfId="589" xr:uid="{00000000-0005-0000-0000-00007C010000}"/>
    <cellStyle name="_Currency_Data_Tape_Database - Comparables" xfId="590" xr:uid="{00000000-0005-0000-0000-00007D010000}"/>
    <cellStyle name="_Currency_Data_Tape_DB_Eye" xfId="591" xr:uid="{00000000-0005-0000-0000-00007E010000}"/>
    <cellStyle name="_Currency_Data_Tape_Exec Summary" xfId="592" xr:uid="{00000000-0005-0000-0000-00007F010000}"/>
    <cellStyle name="_Currency_Data_Tape_Exec Summary_1" xfId="593" xr:uid="{00000000-0005-0000-0000-000080010000}"/>
    <cellStyle name="_Currency_Data_Tape_Sheet1" xfId="594" xr:uid="{00000000-0005-0000-0000-000081010000}"/>
    <cellStyle name="_Currency_Database - Comparables" xfId="595" xr:uid="{00000000-0005-0000-0000-000082010000}"/>
    <cellStyle name="_Currency_DB_Eye" xfId="596" xr:uid="{00000000-0005-0000-0000-000083010000}"/>
    <cellStyle name="_Currency_Exec Summary" xfId="597" xr:uid="{00000000-0005-0000-0000-000084010000}"/>
    <cellStyle name="_Currency_Exec Summary_1" xfId="598" xr:uid="{00000000-0005-0000-0000-000085010000}"/>
    <cellStyle name="_Currency_EyeChart" xfId="599" xr:uid="{00000000-0005-0000-0000-000086010000}"/>
    <cellStyle name="_Currency_EyeChart 090503" xfId="600" xr:uid="{00000000-0005-0000-0000-000087010000}"/>
    <cellStyle name="_Currency_GMACCH_Loans_OBS_033103_Final_v2" xfId="601" xr:uid="{00000000-0005-0000-0000-000088010000}"/>
    <cellStyle name="_Currency_Input" xfId="602" xr:uid="{00000000-0005-0000-0000-000089010000}"/>
    <cellStyle name="_Currency_Input_1" xfId="603" xr:uid="{00000000-0005-0000-0000-00008A010000}"/>
    <cellStyle name="_Currency_Input_ControlTables" xfId="604" xr:uid="{00000000-0005-0000-0000-00008B010000}"/>
    <cellStyle name="_Currency_Input_ControlTablesI" xfId="605" xr:uid="{00000000-0005-0000-0000-00008C010000}"/>
    <cellStyle name="_Currency_Input_Database - Comparables" xfId="606" xr:uid="{00000000-0005-0000-0000-00008D010000}"/>
    <cellStyle name="_Currency_Input_DB_Eye" xfId="607" xr:uid="{00000000-0005-0000-0000-00008E010000}"/>
    <cellStyle name="_Currency_Input_Exec Summary" xfId="608" xr:uid="{00000000-0005-0000-0000-00008F010000}"/>
    <cellStyle name="_Currency_Input_Exec Summary_1" xfId="609" xr:uid="{00000000-0005-0000-0000-000090010000}"/>
    <cellStyle name="_Currency_Input_Sheet1" xfId="610" xr:uid="{00000000-0005-0000-0000-000091010000}"/>
    <cellStyle name="_Currency_Pools" xfId="611" xr:uid="{00000000-0005-0000-0000-000092010000}"/>
    <cellStyle name="_Currency_Pools_ControlTables" xfId="612" xr:uid="{00000000-0005-0000-0000-000093010000}"/>
    <cellStyle name="_Currency_Pools_ControlTablesI" xfId="613" xr:uid="{00000000-0005-0000-0000-000094010000}"/>
    <cellStyle name="_Currency_Pools_Database - Comparables" xfId="614" xr:uid="{00000000-0005-0000-0000-000095010000}"/>
    <cellStyle name="_Currency_Pools_DB_Eye" xfId="615" xr:uid="{00000000-0005-0000-0000-000096010000}"/>
    <cellStyle name="_Currency_Pools_Exec Summary" xfId="616" xr:uid="{00000000-0005-0000-0000-000097010000}"/>
    <cellStyle name="_Currency_Pools_Exec Summary_1" xfId="617" xr:uid="{00000000-0005-0000-0000-000098010000}"/>
    <cellStyle name="_Currency_Pools_Sheet1" xfId="618" xr:uid="{00000000-0005-0000-0000-000099010000}"/>
    <cellStyle name="_Currency_Pricing" xfId="619" xr:uid="{00000000-0005-0000-0000-00009A010000}"/>
    <cellStyle name="_Currency_Senario Input Assumptions" xfId="620" xr:uid="{00000000-0005-0000-0000-00009B010000}"/>
    <cellStyle name="_Currency_Senario Input Assumptions_ControlTables" xfId="621" xr:uid="{00000000-0005-0000-0000-00009C010000}"/>
    <cellStyle name="_Currency_Senario Input Assumptions_ControlTablesI" xfId="622" xr:uid="{00000000-0005-0000-0000-00009D010000}"/>
    <cellStyle name="_Currency_Senario Input Assumptions_Database - Comparables" xfId="623" xr:uid="{00000000-0005-0000-0000-00009E010000}"/>
    <cellStyle name="_Currency_Senario Input Assumptions_DB_Eye" xfId="624" xr:uid="{00000000-0005-0000-0000-00009F010000}"/>
    <cellStyle name="_Currency_Senario Input Assumptions_Exec Summary" xfId="625" xr:uid="{00000000-0005-0000-0000-0000A0010000}"/>
    <cellStyle name="_Currency_Senario Input Assumptions_Exec Summary_1" xfId="626" xr:uid="{00000000-0005-0000-0000-0000A1010000}"/>
    <cellStyle name="_Currency_Senario Input Assumptions_Sheet1" xfId="627" xr:uid="{00000000-0005-0000-0000-0000A2010000}"/>
    <cellStyle name="_Currency_Sheet1" xfId="628" xr:uid="{00000000-0005-0000-0000-0000A3010000}"/>
    <cellStyle name="_Currency_Sheet1_1" xfId="629" xr:uid="{00000000-0005-0000-0000-0000A4010000}"/>
    <cellStyle name="_Currency_Sheet1_Balance Sheet" xfId="630" xr:uid="{00000000-0005-0000-0000-0000A5010000}"/>
    <cellStyle name="_Currency_Sheet1_Balance Sheet_ControlTables" xfId="631" xr:uid="{00000000-0005-0000-0000-0000A6010000}"/>
    <cellStyle name="_Currency_Sheet1_Balance Sheet_ControlTablesI" xfId="632" xr:uid="{00000000-0005-0000-0000-0000A7010000}"/>
    <cellStyle name="_Currency_Sheet1_Balance Sheet_Database - Comparables" xfId="633" xr:uid="{00000000-0005-0000-0000-0000A8010000}"/>
    <cellStyle name="_Currency_Sheet1_Balance Sheet_DB_Eye" xfId="634" xr:uid="{00000000-0005-0000-0000-0000A9010000}"/>
    <cellStyle name="_Currency_Sheet1_Balance Sheet_Exec Summary" xfId="635" xr:uid="{00000000-0005-0000-0000-0000AA010000}"/>
    <cellStyle name="_Currency_Sheet1_Balance Sheet_Exec Summary_1" xfId="636" xr:uid="{00000000-0005-0000-0000-0000AB010000}"/>
    <cellStyle name="_Currency_Sheet1_Balance Sheet_Sheet1" xfId="637" xr:uid="{00000000-0005-0000-0000-0000AC010000}"/>
    <cellStyle name="_Currency_Sheet1_ControlTables" xfId="638" xr:uid="{00000000-0005-0000-0000-0000AD010000}"/>
    <cellStyle name="_Currency_Sheet1_ControlTablesI" xfId="639" xr:uid="{00000000-0005-0000-0000-0000AE010000}"/>
    <cellStyle name="_Currency_Sheet1_Criteria" xfId="640" xr:uid="{00000000-0005-0000-0000-0000AF010000}"/>
    <cellStyle name="_Currency_Sheet1_Criteria_ControlTables" xfId="641" xr:uid="{00000000-0005-0000-0000-0000B0010000}"/>
    <cellStyle name="_Currency_Sheet1_Criteria_ControlTablesI" xfId="642" xr:uid="{00000000-0005-0000-0000-0000B1010000}"/>
    <cellStyle name="_Currency_Sheet1_Criteria_Database - Comparables" xfId="643" xr:uid="{00000000-0005-0000-0000-0000B2010000}"/>
    <cellStyle name="_Currency_Sheet1_Criteria_DB_Eye" xfId="644" xr:uid="{00000000-0005-0000-0000-0000B3010000}"/>
    <cellStyle name="_Currency_Sheet1_Criteria_Exec Summary" xfId="645" xr:uid="{00000000-0005-0000-0000-0000B4010000}"/>
    <cellStyle name="_Currency_Sheet1_Criteria_Exec Summary_1" xfId="646" xr:uid="{00000000-0005-0000-0000-0000B5010000}"/>
    <cellStyle name="_Currency_Sheet1_Criteria_Sheet1" xfId="647" xr:uid="{00000000-0005-0000-0000-0000B6010000}"/>
    <cellStyle name="_Currency_Sheet1_Data Tape" xfId="648" xr:uid="{00000000-0005-0000-0000-0000B7010000}"/>
    <cellStyle name="_Currency_Sheet1_Data Tape_ControlTables" xfId="649" xr:uid="{00000000-0005-0000-0000-0000B8010000}"/>
    <cellStyle name="_Currency_Sheet1_Data Tape_ControlTablesI" xfId="650" xr:uid="{00000000-0005-0000-0000-0000B9010000}"/>
    <cellStyle name="_Currency_Sheet1_Data Tape_Database - Comparables" xfId="651" xr:uid="{00000000-0005-0000-0000-0000BA010000}"/>
    <cellStyle name="_Currency_Sheet1_Data Tape_DB_Eye" xfId="652" xr:uid="{00000000-0005-0000-0000-0000BB010000}"/>
    <cellStyle name="_Currency_Sheet1_Data Tape_Exec Summary" xfId="653" xr:uid="{00000000-0005-0000-0000-0000BC010000}"/>
    <cellStyle name="_Currency_Sheet1_Data Tape_Exec Summary_1" xfId="654" xr:uid="{00000000-0005-0000-0000-0000BD010000}"/>
    <cellStyle name="_Currency_Sheet1_Data Tape_Sheet1" xfId="655" xr:uid="{00000000-0005-0000-0000-0000BE010000}"/>
    <cellStyle name="_Currency_Sheet1_Data_Tape" xfId="656" xr:uid="{00000000-0005-0000-0000-0000BF010000}"/>
    <cellStyle name="_Currency_Sheet1_Data_Tape_ControlTables" xfId="657" xr:uid="{00000000-0005-0000-0000-0000C0010000}"/>
    <cellStyle name="_Currency_Sheet1_Data_Tape_ControlTablesI" xfId="658" xr:uid="{00000000-0005-0000-0000-0000C1010000}"/>
    <cellStyle name="_Currency_Sheet1_Data_Tape_DB_Eye" xfId="659" xr:uid="{00000000-0005-0000-0000-0000C2010000}"/>
    <cellStyle name="_Currency_Sheet1_Data_Tape_Exec Summary" xfId="660" xr:uid="{00000000-0005-0000-0000-0000C3010000}"/>
    <cellStyle name="_Currency_Sheet1_Data_Tape_Exec Summary_1" xfId="661" xr:uid="{00000000-0005-0000-0000-0000C4010000}"/>
    <cellStyle name="_Currency_Sheet1_Data_Tape_Sheet1" xfId="662" xr:uid="{00000000-0005-0000-0000-0000C5010000}"/>
    <cellStyle name="_Currency_Sheet1_Database - Comparables" xfId="663" xr:uid="{00000000-0005-0000-0000-0000C6010000}"/>
    <cellStyle name="_Currency_Sheet1_DB_Eye" xfId="664" xr:uid="{00000000-0005-0000-0000-0000C7010000}"/>
    <cellStyle name="_Currency_Sheet1_Exec Summary" xfId="665" xr:uid="{00000000-0005-0000-0000-0000C8010000}"/>
    <cellStyle name="_Currency_Sheet1_Exec Summary_1" xfId="666" xr:uid="{00000000-0005-0000-0000-0000C9010000}"/>
    <cellStyle name="_Currency_Sheet1_Input" xfId="667" xr:uid="{00000000-0005-0000-0000-0000CA010000}"/>
    <cellStyle name="_Currency_Sheet1_Input_ControlTables" xfId="668" xr:uid="{00000000-0005-0000-0000-0000CB010000}"/>
    <cellStyle name="_Currency_Sheet1_Input_ControlTablesI" xfId="669" xr:uid="{00000000-0005-0000-0000-0000CC010000}"/>
    <cellStyle name="_Currency_Sheet1_Input_DB_Eye" xfId="670" xr:uid="{00000000-0005-0000-0000-0000CD010000}"/>
    <cellStyle name="_Currency_Sheet1_Input_Exec Summary" xfId="671" xr:uid="{00000000-0005-0000-0000-0000CE010000}"/>
    <cellStyle name="_Currency_Sheet1_Input_Exec Summary_1" xfId="672" xr:uid="{00000000-0005-0000-0000-0000CF010000}"/>
    <cellStyle name="_Currency_Sheet1_Input_Sheet1" xfId="673" xr:uid="{00000000-0005-0000-0000-0000D0010000}"/>
    <cellStyle name="_Currency_Sheet1_Pools" xfId="674" xr:uid="{00000000-0005-0000-0000-0000D1010000}"/>
    <cellStyle name="_Currency_Sheet1_Pools_ControlTables" xfId="675" xr:uid="{00000000-0005-0000-0000-0000D2010000}"/>
    <cellStyle name="_Currency_Sheet1_Pools_ControlTablesI" xfId="676" xr:uid="{00000000-0005-0000-0000-0000D3010000}"/>
    <cellStyle name="_Currency_Sheet1_Pools_DB_Eye" xfId="677" xr:uid="{00000000-0005-0000-0000-0000D4010000}"/>
    <cellStyle name="_Currency_Sheet1_Pools_Exec Summary" xfId="678" xr:uid="{00000000-0005-0000-0000-0000D5010000}"/>
    <cellStyle name="_Currency_Sheet1_Pools_Exec Summary_1" xfId="679" xr:uid="{00000000-0005-0000-0000-0000D6010000}"/>
    <cellStyle name="_Currency_Sheet1_Pools_Sheet1" xfId="680" xr:uid="{00000000-0005-0000-0000-0000D7010000}"/>
    <cellStyle name="_Currency_Sheet1_Senario Input Assumptions" xfId="681" xr:uid="{00000000-0005-0000-0000-0000D8010000}"/>
    <cellStyle name="_Currency_Sheet1_Senario Input Assumptions_ControlTables" xfId="682" xr:uid="{00000000-0005-0000-0000-0000D9010000}"/>
    <cellStyle name="_Currency_Sheet1_Senario Input Assumptions_ControlTablesI" xfId="683" xr:uid="{00000000-0005-0000-0000-0000DA010000}"/>
    <cellStyle name="_Currency_Sheet1_Senario Input Assumptions_DB_Eye" xfId="684" xr:uid="{00000000-0005-0000-0000-0000DB010000}"/>
    <cellStyle name="_Currency_Sheet1_Senario Input Assumptions_Exec Summary" xfId="685" xr:uid="{00000000-0005-0000-0000-0000DC010000}"/>
    <cellStyle name="_Currency_Sheet1_Senario Input Assumptions_Exec Summary_1" xfId="686" xr:uid="{00000000-0005-0000-0000-0000DD010000}"/>
    <cellStyle name="_Currency_Sheet1_Senario Input Assumptions_Sheet1" xfId="687" xr:uid="{00000000-0005-0000-0000-0000DE010000}"/>
    <cellStyle name="_Currency_Sheet1_Sheet1" xfId="688" xr:uid="{00000000-0005-0000-0000-0000DF010000}"/>
    <cellStyle name="_Currency_Sheet1_Structure Model_2003_test2" xfId="689" xr:uid="{00000000-0005-0000-0000-0000E0010000}"/>
    <cellStyle name="_Currency_Sheet1_Structure Model_2003_test2_ControlTables" xfId="690" xr:uid="{00000000-0005-0000-0000-0000E1010000}"/>
    <cellStyle name="_Currency_Sheet1_Structure Model_2003_test2_ControlTablesI" xfId="691" xr:uid="{00000000-0005-0000-0000-0000E2010000}"/>
    <cellStyle name="_Currency_Sheet1_Structure Model_2003_test2_DB_Eye" xfId="692" xr:uid="{00000000-0005-0000-0000-0000E3010000}"/>
    <cellStyle name="_Currency_Sheet1_Structure Model_2003_test2_Exec Summary" xfId="693" xr:uid="{00000000-0005-0000-0000-0000E4010000}"/>
    <cellStyle name="_Currency_Sheet1_Structure Model_2003_test2_Exec Summary_1" xfId="694" xr:uid="{00000000-0005-0000-0000-0000E5010000}"/>
    <cellStyle name="_Currency_Sheet1_Structure Model_2003_test2_Sheet1" xfId="695" xr:uid="{00000000-0005-0000-0000-0000E6010000}"/>
    <cellStyle name="_Currency_Sheet2" xfId="696" xr:uid="{00000000-0005-0000-0000-0000E7010000}"/>
    <cellStyle name="_Currency_Sheet3" xfId="697" xr:uid="{00000000-0005-0000-0000-0000E8010000}"/>
    <cellStyle name="_Currency_Sheet3_ControlTables" xfId="698" xr:uid="{00000000-0005-0000-0000-0000E9010000}"/>
    <cellStyle name="_Currency_Sheet3_ControlTablesI" xfId="699" xr:uid="{00000000-0005-0000-0000-0000EA010000}"/>
    <cellStyle name="_Currency_Sheet3_DB_Eye" xfId="700" xr:uid="{00000000-0005-0000-0000-0000EB010000}"/>
    <cellStyle name="_Currency_Sheet3_Exec Summary" xfId="701" xr:uid="{00000000-0005-0000-0000-0000EC010000}"/>
    <cellStyle name="_Currency_Sheet3_Exec Summary_1" xfId="702" xr:uid="{00000000-0005-0000-0000-0000ED010000}"/>
    <cellStyle name="_Currency_Sheet3_Sheet1" xfId="703" xr:uid="{00000000-0005-0000-0000-0000EE010000}"/>
    <cellStyle name="_Currency_Sheet4" xfId="704" xr:uid="{00000000-0005-0000-0000-0000EF010000}"/>
    <cellStyle name="_Currency_Structure Model_2003_test2" xfId="705" xr:uid="{00000000-0005-0000-0000-0000F0010000}"/>
    <cellStyle name="_Currency_Structure Model_2003_test2_ControlTables" xfId="706" xr:uid="{00000000-0005-0000-0000-0000F1010000}"/>
    <cellStyle name="_Currency_Structure Model_2003_test2_ControlTablesI" xfId="707" xr:uid="{00000000-0005-0000-0000-0000F2010000}"/>
    <cellStyle name="_Currency_Structure Model_2003_test2_DB_Eye" xfId="708" xr:uid="{00000000-0005-0000-0000-0000F3010000}"/>
    <cellStyle name="_Currency_Structure Model_2003_test2_Exec Summary" xfId="709" xr:uid="{00000000-0005-0000-0000-0000F4010000}"/>
    <cellStyle name="_Currency_Structure Model_2003_test2_Exec Summary_1" xfId="710" xr:uid="{00000000-0005-0000-0000-0000F5010000}"/>
    <cellStyle name="_Currency_Structure Model_2003_test2_Sheet1" xfId="711" xr:uid="{00000000-0005-0000-0000-0000F6010000}"/>
    <cellStyle name="_CurrencySpace" xfId="712" xr:uid="{00000000-0005-0000-0000-0000F7010000}"/>
    <cellStyle name="_CurrencySpace 2" xfId="713" xr:uid="{00000000-0005-0000-0000-0000F8010000}"/>
    <cellStyle name="_CurrencySpace 2 2" xfId="714" xr:uid="{00000000-0005-0000-0000-0000F9010000}"/>
    <cellStyle name="_CurrencySpace 2 2 2" xfId="715" xr:uid="{00000000-0005-0000-0000-0000FA010000}"/>
    <cellStyle name="_CurrencySpace 2 3" xfId="716" xr:uid="{00000000-0005-0000-0000-0000FB010000}"/>
    <cellStyle name="_CurrencySpace 3" xfId="5355" xr:uid="{00000000-0005-0000-0000-0000FC010000}"/>
    <cellStyle name="_CurrencySpace_09 Bolt Financial Performance" xfId="717" xr:uid="{00000000-0005-0000-0000-0000FD010000}"/>
    <cellStyle name="_CurrencySpace_09 Bolt Financial Performance 2" xfId="718" xr:uid="{00000000-0005-0000-0000-0000FE010000}"/>
    <cellStyle name="_CurrencySpace_09 Bolt Financial Performance 2 2" xfId="719" xr:uid="{00000000-0005-0000-0000-0000FF010000}"/>
    <cellStyle name="_CurrencySpace_09 Bolt Financial Performance 2 2 2" xfId="720" xr:uid="{00000000-0005-0000-0000-000000020000}"/>
    <cellStyle name="_CurrencySpace_09 Bolt Financial Performance 2 3" xfId="721" xr:uid="{00000000-0005-0000-0000-000001020000}"/>
    <cellStyle name="_CurrencySpace_09 Bolt Financial Performance 3" xfId="722" xr:uid="{00000000-0005-0000-0000-000002020000}"/>
    <cellStyle name="_CurrencySpace_Arena budget (6-11-07)" xfId="5382" xr:uid="{00000000-0005-0000-0000-000003020000}"/>
    <cellStyle name="_CurrencySpace_Arena budget (9-9-07)" xfId="5378" xr:uid="{00000000-0005-0000-0000-000004020000}"/>
    <cellStyle name="_CurrencySpace_Assumptions" xfId="723" xr:uid="{00000000-0005-0000-0000-000005020000}"/>
    <cellStyle name="_CurrencySpace_Assumptions 2" xfId="724" xr:uid="{00000000-0005-0000-0000-000006020000}"/>
    <cellStyle name="_CurrencySpace_AVP" xfId="725" xr:uid="{00000000-0005-0000-0000-000007020000}"/>
    <cellStyle name="_CurrencySpace_AVP 2" xfId="726" xr:uid="{00000000-0005-0000-0000-000008020000}"/>
    <cellStyle name="_CurrencySpace_AVP 2 2" xfId="727" xr:uid="{00000000-0005-0000-0000-000009020000}"/>
    <cellStyle name="_CurrencySpace_AVP 2 2 2" xfId="728" xr:uid="{00000000-0005-0000-0000-00000A020000}"/>
    <cellStyle name="_CurrencySpace_AVP 2 3" xfId="729" xr:uid="{00000000-0005-0000-0000-00000B020000}"/>
    <cellStyle name="_CurrencySpace_AVP 3" xfId="730" xr:uid="{00000000-0005-0000-0000-00000C020000}"/>
    <cellStyle name="_CurrencySpace_AY &amp; Arena Interest Estimate 11-01-06_russell" xfId="5383" xr:uid="{00000000-0005-0000-0000-00000D020000}"/>
    <cellStyle name="_CurrencySpace_AY Aug 2006 Capital Call_07-18-06 (final)" xfId="5361" xr:uid="{00000000-0005-0000-0000-00000E020000}"/>
    <cellStyle name="_CurrencySpace_AY Land Cash Flow 11_01_06_russell dr" xfId="5341" xr:uid="{00000000-0005-0000-0000-00000F020000}"/>
    <cellStyle name="_CurrencySpace_AY Land Cash Flow 11_01_06_russell_11-28-06" xfId="5374" xr:uid="{00000000-0005-0000-0000-000010020000}"/>
    <cellStyle name="_CurrencySpace_AY Land Cash Flow 2-13-07 (2)" xfId="5337" xr:uid="{00000000-0005-0000-0000-000011020000}"/>
    <cellStyle name="_CurrencySpace_AY Land Cash Flow 2-13-07_est. tenant payment" xfId="5368" xr:uid="{00000000-0005-0000-0000-000012020000}"/>
    <cellStyle name="_CurrencySpace_AY Land Cash Flow 4-3-07" xfId="5386" xr:uid="{00000000-0005-0000-0000-000013020000}"/>
    <cellStyle name="_CurrencySpace_AY Land Cash Flow 4-4-07" xfId="5389" xr:uid="{00000000-0005-0000-0000-000014020000}"/>
    <cellStyle name="_CurrencySpace_Balance Sheet" xfId="731" xr:uid="{00000000-0005-0000-0000-000015020000}"/>
    <cellStyle name="_CurrencySpace_Balance Sheet_ControlTables" xfId="732" xr:uid="{00000000-0005-0000-0000-000016020000}"/>
    <cellStyle name="_CurrencySpace_Balance Sheet_ControlTablesI" xfId="733" xr:uid="{00000000-0005-0000-0000-000017020000}"/>
    <cellStyle name="_CurrencySpace_Balance Sheet_DB_Eye" xfId="734" xr:uid="{00000000-0005-0000-0000-000018020000}"/>
    <cellStyle name="_CurrencySpace_Balance Sheet_Exec Summary" xfId="735" xr:uid="{00000000-0005-0000-0000-000019020000}"/>
    <cellStyle name="_CurrencySpace_Balance Sheet_Exec Summary_1" xfId="736" xr:uid="{00000000-0005-0000-0000-00001A020000}"/>
    <cellStyle name="_CurrencySpace_Balance Sheet_Sheet1" xfId="737" xr:uid="{00000000-0005-0000-0000-00001B020000}"/>
    <cellStyle name="_CurrencySpace_bdmeetingmarch2005 (3)" xfId="5391" xr:uid="{00000000-0005-0000-0000-00001C020000}"/>
    <cellStyle name="_CurrencySpace_bdmeetingmarch2005 (3)_Lieberman Reconciliation " xfId="5392" xr:uid="{00000000-0005-0000-0000-00001D020000}"/>
    <cellStyle name="_CurrencySpace_bdmeetingmarch2005 (3)_Lieberman Reconciliation _Nets and Arena Financials 4-17-06 dsit to NBA" xfId="5394" xr:uid="{00000000-0005-0000-0000-00001E020000}"/>
    <cellStyle name="_CurrencySpace_bdmeetingmarch2005 (3)_Nets Pro Forma Financials 4-14-05 Lieberman" xfId="5396" xr:uid="{00000000-0005-0000-0000-00001F020000}"/>
    <cellStyle name="_CurrencySpace_bdmeetingmarch2005 (3)_Nets Pro Forma Financials 4-14-05 Lieberman_ESDC IRR II" xfId="5397" xr:uid="{00000000-0005-0000-0000-000020020000}"/>
    <cellStyle name="_CurrencySpace_bdmeetingmarch2005 (3)_Nets Pro Forma Financials 4-14-05 Lieberman_Infrastructure 07 08 29" xfId="5399" xr:uid="{00000000-0005-0000-0000-000021020000}"/>
    <cellStyle name="_CurrencySpace_bdmeetingmarch2005 (3)_Nets Pro Forma Financials 4-14-05 Lieberman_Nets and Arena Financials 4-17-06 dsit to NBA" xfId="5402" xr:uid="{00000000-0005-0000-0000-000022020000}"/>
    <cellStyle name="_CurrencySpace_bdmeetingmarch2005 (3)_Nets Pro Forma Financials 4-14-05 Lieberman_Nets Pro Forma Financials 10-30-06" xfId="5403" xr:uid="{00000000-0005-0000-0000-000023020000}"/>
    <cellStyle name="_CurrencySpace_bdmeetingmarch2005 (3)_Nets Pro Forma Financials 4-14-05 Lieberman_Nets Pro Forma Financials 12-8-05" xfId="5405" xr:uid="{00000000-0005-0000-0000-000024020000}"/>
    <cellStyle name="_CurrencySpace_bdmeetingmarch2005 (3)_Nets Pro Forma Financials 4-14-05 Lieberman_Nets Pro Forma Financials 4-20-05 ESDC vII" xfId="5406" xr:uid="{00000000-0005-0000-0000-000025020000}"/>
    <cellStyle name="_CurrencySpace_bdmeetingmarch2005 (3)_Nets Pro Forma Financials 4-14-05 Lieberman_Nets Pro Forma Financials 4-20-05 ESDC vIII Rec to April 06 vX" xfId="5409" xr:uid="{00000000-0005-0000-0000-000026020000}"/>
    <cellStyle name="_CurrencySpace_bdmeetingmarch2005 (3)_Nets Pro Forma Financials 4-14-05 Lieberman_SAC exhibit (9-17-07)" xfId="5410" xr:uid="{00000000-0005-0000-0000-000027020000}"/>
    <cellStyle name="_CurrencySpace_bdmeetingmarch2005 (3)_Nets Pro Forma Financials 4-14-05 Lieberman_Yard Budget 11-1-2007" xfId="5411" xr:uid="{00000000-0005-0000-0000-000028020000}"/>
    <cellStyle name="_CurrencySpace_Bolt AVP" xfId="738" xr:uid="{00000000-0005-0000-0000-000029020000}"/>
    <cellStyle name="_CurrencySpace_Bolt AVP 2" xfId="739" xr:uid="{00000000-0005-0000-0000-00002A020000}"/>
    <cellStyle name="_CurrencySpace_Bolt AVP 2 2" xfId="740" xr:uid="{00000000-0005-0000-0000-00002B020000}"/>
    <cellStyle name="_CurrencySpace_Bolt AVP 2 2 2" xfId="741" xr:uid="{00000000-0005-0000-0000-00002C020000}"/>
    <cellStyle name="_CurrencySpace_Bolt AVP 2 3" xfId="742" xr:uid="{00000000-0005-0000-0000-00002D020000}"/>
    <cellStyle name="_CurrencySpace_Bolt AVP 3" xfId="743" xr:uid="{00000000-0005-0000-0000-00002E020000}"/>
    <cellStyle name="_CurrencySpace_Bolt Financial Performance" xfId="744" xr:uid="{00000000-0005-0000-0000-00002F020000}"/>
    <cellStyle name="_CurrencySpace_Bolt Financial Performance 2" xfId="745" xr:uid="{00000000-0005-0000-0000-000030020000}"/>
    <cellStyle name="_CurrencySpace_Bolt Financial Performance 2 2" xfId="746" xr:uid="{00000000-0005-0000-0000-000031020000}"/>
    <cellStyle name="_CurrencySpace_Bolt Financial Performance 2 2 2" xfId="747" xr:uid="{00000000-0005-0000-0000-000032020000}"/>
    <cellStyle name="_CurrencySpace_Bolt Financial Performance 2 3" xfId="748" xr:uid="{00000000-0005-0000-0000-000033020000}"/>
    <cellStyle name="_CurrencySpace_Bolt Financial Performance 3" xfId="749" xr:uid="{00000000-0005-0000-0000-000034020000}"/>
    <cellStyle name="_CurrencySpace_Bolt Financials and Comps" xfId="750" xr:uid="{00000000-0005-0000-0000-000035020000}"/>
    <cellStyle name="_CurrencySpace_Bolt Financials and Comps 2" xfId="751" xr:uid="{00000000-0005-0000-0000-000036020000}"/>
    <cellStyle name="_CurrencySpace_Bolt Financials and Comps 2 2" xfId="752" xr:uid="{00000000-0005-0000-0000-000037020000}"/>
    <cellStyle name="_CurrencySpace_Bolt Financials and Comps 2 2 2" xfId="753" xr:uid="{00000000-0005-0000-0000-000038020000}"/>
    <cellStyle name="_CurrencySpace_Bolt Financials and Comps 2 3" xfId="754" xr:uid="{00000000-0005-0000-0000-000039020000}"/>
    <cellStyle name="_CurrencySpace_Bolt Financials and Comps 3" xfId="755" xr:uid="{00000000-0005-0000-0000-00003A020000}"/>
    <cellStyle name="_CurrencySpace_Book1" xfId="756" xr:uid="{00000000-0005-0000-0000-00003B020000}"/>
    <cellStyle name="_CurrencySpace_Book1 2" xfId="757" xr:uid="{00000000-0005-0000-0000-00003C020000}"/>
    <cellStyle name="_CurrencySpace_Book1 2 2" xfId="758" xr:uid="{00000000-0005-0000-0000-00003D020000}"/>
    <cellStyle name="_CurrencySpace_Book1 2 2 2" xfId="759" xr:uid="{00000000-0005-0000-0000-00003E020000}"/>
    <cellStyle name="_CurrencySpace_Book1 2 3" xfId="760" xr:uid="{00000000-0005-0000-0000-00003F020000}"/>
    <cellStyle name="_CurrencySpace_Book1 3" xfId="761" xr:uid="{00000000-0005-0000-0000-000040020000}"/>
    <cellStyle name="_CurrencySpace_Book1_1" xfId="762" xr:uid="{00000000-0005-0000-0000-000041020000}"/>
    <cellStyle name="_CurrencySpace_Book1_1 2" xfId="763" xr:uid="{00000000-0005-0000-0000-000042020000}"/>
    <cellStyle name="_CurrencySpace_Book1_1 2 2" xfId="764" xr:uid="{00000000-0005-0000-0000-000043020000}"/>
    <cellStyle name="_CurrencySpace_Book1_1 2 2 2" xfId="765" xr:uid="{00000000-0005-0000-0000-000044020000}"/>
    <cellStyle name="_CurrencySpace_Book1_1 2 3" xfId="766" xr:uid="{00000000-0005-0000-0000-000045020000}"/>
    <cellStyle name="_CurrencySpace_Book1_1 3" xfId="767" xr:uid="{00000000-0005-0000-0000-000046020000}"/>
    <cellStyle name="_CurrencySpace_Book2" xfId="5412" xr:uid="{00000000-0005-0000-0000-000047020000}"/>
    <cellStyle name="_CurrencySpace_Budget Expense Summary 05_13_05 FCRC" xfId="5415" xr:uid="{00000000-0005-0000-0000-000048020000}"/>
    <cellStyle name="_CurrencySpace_Budget Expense Summary 05_13_05 FCRC_Nets and Arena Financials 4-17-06 dsit to NBA" xfId="5417" xr:uid="{00000000-0005-0000-0000-000049020000}"/>
    <cellStyle name="_CurrencySpace_Capital Call Exhibits_7-18-06 Model (final)_fce%" xfId="5420" xr:uid="{00000000-0005-0000-0000-00004A020000}"/>
    <cellStyle name="_CurrencySpace_Complex Merger Plans" xfId="768" xr:uid="{00000000-0005-0000-0000-00004B020000}"/>
    <cellStyle name="_CurrencySpace_Complex Merger Plans 2" xfId="769" xr:uid="{00000000-0005-0000-0000-00004C020000}"/>
    <cellStyle name="_CurrencySpace_Complex Merger Plans 2 2" xfId="770" xr:uid="{00000000-0005-0000-0000-00004D020000}"/>
    <cellStyle name="_CurrencySpace_Complex Merger Plans 2 2 2" xfId="771" xr:uid="{00000000-0005-0000-0000-00004E020000}"/>
    <cellStyle name="_CurrencySpace_Complex Merger Plans 2 3" xfId="772" xr:uid="{00000000-0005-0000-0000-00004F020000}"/>
    <cellStyle name="_CurrencySpace_Complex Merger Plans 3" xfId="773" xr:uid="{00000000-0005-0000-0000-000050020000}"/>
    <cellStyle name="_CurrencySpace_contribution_analysis" xfId="774" xr:uid="{00000000-0005-0000-0000-000051020000}"/>
    <cellStyle name="_CurrencySpace_ControlTables" xfId="775" xr:uid="{00000000-0005-0000-0000-000052020000}"/>
    <cellStyle name="_CurrencySpace_ControlTablesI" xfId="776" xr:uid="{00000000-0005-0000-0000-000053020000}"/>
    <cellStyle name="_CurrencySpace_Copy of Initial budgets200506Revised8" xfId="5421" xr:uid="{00000000-0005-0000-0000-000054020000}"/>
    <cellStyle name="_CurrencySpace_Copy of Initial budgets200506Revised8_Nets and Arena Financials 4-17-06 dsit to NBA" xfId="5423" xr:uid="{00000000-0005-0000-0000-000055020000}"/>
    <cellStyle name="_CurrencySpace_Criteria" xfId="777" xr:uid="{00000000-0005-0000-0000-000056020000}"/>
    <cellStyle name="_CurrencySpace_Criteria_ControlTables" xfId="778" xr:uid="{00000000-0005-0000-0000-000057020000}"/>
    <cellStyle name="_CurrencySpace_Criteria_ControlTablesI" xfId="779" xr:uid="{00000000-0005-0000-0000-000058020000}"/>
    <cellStyle name="_CurrencySpace_Criteria_DB_Eye" xfId="780" xr:uid="{00000000-0005-0000-0000-000059020000}"/>
    <cellStyle name="_CurrencySpace_Criteria_Exec Summary" xfId="781" xr:uid="{00000000-0005-0000-0000-00005A020000}"/>
    <cellStyle name="_CurrencySpace_Criteria_Exec Summary_1" xfId="782" xr:uid="{00000000-0005-0000-0000-00005B020000}"/>
    <cellStyle name="_CurrencySpace_Criteria_Sheet1" xfId="783" xr:uid="{00000000-0005-0000-0000-00005C020000}"/>
    <cellStyle name="_CurrencySpace_Data Tape" xfId="784" xr:uid="{00000000-0005-0000-0000-00005D020000}"/>
    <cellStyle name="_CurrencySpace_Data Tape_ControlTables" xfId="785" xr:uid="{00000000-0005-0000-0000-00005E020000}"/>
    <cellStyle name="_CurrencySpace_Data Tape_ControlTablesI" xfId="786" xr:uid="{00000000-0005-0000-0000-00005F020000}"/>
    <cellStyle name="_CurrencySpace_Data Tape_DB_Eye" xfId="787" xr:uid="{00000000-0005-0000-0000-000060020000}"/>
    <cellStyle name="_CurrencySpace_Data Tape_Exec Summary" xfId="788" xr:uid="{00000000-0005-0000-0000-000061020000}"/>
    <cellStyle name="_CurrencySpace_Data Tape_Exec Summary_1" xfId="789" xr:uid="{00000000-0005-0000-0000-000062020000}"/>
    <cellStyle name="_CurrencySpace_Data Tape_Sheet1" xfId="790" xr:uid="{00000000-0005-0000-0000-000063020000}"/>
    <cellStyle name="_CurrencySpace_Data_Tape" xfId="791" xr:uid="{00000000-0005-0000-0000-000064020000}"/>
    <cellStyle name="_CurrencySpace_DB_Eye" xfId="792" xr:uid="{00000000-0005-0000-0000-000065020000}"/>
    <cellStyle name="_CurrencySpace_DCF - Generic" xfId="793" xr:uid="{00000000-0005-0000-0000-000066020000}"/>
    <cellStyle name="_CurrencySpace_DCF - Generic 2" xfId="794" xr:uid="{00000000-0005-0000-0000-000067020000}"/>
    <cellStyle name="_CurrencySpace_DCF - Generic 2 2" xfId="795" xr:uid="{00000000-0005-0000-0000-000068020000}"/>
    <cellStyle name="_CurrencySpace_DCF - Generic 2 2 2" xfId="796" xr:uid="{00000000-0005-0000-0000-000069020000}"/>
    <cellStyle name="_CurrencySpace_DCF - Generic 2 3" xfId="797" xr:uid="{00000000-0005-0000-0000-00006A020000}"/>
    <cellStyle name="_CurrencySpace_DCF - Generic 3" xfId="798" xr:uid="{00000000-0005-0000-0000-00006B020000}"/>
    <cellStyle name="_CurrencySpace_Equity Summary 11-14-06 (no delay) final dist to EDC" xfId="5408" xr:uid="{00000000-0005-0000-0000-00006C020000}"/>
    <cellStyle name="_CurrencySpace_Exec Summary" xfId="799" xr:uid="{00000000-0005-0000-0000-00006D020000}"/>
    <cellStyle name="_CurrencySpace_Exec Summary_1" xfId="800" xr:uid="{00000000-0005-0000-0000-00006E020000}"/>
    <cellStyle name="_CurrencySpace_EyeChart" xfId="801" xr:uid="{00000000-0005-0000-0000-00006F020000}"/>
    <cellStyle name="_CurrencySpace_EyeChart 090503" xfId="802" xr:uid="{00000000-0005-0000-0000-000070020000}"/>
    <cellStyle name="_CurrencySpace_Final Draft Schedule of Guaranties 4-11-2007 rev1" xfId="5427" xr:uid="{00000000-0005-0000-0000-000071020000}"/>
    <cellStyle name="_CurrencySpace_Financials for LSG LSP EnCorp and Tufco" xfId="803" xr:uid="{00000000-0005-0000-0000-000072020000}"/>
    <cellStyle name="_CurrencySpace_Infrastructure 07 08 29" xfId="5431" xr:uid="{00000000-0005-0000-0000-000073020000}"/>
    <cellStyle name="_CurrencySpace_Infrastructure 11-22-06a" xfId="5433" xr:uid="{00000000-0005-0000-0000-000074020000}"/>
    <cellStyle name="_CurrencySpace_Infrastructure 11-26-06" xfId="5350" xr:uid="{00000000-0005-0000-0000-000075020000}"/>
    <cellStyle name="_CurrencySpace_Initial budgets200506Revised5 (4-26-05)" xfId="5398" xr:uid="{00000000-0005-0000-0000-000076020000}"/>
    <cellStyle name="_CurrencySpace_Initial budgets200506Revised5 (4-26-05)_Nets and Arena Financials 4-17-06 dsit to NBA" xfId="5434" xr:uid="{00000000-0005-0000-0000-000077020000}"/>
    <cellStyle name="_CurrencySpace_Input" xfId="804" xr:uid="{00000000-0005-0000-0000-000078020000}"/>
    <cellStyle name="_CurrencySpace_Input_1" xfId="805" xr:uid="{00000000-0005-0000-0000-000079020000}"/>
    <cellStyle name="_CurrencySpace_Input_ControlTables" xfId="806" xr:uid="{00000000-0005-0000-0000-00007A020000}"/>
    <cellStyle name="_CurrencySpace_Input_ControlTablesI" xfId="807" xr:uid="{00000000-0005-0000-0000-00007B020000}"/>
    <cellStyle name="_CurrencySpace_Input_DB_Eye" xfId="808" xr:uid="{00000000-0005-0000-0000-00007C020000}"/>
    <cellStyle name="_CurrencySpace_Input_Exec Summary" xfId="809" xr:uid="{00000000-0005-0000-0000-00007D020000}"/>
    <cellStyle name="_CurrencySpace_Input_Exec Summary_1" xfId="810" xr:uid="{00000000-0005-0000-0000-00007E020000}"/>
    <cellStyle name="_CurrencySpace_Input_Sheet1" xfId="811" xr:uid="{00000000-0005-0000-0000-00007F020000}"/>
    <cellStyle name="_CurrencySpace_Merger Plans v 2" xfId="812" xr:uid="{00000000-0005-0000-0000-000080020000}"/>
    <cellStyle name="_CurrencySpace_Merger Plans v 2 2" xfId="813" xr:uid="{00000000-0005-0000-0000-000081020000}"/>
    <cellStyle name="_CurrencySpace_Merger Plans v 2 2 2" xfId="814" xr:uid="{00000000-0005-0000-0000-000082020000}"/>
    <cellStyle name="_CurrencySpace_Merger Plans v 2 2 2 2" xfId="815" xr:uid="{00000000-0005-0000-0000-000083020000}"/>
    <cellStyle name="_CurrencySpace_Merger Plans v 2 2 3" xfId="816" xr:uid="{00000000-0005-0000-0000-000084020000}"/>
    <cellStyle name="_CurrencySpace_Merger Plans v 2 3" xfId="817" xr:uid="{00000000-0005-0000-0000-000085020000}"/>
    <cellStyle name="_CurrencySpace_Pools" xfId="818" xr:uid="{00000000-0005-0000-0000-000086020000}"/>
    <cellStyle name="_CurrencySpace_Pricing" xfId="819" xr:uid="{00000000-0005-0000-0000-000087020000}"/>
    <cellStyle name="_CurrencySpace_SAC Summary (11-29-06)" xfId="5435" xr:uid="{00000000-0005-0000-0000-000088020000}"/>
    <cellStyle name="_CurrencySpace_Senario Input Assumptions" xfId="820" xr:uid="{00000000-0005-0000-0000-000089020000}"/>
    <cellStyle name="_CurrencySpace_Senario Input Assumptions_ControlTables" xfId="821" xr:uid="{00000000-0005-0000-0000-00008A020000}"/>
    <cellStyle name="_CurrencySpace_Senario Input Assumptions_ControlTablesI" xfId="822" xr:uid="{00000000-0005-0000-0000-00008B020000}"/>
    <cellStyle name="_CurrencySpace_Senario Input Assumptions_DB_Eye" xfId="823" xr:uid="{00000000-0005-0000-0000-00008C020000}"/>
    <cellStyle name="_CurrencySpace_Senario Input Assumptions_Exec Summary" xfId="824" xr:uid="{00000000-0005-0000-0000-00008D020000}"/>
    <cellStyle name="_CurrencySpace_Senario Input Assumptions_Exec Summary_1" xfId="825" xr:uid="{00000000-0005-0000-0000-00008E020000}"/>
    <cellStyle name="_CurrencySpace_Senario Input Assumptions_Sheet1" xfId="826" xr:uid="{00000000-0005-0000-0000-00008F020000}"/>
    <cellStyle name="_CurrencySpace_Sheet1" xfId="827" xr:uid="{00000000-0005-0000-0000-000090020000}"/>
    <cellStyle name="_CurrencySpace_Sheet1_1" xfId="828" xr:uid="{00000000-0005-0000-0000-000091020000}"/>
    <cellStyle name="_CurrencySpace_Sheet1_Balance Sheet" xfId="829" xr:uid="{00000000-0005-0000-0000-000092020000}"/>
    <cellStyle name="_CurrencySpace_Sheet1_Criteria" xfId="830" xr:uid="{00000000-0005-0000-0000-000093020000}"/>
    <cellStyle name="_CurrencySpace_Sheet1_Data Tape" xfId="831" xr:uid="{00000000-0005-0000-0000-000094020000}"/>
    <cellStyle name="_CurrencySpace_Sheet1_Data_Tape" xfId="832" xr:uid="{00000000-0005-0000-0000-000095020000}"/>
    <cellStyle name="_CurrencySpace_Sheet1_Data_Tape_ControlTables" xfId="833" xr:uid="{00000000-0005-0000-0000-000096020000}"/>
    <cellStyle name="_CurrencySpace_Sheet1_Data_Tape_ControlTablesI" xfId="834" xr:uid="{00000000-0005-0000-0000-000097020000}"/>
    <cellStyle name="_CurrencySpace_Sheet1_Data_Tape_DB_Eye" xfId="835" xr:uid="{00000000-0005-0000-0000-000098020000}"/>
    <cellStyle name="_CurrencySpace_Sheet1_Data_Tape_Exec Summary" xfId="836" xr:uid="{00000000-0005-0000-0000-000099020000}"/>
    <cellStyle name="_CurrencySpace_Sheet1_Data_Tape_Exec Summary_1" xfId="837" xr:uid="{00000000-0005-0000-0000-00009A020000}"/>
    <cellStyle name="_CurrencySpace_Sheet1_Data_Tape_Sheet1" xfId="838" xr:uid="{00000000-0005-0000-0000-00009B020000}"/>
    <cellStyle name="_CurrencySpace_Sheet1_Input" xfId="839" xr:uid="{00000000-0005-0000-0000-00009C020000}"/>
    <cellStyle name="_CurrencySpace_Sheet1_Pools" xfId="840" xr:uid="{00000000-0005-0000-0000-00009D020000}"/>
    <cellStyle name="_CurrencySpace_Sheet1_Pools_ControlTables" xfId="841" xr:uid="{00000000-0005-0000-0000-00009E020000}"/>
    <cellStyle name="_CurrencySpace_Sheet1_Pools_ControlTablesI" xfId="842" xr:uid="{00000000-0005-0000-0000-00009F020000}"/>
    <cellStyle name="_CurrencySpace_Sheet1_Pools_DB_Eye" xfId="843" xr:uid="{00000000-0005-0000-0000-0000A0020000}"/>
    <cellStyle name="_CurrencySpace_Sheet1_Pools_Exec Summary" xfId="844" xr:uid="{00000000-0005-0000-0000-0000A1020000}"/>
    <cellStyle name="_CurrencySpace_Sheet1_Pools_Exec Summary_1" xfId="845" xr:uid="{00000000-0005-0000-0000-0000A2020000}"/>
    <cellStyle name="_CurrencySpace_Sheet1_Pools_Sheet1" xfId="846" xr:uid="{00000000-0005-0000-0000-0000A3020000}"/>
    <cellStyle name="_CurrencySpace_Sheet1_Senario Input Assumptions" xfId="847" xr:uid="{00000000-0005-0000-0000-0000A4020000}"/>
    <cellStyle name="_CurrencySpace_Sheet1_Structure Model_2003_test2" xfId="848" xr:uid="{00000000-0005-0000-0000-0000A5020000}"/>
    <cellStyle name="_CurrencySpace_Sheet2" xfId="849" xr:uid="{00000000-0005-0000-0000-0000A6020000}"/>
    <cellStyle name="_CurrencySpace_Sheet3" xfId="850" xr:uid="{00000000-0005-0000-0000-0000A7020000}"/>
    <cellStyle name="_CurrencySpace_Sheet4" xfId="851" xr:uid="{00000000-0005-0000-0000-0000A8020000}"/>
    <cellStyle name="_CurrencySpace_Structure Model_2003_test2" xfId="852" xr:uid="{00000000-0005-0000-0000-0000A9020000}"/>
    <cellStyle name="_CurrencySpace_Structure Model_2003_test2_ControlTables" xfId="853" xr:uid="{00000000-0005-0000-0000-0000AA020000}"/>
    <cellStyle name="_CurrencySpace_Structure Model_2003_test2_ControlTablesI" xfId="854" xr:uid="{00000000-0005-0000-0000-0000AB020000}"/>
    <cellStyle name="_CurrencySpace_Structure Model_2003_test2_DB_Eye" xfId="855" xr:uid="{00000000-0005-0000-0000-0000AC020000}"/>
    <cellStyle name="_CurrencySpace_Structure Model_2003_test2_Exec Summary" xfId="856" xr:uid="{00000000-0005-0000-0000-0000AD020000}"/>
    <cellStyle name="_CurrencySpace_Structure Model_2003_test2_Exec Summary_1" xfId="857" xr:uid="{00000000-0005-0000-0000-0000AE020000}"/>
    <cellStyle name="_CurrencySpace_Structure Model_2003_test2_Sheet1" xfId="858" xr:uid="{00000000-0005-0000-0000-0000AF020000}"/>
    <cellStyle name="_CurrencySpace_Tab 5d - Infrastructure cost summary 4-6-2007 jl" xfId="5436" xr:uid="{00000000-0005-0000-0000-0000B0020000}"/>
    <cellStyle name="_CurrencySpace_Y Land Cash Flow 3-19-07_RECLASS mobil pushed" xfId="5438" xr:uid="{00000000-0005-0000-0000-0000B1020000}"/>
    <cellStyle name="_CurrencySpace_Yard Budget 11-1-2007" xfId="5439" xr:uid="{00000000-0005-0000-0000-0000B2020000}"/>
    <cellStyle name="_Euro" xfId="859" xr:uid="{00000000-0005-0000-0000-0000B3020000}"/>
    <cellStyle name="_Euro 2" xfId="860" xr:uid="{00000000-0005-0000-0000-0000B4020000}"/>
    <cellStyle name="_Euro 2 2" xfId="861" xr:uid="{00000000-0005-0000-0000-0000B5020000}"/>
    <cellStyle name="_Euro 2 2 2" xfId="862" xr:uid="{00000000-0005-0000-0000-0000B6020000}"/>
    <cellStyle name="_Euro 2 3" xfId="863" xr:uid="{00000000-0005-0000-0000-0000B7020000}"/>
    <cellStyle name="_Euro 3" xfId="5342" xr:uid="{00000000-0005-0000-0000-0000B8020000}"/>
    <cellStyle name="_Euro_ControlTables" xfId="864" xr:uid="{00000000-0005-0000-0000-0000B9020000}"/>
    <cellStyle name="_Euro_ControlTablesI" xfId="865" xr:uid="{00000000-0005-0000-0000-0000BA020000}"/>
    <cellStyle name="_Euro_DB_Eye" xfId="866" xr:uid="{00000000-0005-0000-0000-0000BB020000}"/>
    <cellStyle name="_Euro_Exec Summary" xfId="867" xr:uid="{00000000-0005-0000-0000-0000BC020000}"/>
    <cellStyle name="_Euro_Sheet1" xfId="868" xr:uid="{00000000-0005-0000-0000-0000BD020000}"/>
    <cellStyle name="_f_ô[0]_pldt" xfId="229" xr:uid="{00000000-0005-0000-0000-0000BE020000}"/>
    <cellStyle name="_f_ô[0]_pldt 10" xfId="188" xr:uid="{00000000-0005-0000-0000-0000BF020000}"/>
    <cellStyle name="_f_ô[0]_pldt 10 2" xfId="212" xr:uid="{00000000-0005-0000-0000-0000C0020000}"/>
    <cellStyle name="_f_ô[0]_pldt 10 2 2" xfId="211" xr:uid="{00000000-0005-0000-0000-0000C1020000}"/>
    <cellStyle name="_f_ô[0]_pldt 10 2 3" xfId="210" xr:uid="{00000000-0005-0000-0000-0000C2020000}"/>
    <cellStyle name="_f_ô[0]_pldt 10 3" xfId="209" xr:uid="{00000000-0005-0000-0000-0000C3020000}"/>
    <cellStyle name="_f_ô[0]_pldt 10 4" xfId="239" xr:uid="{00000000-0005-0000-0000-0000C4020000}"/>
    <cellStyle name="_f_ô[0]_pldt 11" xfId="236" xr:uid="{00000000-0005-0000-0000-0000C5020000}"/>
    <cellStyle name="_f_ô[0]_pldt 11 2" xfId="225" xr:uid="{00000000-0005-0000-0000-0000C6020000}"/>
    <cellStyle name="_f_ô[0]_pldt 11 2 2" xfId="223" xr:uid="{00000000-0005-0000-0000-0000C7020000}"/>
    <cellStyle name="_f_ô[0]_pldt 11 2 3" xfId="208" xr:uid="{00000000-0005-0000-0000-0000C8020000}"/>
    <cellStyle name="_f_ô[0]_pldt 11 3" xfId="232" xr:uid="{00000000-0005-0000-0000-0000C9020000}"/>
    <cellStyle name="_f_ô[0]_pldt 11 4" xfId="207" xr:uid="{00000000-0005-0000-0000-0000CA020000}"/>
    <cellStyle name="_f_ô[0]_pldt 12" xfId="186" xr:uid="{00000000-0005-0000-0000-0000CB020000}"/>
    <cellStyle name="_f_ô[0]_pldt 12 2" xfId="206" xr:uid="{00000000-0005-0000-0000-0000CC020000}"/>
    <cellStyle name="_f_ô[0]_pldt 12 2 2" xfId="226" xr:uid="{00000000-0005-0000-0000-0000CD020000}"/>
    <cellStyle name="_f_ô[0]_pldt 12 2 3" xfId="231" xr:uid="{00000000-0005-0000-0000-0000CE020000}"/>
    <cellStyle name="_f_ô[0]_pldt 12 3" xfId="187" xr:uid="{00000000-0005-0000-0000-0000CF020000}"/>
    <cellStyle name="_f_ô[0]_pldt 12 4" xfId="230" xr:uid="{00000000-0005-0000-0000-0000D0020000}"/>
    <cellStyle name="_f_ô[0]_pldt 13" xfId="205" xr:uid="{00000000-0005-0000-0000-0000D1020000}"/>
    <cellStyle name="_f_ô[0]_pldt 13 2" xfId="204" xr:uid="{00000000-0005-0000-0000-0000D2020000}"/>
    <cellStyle name="_f_ô[0]_pldt 13 2 2" xfId="203" xr:uid="{00000000-0005-0000-0000-0000D3020000}"/>
    <cellStyle name="_f_ô[0]_pldt 13 2 3" xfId="202" xr:uid="{00000000-0005-0000-0000-0000D4020000}"/>
    <cellStyle name="_f_ô[0]_pldt 13 3" xfId="201" xr:uid="{00000000-0005-0000-0000-0000D5020000}"/>
    <cellStyle name="_f_ô[0]_pldt 13 4" xfId="200" xr:uid="{00000000-0005-0000-0000-0000D6020000}"/>
    <cellStyle name="_f_ô[0]_pldt 14" xfId="199" xr:uid="{00000000-0005-0000-0000-0000D7020000}"/>
    <cellStyle name="_f_ô[0]_pldt 14 2" xfId="198" xr:uid="{00000000-0005-0000-0000-0000D8020000}"/>
    <cellStyle name="_f_ô[0]_pldt 14 2 2" xfId="197" xr:uid="{00000000-0005-0000-0000-0000D9020000}"/>
    <cellStyle name="_f_ô[0]_pldt 14 2 3" xfId="196" xr:uid="{00000000-0005-0000-0000-0000DA020000}"/>
    <cellStyle name="_f_ô[0]_pldt 14 3" xfId="194" xr:uid="{00000000-0005-0000-0000-0000DB020000}"/>
    <cellStyle name="_f_ô[0]_pldt 14 4" xfId="193" xr:uid="{00000000-0005-0000-0000-0000DC020000}"/>
    <cellStyle name="_f_ô[0]_pldt 15" xfId="224" xr:uid="{00000000-0005-0000-0000-0000DD020000}"/>
    <cellStyle name="_f_ô[0]_pldt 15 2" xfId="221" xr:uid="{00000000-0005-0000-0000-0000DE020000}"/>
    <cellStyle name="_f_ô[0]_pldt 15 2 2" xfId="192" xr:uid="{00000000-0005-0000-0000-0000DF020000}"/>
    <cellStyle name="_f_ô[0]_pldt 15 2 3" xfId="191" xr:uid="{00000000-0005-0000-0000-0000E0020000}"/>
    <cellStyle name="_f_ô[0]_pldt 15 3" xfId="190" xr:uid="{00000000-0005-0000-0000-0000E1020000}"/>
    <cellStyle name="_f_ô[0]_pldt 15 4" xfId="3993" xr:uid="{00000000-0005-0000-0000-0000E2020000}"/>
    <cellStyle name="_f_ô[0]_pldt 16" xfId="3994" xr:uid="{00000000-0005-0000-0000-0000E3020000}"/>
    <cellStyle name="_f_ô[0]_pldt 16 2" xfId="3995" xr:uid="{00000000-0005-0000-0000-0000E4020000}"/>
    <cellStyle name="_f_ô[0]_pldt 16 3" xfId="3996" xr:uid="{00000000-0005-0000-0000-0000E5020000}"/>
    <cellStyle name="_f_ô[0]_pldt 16 4" xfId="3997" xr:uid="{00000000-0005-0000-0000-0000E6020000}"/>
    <cellStyle name="_f_ô[0]_pldt 17" xfId="3998" xr:uid="{00000000-0005-0000-0000-0000E7020000}"/>
    <cellStyle name="_f_ô[0]_pldt 17 2" xfId="3999" xr:uid="{00000000-0005-0000-0000-0000E8020000}"/>
    <cellStyle name="_f_ô[0]_pldt 17 3" xfId="4000" xr:uid="{00000000-0005-0000-0000-0000E9020000}"/>
    <cellStyle name="_f_ô[0]_pldt 17 4" xfId="4001" xr:uid="{00000000-0005-0000-0000-0000EA020000}"/>
    <cellStyle name="_f_ô[0]_pldt 18" xfId="4002" xr:uid="{00000000-0005-0000-0000-0000EB020000}"/>
    <cellStyle name="_f_ô[0]_pldt 19" xfId="4003" xr:uid="{00000000-0005-0000-0000-0000EC020000}"/>
    <cellStyle name="_f_ô[0]_pldt 2" xfId="4004" xr:uid="{00000000-0005-0000-0000-0000ED020000}"/>
    <cellStyle name="_f_ô[0]_pldt 2 10" xfId="4005" xr:uid="{00000000-0005-0000-0000-0000EE020000}"/>
    <cellStyle name="_f_ô[0]_pldt 2 11" xfId="4006" xr:uid="{00000000-0005-0000-0000-0000EF020000}"/>
    <cellStyle name="_f_ô[0]_pldt 2 12" xfId="4007" xr:uid="{00000000-0005-0000-0000-0000F0020000}"/>
    <cellStyle name="_f_ô[0]_pldt 2 13" xfId="4008" xr:uid="{00000000-0005-0000-0000-0000F1020000}"/>
    <cellStyle name="_f_ô[0]_pldt 2 14" xfId="4009" xr:uid="{00000000-0005-0000-0000-0000F2020000}"/>
    <cellStyle name="_f_ô[0]_pldt 2 15" xfId="4010" xr:uid="{00000000-0005-0000-0000-0000F3020000}"/>
    <cellStyle name="_f_ô[0]_pldt 2 16" xfId="4011" xr:uid="{00000000-0005-0000-0000-0000F4020000}"/>
    <cellStyle name="_f_ô[0]_pldt 2 2" xfId="4012" xr:uid="{00000000-0005-0000-0000-0000F5020000}"/>
    <cellStyle name="_f_ô[0]_pldt 2 2 2" xfId="4013" xr:uid="{00000000-0005-0000-0000-0000F6020000}"/>
    <cellStyle name="_f_ô[0]_pldt 2 2 3" xfId="4014" xr:uid="{00000000-0005-0000-0000-0000F7020000}"/>
    <cellStyle name="_f_ô[0]_pldt 2 2 4" xfId="4015" xr:uid="{00000000-0005-0000-0000-0000F8020000}"/>
    <cellStyle name="_f_ô[0]_pldt 2 3" xfId="4016" xr:uid="{00000000-0005-0000-0000-0000F9020000}"/>
    <cellStyle name="_f_ô[0]_pldt 2 3 2" xfId="4017" xr:uid="{00000000-0005-0000-0000-0000FA020000}"/>
    <cellStyle name="_f_ô[0]_pldt 2 3 3" xfId="4018" xr:uid="{00000000-0005-0000-0000-0000FB020000}"/>
    <cellStyle name="_f_ô[0]_pldt 2 4" xfId="4019" xr:uid="{00000000-0005-0000-0000-0000FC020000}"/>
    <cellStyle name="_f_ô[0]_pldt 2 4 2" xfId="4020" xr:uid="{00000000-0005-0000-0000-0000FD020000}"/>
    <cellStyle name="_f_ô[0]_pldt 2 5" xfId="4021" xr:uid="{00000000-0005-0000-0000-0000FE020000}"/>
    <cellStyle name="_f_ô[0]_pldt 2 5 2" xfId="4022" xr:uid="{00000000-0005-0000-0000-0000FF020000}"/>
    <cellStyle name="_f_ô[0]_pldt 2 6" xfId="4023" xr:uid="{00000000-0005-0000-0000-000000030000}"/>
    <cellStyle name="_f_ô[0]_pldt 2 7" xfId="4024" xr:uid="{00000000-0005-0000-0000-000001030000}"/>
    <cellStyle name="_f_ô[0]_pldt 2 8" xfId="4025" xr:uid="{00000000-0005-0000-0000-000002030000}"/>
    <cellStyle name="_f_ô[0]_pldt 2 9" xfId="4026" xr:uid="{00000000-0005-0000-0000-000003030000}"/>
    <cellStyle name="_f_ô[0]_pldt 20" xfId="4027" xr:uid="{00000000-0005-0000-0000-000004030000}"/>
    <cellStyle name="_f_ô[0]_pldt 21" xfId="4028" xr:uid="{00000000-0005-0000-0000-000005030000}"/>
    <cellStyle name="_f_ô[0]_pldt 22" xfId="4029" xr:uid="{00000000-0005-0000-0000-000006030000}"/>
    <cellStyle name="_f_ô[0]_pldt 23" xfId="4030" xr:uid="{00000000-0005-0000-0000-000007030000}"/>
    <cellStyle name="_f_ô[0]_pldt 24" xfId="4031" xr:uid="{00000000-0005-0000-0000-000008030000}"/>
    <cellStyle name="_f_ô[0]_pldt 3" xfId="4032" xr:uid="{00000000-0005-0000-0000-000009030000}"/>
    <cellStyle name="_f_ô[0]_pldt 3 2" xfId="4033" xr:uid="{00000000-0005-0000-0000-00000A030000}"/>
    <cellStyle name="_f_ô[0]_pldt 3 2 2" xfId="4034" xr:uid="{00000000-0005-0000-0000-00000B030000}"/>
    <cellStyle name="_f_ô[0]_pldt 3 2 3" xfId="4035" xr:uid="{00000000-0005-0000-0000-00000C030000}"/>
    <cellStyle name="_f_ô[0]_pldt 3 2 4" xfId="4036" xr:uid="{00000000-0005-0000-0000-00000D030000}"/>
    <cellStyle name="_f_ô[0]_pldt 3 3" xfId="4037" xr:uid="{00000000-0005-0000-0000-00000E030000}"/>
    <cellStyle name="_f_ô[0]_pldt 3 4" xfId="4038" xr:uid="{00000000-0005-0000-0000-00000F030000}"/>
    <cellStyle name="_f_ô[0]_pldt 3 5" xfId="4039" xr:uid="{00000000-0005-0000-0000-000010030000}"/>
    <cellStyle name="_f_ô[0]_pldt 4" xfId="4040" xr:uid="{00000000-0005-0000-0000-000011030000}"/>
    <cellStyle name="_f_ô[0]_pldt 4 2" xfId="4041" xr:uid="{00000000-0005-0000-0000-000012030000}"/>
    <cellStyle name="_f_ô[0]_pldt 4 2 2" xfId="4042" xr:uid="{00000000-0005-0000-0000-000013030000}"/>
    <cellStyle name="_f_ô[0]_pldt 4 2 3" xfId="4043" xr:uid="{00000000-0005-0000-0000-000014030000}"/>
    <cellStyle name="_f_ô[0]_pldt 4 2 4" xfId="4044" xr:uid="{00000000-0005-0000-0000-000015030000}"/>
    <cellStyle name="_f_ô[0]_pldt 4 3" xfId="4045" xr:uid="{00000000-0005-0000-0000-000016030000}"/>
    <cellStyle name="_f_ô[0]_pldt 4 4" xfId="4046" xr:uid="{00000000-0005-0000-0000-000017030000}"/>
    <cellStyle name="_f_ô[0]_pldt 5" xfId="4047" xr:uid="{00000000-0005-0000-0000-000018030000}"/>
    <cellStyle name="_f_ô[0]_pldt 5 2" xfId="4048" xr:uid="{00000000-0005-0000-0000-000019030000}"/>
    <cellStyle name="_f_ô[0]_pldt 5 2 2" xfId="4049" xr:uid="{00000000-0005-0000-0000-00001A030000}"/>
    <cellStyle name="_f_ô[0]_pldt 5 2 3" xfId="4050" xr:uid="{00000000-0005-0000-0000-00001B030000}"/>
    <cellStyle name="_f_ô[0]_pldt 5 3" xfId="4051" xr:uid="{00000000-0005-0000-0000-00001C030000}"/>
    <cellStyle name="_f_ô[0]_pldt 5 4" xfId="4052" xr:uid="{00000000-0005-0000-0000-00001D030000}"/>
    <cellStyle name="_f_ô[0]_pldt 5 5" xfId="4053" xr:uid="{00000000-0005-0000-0000-00001E030000}"/>
    <cellStyle name="_f_ô[0]_pldt 6" xfId="4054" xr:uid="{00000000-0005-0000-0000-00001F030000}"/>
    <cellStyle name="_f_ô[0]_pldt 6 2" xfId="4055" xr:uid="{00000000-0005-0000-0000-000020030000}"/>
    <cellStyle name="_f_ô[0]_pldt 6 2 2" xfId="4056" xr:uid="{00000000-0005-0000-0000-000021030000}"/>
    <cellStyle name="_f_ô[0]_pldt 6 2 3" xfId="4057" xr:uid="{00000000-0005-0000-0000-000022030000}"/>
    <cellStyle name="_f_ô[0]_pldt 6 3" xfId="4058" xr:uid="{00000000-0005-0000-0000-000023030000}"/>
    <cellStyle name="_f_ô[0]_pldt 6 4" xfId="4059" xr:uid="{00000000-0005-0000-0000-000024030000}"/>
    <cellStyle name="_f_ô[0]_pldt 6 5" xfId="4060" xr:uid="{00000000-0005-0000-0000-000025030000}"/>
    <cellStyle name="_f_ô[0]_pldt 7" xfId="4061" xr:uid="{00000000-0005-0000-0000-000026030000}"/>
    <cellStyle name="_f_ô[0]_pldt 7 2" xfId="4062" xr:uid="{00000000-0005-0000-0000-000027030000}"/>
    <cellStyle name="_f_ô[0]_pldt 7 3" xfId="4063" xr:uid="{00000000-0005-0000-0000-000028030000}"/>
    <cellStyle name="_f_ô[0]_pldt 7 4" xfId="4064" xr:uid="{00000000-0005-0000-0000-000029030000}"/>
    <cellStyle name="_f_ô[0]_pldt 8" xfId="4065" xr:uid="{00000000-0005-0000-0000-00002A030000}"/>
    <cellStyle name="_f_ô[0]_pldt 8 2" xfId="4066" xr:uid="{00000000-0005-0000-0000-00002B030000}"/>
    <cellStyle name="_f_ô[0]_pldt 8 3" xfId="4067" xr:uid="{00000000-0005-0000-0000-00002C030000}"/>
    <cellStyle name="_f_ô[0]_pldt 8 4" xfId="4068" xr:uid="{00000000-0005-0000-0000-00002D030000}"/>
    <cellStyle name="_f_ô[0]_pldt 9" xfId="4069" xr:uid="{00000000-0005-0000-0000-00002E030000}"/>
    <cellStyle name="_f_ô[0]_pldt 9 2" xfId="4070" xr:uid="{00000000-0005-0000-0000-00002F030000}"/>
    <cellStyle name="_f_ô[0]_pldt 9 3" xfId="4071" xr:uid="{00000000-0005-0000-0000-000030030000}"/>
    <cellStyle name="_f_ô[0]_pldt 9 4" xfId="4072" xr:uid="{00000000-0005-0000-0000-000031030000}"/>
    <cellStyle name="_f_ô_pldt" xfId="4073" xr:uid="{00000000-0005-0000-0000-000032030000}"/>
    <cellStyle name="_f_ô_pldt 10" xfId="4074" xr:uid="{00000000-0005-0000-0000-000033030000}"/>
    <cellStyle name="_f_ô_pldt 10 2" xfId="4075" xr:uid="{00000000-0005-0000-0000-000034030000}"/>
    <cellStyle name="_f_ô_pldt 10 2 2" xfId="4076" xr:uid="{00000000-0005-0000-0000-000035030000}"/>
    <cellStyle name="_f_ô_pldt 10 2 3" xfId="4077" xr:uid="{00000000-0005-0000-0000-000036030000}"/>
    <cellStyle name="_f_ô_pldt 10 3" xfId="4078" xr:uid="{00000000-0005-0000-0000-000037030000}"/>
    <cellStyle name="_f_ô_pldt 10 4" xfId="4079" xr:uid="{00000000-0005-0000-0000-000038030000}"/>
    <cellStyle name="_f_ô_pldt 11" xfId="4080" xr:uid="{00000000-0005-0000-0000-000039030000}"/>
    <cellStyle name="_f_ô_pldt 11 2" xfId="4081" xr:uid="{00000000-0005-0000-0000-00003A030000}"/>
    <cellStyle name="_f_ô_pldt 11 2 2" xfId="4082" xr:uid="{00000000-0005-0000-0000-00003B030000}"/>
    <cellStyle name="_f_ô_pldt 11 2 3" xfId="4083" xr:uid="{00000000-0005-0000-0000-00003C030000}"/>
    <cellStyle name="_f_ô_pldt 11 3" xfId="4084" xr:uid="{00000000-0005-0000-0000-00003D030000}"/>
    <cellStyle name="_f_ô_pldt 11 4" xfId="4085" xr:uid="{00000000-0005-0000-0000-00003E030000}"/>
    <cellStyle name="_f_ô_pldt 12" xfId="4086" xr:uid="{00000000-0005-0000-0000-00003F030000}"/>
    <cellStyle name="_f_ô_pldt 12 2" xfId="4087" xr:uid="{00000000-0005-0000-0000-000040030000}"/>
    <cellStyle name="_f_ô_pldt 12 2 2" xfId="4088" xr:uid="{00000000-0005-0000-0000-000041030000}"/>
    <cellStyle name="_f_ô_pldt 12 2 3" xfId="4089" xr:uid="{00000000-0005-0000-0000-000042030000}"/>
    <cellStyle name="_f_ô_pldt 12 3" xfId="4090" xr:uid="{00000000-0005-0000-0000-000043030000}"/>
    <cellStyle name="_f_ô_pldt 12 4" xfId="4091" xr:uid="{00000000-0005-0000-0000-000044030000}"/>
    <cellStyle name="_f_ô_pldt 13" xfId="4092" xr:uid="{00000000-0005-0000-0000-000045030000}"/>
    <cellStyle name="_f_ô_pldt 13 2" xfId="4093" xr:uid="{00000000-0005-0000-0000-000046030000}"/>
    <cellStyle name="_f_ô_pldt 13 2 2" xfId="4094" xr:uid="{00000000-0005-0000-0000-000047030000}"/>
    <cellStyle name="_f_ô_pldt 13 2 3" xfId="4095" xr:uid="{00000000-0005-0000-0000-000048030000}"/>
    <cellStyle name="_f_ô_pldt 13 3" xfId="4096" xr:uid="{00000000-0005-0000-0000-000049030000}"/>
    <cellStyle name="_f_ô_pldt 13 4" xfId="4097" xr:uid="{00000000-0005-0000-0000-00004A030000}"/>
    <cellStyle name="_f_ô_pldt 14" xfId="4098" xr:uid="{00000000-0005-0000-0000-00004B030000}"/>
    <cellStyle name="_f_ô_pldt 14 2" xfId="4099" xr:uid="{00000000-0005-0000-0000-00004C030000}"/>
    <cellStyle name="_f_ô_pldt 14 2 2" xfId="4100" xr:uid="{00000000-0005-0000-0000-00004D030000}"/>
    <cellStyle name="_f_ô_pldt 14 2 3" xfId="4101" xr:uid="{00000000-0005-0000-0000-00004E030000}"/>
    <cellStyle name="_f_ô_pldt 14 3" xfId="4102" xr:uid="{00000000-0005-0000-0000-00004F030000}"/>
    <cellStyle name="_f_ô_pldt 14 4" xfId="4103" xr:uid="{00000000-0005-0000-0000-000050030000}"/>
    <cellStyle name="_f_ô_pldt 15" xfId="4104" xr:uid="{00000000-0005-0000-0000-000051030000}"/>
    <cellStyle name="_f_ô_pldt 15 2" xfId="4105" xr:uid="{00000000-0005-0000-0000-000052030000}"/>
    <cellStyle name="_f_ô_pldt 15 2 2" xfId="4106" xr:uid="{00000000-0005-0000-0000-000053030000}"/>
    <cellStyle name="_f_ô_pldt 15 2 3" xfId="4107" xr:uid="{00000000-0005-0000-0000-000054030000}"/>
    <cellStyle name="_f_ô_pldt 15 3" xfId="4108" xr:uid="{00000000-0005-0000-0000-000055030000}"/>
    <cellStyle name="_f_ô_pldt 15 4" xfId="4109" xr:uid="{00000000-0005-0000-0000-000056030000}"/>
    <cellStyle name="_f_ô_pldt 16" xfId="4110" xr:uid="{00000000-0005-0000-0000-000057030000}"/>
    <cellStyle name="_f_ô_pldt 16 2" xfId="4111" xr:uid="{00000000-0005-0000-0000-000058030000}"/>
    <cellStyle name="_f_ô_pldt 16 3" xfId="4112" xr:uid="{00000000-0005-0000-0000-000059030000}"/>
    <cellStyle name="_f_ô_pldt 16 4" xfId="4113" xr:uid="{00000000-0005-0000-0000-00005A030000}"/>
    <cellStyle name="_f_ô_pldt 17" xfId="4114" xr:uid="{00000000-0005-0000-0000-00005B030000}"/>
    <cellStyle name="_f_ô_pldt 17 2" xfId="4115" xr:uid="{00000000-0005-0000-0000-00005C030000}"/>
    <cellStyle name="_f_ô_pldt 17 3" xfId="4116" xr:uid="{00000000-0005-0000-0000-00005D030000}"/>
    <cellStyle name="_f_ô_pldt 17 4" xfId="4117" xr:uid="{00000000-0005-0000-0000-00005E030000}"/>
    <cellStyle name="_f_ô_pldt 18" xfId="4118" xr:uid="{00000000-0005-0000-0000-00005F030000}"/>
    <cellStyle name="_f_ô_pldt 19" xfId="4119" xr:uid="{00000000-0005-0000-0000-000060030000}"/>
    <cellStyle name="_f_ô_pldt 2" xfId="4120" xr:uid="{00000000-0005-0000-0000-000061030000}"/>
    <cellStyle name="_f_ô_pldt 2 10" xfId="4121" xr:uid="{00000000-0005-0000-0000-000062030000}"/>
    <cellStyle name="_f_ô_pldt 2 11" xfId="4122" xr:uid="{00000000-0005-0000-0000-000063030000}"/>
    <cellStyle name="_f_ô_pldt 2 12" xfId="4123" xr:uid="{00000000-0005-0000-0000-000064030000}"/>
    <cellStyle name="_f_ô_pldt 2 13" xfId="4124" xr:uid="{00000000-0005-0000-0000-000065030000}"/>
    <cellStyle name="_f_ô_pldt 2 14" xfId="4125" xr:uid="{00000000-0005-0000-0000-000066030000}"/>
    <cellStyle name="_f_ô_pldt 2 15" xfId="4126" xr:uid="{00000000-0005-0000-0000-000067030000}"/>
    <cellStyle name="_f_ô_pldt 2 16" xfId="4127" xr:uid="{00000000-0005-0000-0000-000068030000}"/>
    <cellStyle name="_f_ô_pldt 2 2" xfId="4128" xr:uid="{00000000-0005-0000-0000-000069030000}"/>
    <cellStyle name="_f_ô_pldt 2 2 2" xfId="4129" xr:uid="{00000000-0005-0000-0000-00006A030000}"/>
    <cellStyle name="_f_ô_pldt 2 2 3" xfId="4130" xr:uid="{00000000-0005-0000-0000-00006B030000}"/>
    <cellStyle name="_f_ô_pldt 2 2 4" xfId="4131" xr:uid="{00000000-0005-0000-0000-00006C030000}"/>
    <cellStyle name="_f_ô_pldt 2 3" xfId="4132" xr:uid="{00000000-0005-0000-0000-00006D030000}"/>
    <cellStyle name="_f_ô_pldt 2 3 2" xfId="4133" xr:uid="{00000000-0005-0000-0000-00006E030000}"/>
    <cellStyle name="_f_ô_pldt 2 3 3" xfId="4134" xr:uid="{00000000-0005-0000-0000-00006F030000}"/>
    <cellStyle name="_f_ô_pldt 2 4" xfId="4135" xr:uid="{00000000-0005-0000-0000-000070030000}"/>
    <cellStyle name="_f_ô_pldt 2 4 2" xfId="4136" xr:uid="{00000000-0005-0000-0000-000071030000}"/>
    <cellStyle name="_f_ô_pldt 2 5" xfId="4137" xr:uid="{00000000-0005-0000-0000-000072030000}"/>
    <cellStyle name="_f_ô_pldt 2 5 2" xfId="4138" xr:uid="{00000000-0005-0000-0000-000073030000}"/>
    <cellStyle name="_f_ô_pldt 2 6" xfId="4139" xr:uid="{00000000-0005-0000-0000-000074030000}"/>
    <cellStyle name="_f_ô_pldt 2 7" xfId="4140" xr:uid="{00000000-0005-0000-0000-000075030000}"/>
    <cellStyle name="_f_ô_pldt 2 8" xfId="4141" xr:uid="{00000000-0005-0000-0000-000076030000}"/>
    <cellStyle name="_f_ô_pldt 2 9" xfId="4142" xr:uid="{00000000-0005-0000-0000-000077030000}"/>
    <cellStyle name="_f_ô_pldt 20" xfId="4143" xr:uid="{00000000-0005-0000-0000-000078030000}"/>
    <cellStyle name="_f_ô_pldt 21" xfId="4144" xr:uid="{00000000-0005-0000-0000-000079030000}"/>
    <cellStyle name="_f_ô_pldt 22" xfId="4145" xr:uid="{00000000-0005-0000-0000-00007A030000}"/>
    <cellStyle name="_f_ô_pldt 23" xfId="4146" xr:uid="{00000000-0005-0000-0000-00007B030000}"/>
    <cellStyle name="_f_ô_pldt 24" xfId="4147" xr:uid="{00000000-0005-0000-0000-00007C030000}"/>
    <cellStyle name="_f_ô_pldt 3" xfId="4148" xr:uid="{00000000-0005-0000-0000-00007D030000}"/>
    <cellStyle name="_f_ô_pldt 3 2" xfId="4149" xr:uid="{00000000-0005-0000-0000-00007E030000}"/>
    <cellStyle name="_f_ô_pldt 3 2 2" xfId="4150" xr:uid="{00000000-0005-0000-0000-00007F030000}"/>
    <cellStyle name="_f_ô_pldt 3 2 3" xfId="4151" xr:uid="{00000000-0005-0000-0000-000080030000}"/>
    <cellStyle name="_f_ô_pldt 3 2 4" xfId="4152" xr:uid="{00000000-0005-0000-0000-000081030000}"/>
    <cellStyle name="_f_ô_pldt 3 3" xfId="4153" xr:uid="{00000000-0005-0000-0000-000082030000}"/>
    <cellStyle name="_f_ô_pldt 3 4" xfId="4154" xr:uid="{00000000-0005-0000-0000-000083030000}"/>
    <cellStyle name="_f_ô_pldt 3 5" xfId="4155" xr:uid="{00000000-0005-0000-0000-000084030000}"/>
    <cellStyle name="_f_ô_pldt 4" xfId="4156" xr:uid="{00000000-0005-0000-0000-000085030000}"/>
    <cellStyle name="_f_ô_pldt 4 2" xfId="4157" xr:uid="{00000000-0005-0000-0000-000086030000}"/>
    <cellStyle name="_f_ô_pldt 4 2 2" xfId="4158" xr:uid="{00000000-0005-0000-0000-000087030000}"/>
    <cellStyle name="_f_ô_pldt 4 2 3" xfId="4159" xr:uid="{00000000-0005-0000-0000-000088030000}"/>
    <cellStyle name="_f_ô_pldt 4 2 4" xfId="4160" xr:uid="{00000000-0005-0000-0000-000089030000}"/>
    <cellStyle name="_f_ô_pldt 4 3" xfId="4161" xr:uid="{00000000-0005-0000-0000-00008A030000}"/>
    <cellStyle name="_f_ô_pldt 4 4" xfId="4162" xr:uid="{00000000-0005-0000-0000-00008B030000}"/>
    <cellStyle name="_f_ô_pldt 5" xfId="4163" xr:uid="{00000000-0005-0000-0000-00008C030000}"/>
    <cellStyle name="_f_ô_pldt 5 2" xfId="4164" xr:uid="{00000000-0005-0000-0000-00008D030000}"/>
    <cellStyle name="_f_ô_pldt 5 2 2" xfId="4165" xr:uid="{00000000-0005-0000-0000-00008E030000}"/>
    <cellStyle name="_f_ô_pldt 5 2 3" xfId="4166" xr:uid="{00000000-0005-0000-0000-00008F030000}"/>
    <cellStyle name="_f_ô_pldt 5 3" xfId="4167" xr:uid="{00000000-0005-0000-0000-000090030000}"/>
    <cellStyle name="_f_ô_pldt 5 4" xfId="4168" xr:uid="{00000000-0005-0000-0000-000091030000}"/>
    <cellStyle name="_f_ô_pldt 5 5" xfId="4169" xr:uid="{00000000-0005-0000-0000-000092030000}"/>
    <cellStyle name="_f_ô_pldt 6" xfId="4170" xr:uid="{00000000-0005-0000-0000-000093030000}"/>
    <cellStyle name="_f_ô_pldt 6 2" xfId="4171" xr:uid="{00000000-0005-0000-0000-000094030000}"/>
    <cellStyle name="_f_ô_pldt 6 2 2" xfId="4172" xr:uid="{00000000-0005-0000-0000-000095030000}"/>
    <cellStyle name="_f_ô_pldt 6 2 3" xfId="4173" xr:uid="{00000000-0005-0000-0000-000096030000}"/>
    <cellStyle name="_f_ô_pldt 6 3" xfId="4174" xr:uid="{00000000-0005-0000-0000-000097030000}"/>
    <cellStyle name="_f_ô_pldt 6 4" xfId="4175" xr:uid="{00000000-0005-0000-0000-000098030000}"/>
    <cellStyle name="_f_ô_pldt 6 5" xfId="4176" xr:uid="{00000000-0005-0000-0000-000099030000}"/>
    <cellStyle name="_f_ô_pldt 7" xfId="4177" xr:uid="{00000000-0005-0000-0000-00009A030000}"/>
    <cellStyle name="_f_ô_pldt 7 2" xfId="4178" xr:uid="{00000000-0005-0000-0000-00009B030000}"/>
    <cellStyle name="_f_ô_pldt 7 3" xfId="4179" xr:uid="{00000000-0005-0000-0000-00009C030000}"/>
    <cellStyle name="_f_ô_pldt 7 4" xfId="4180" xr:uid="{00000000-0005-0000-0000-00009D030000}"/>
    <cellStyle name="_f_ô_pldt 8" xfId="4181" xr:uid="{00000000-0005-0000-0000-00009E030000}"/>
    <cellStyle name="_f_ô_pldt 8 2" xfId="4182" xr:uid="{00000000-0005-0000-0000-00009F030000}"/>
    <cellStyle name="_f_ô_pldt 8 3" xfId="4183" xr:uid="{00000000-0005-0000-0000-0000A0030000}"/>
    <cellStyle name="_f_ô_pldt 8 4" xfId="4184" xr:uid="{00000000-0005-0000-0000-0000A1030000}"/>
    <cellStyle name="_f_ô_pldt 9" xfId="4185" xr:uid="{00000000-0005-0000-0000-0000A2030000}"/>
    <cellStyle name="_f_ô_pldt 9 2" xfId="4186" xr:uid="{00000000-0005-0000-0000-0000A3030000}"/>
    <cellStyle name="_f_ô_pldt 9 3" xfId="4187" xr:uid="{00000000-0005-0000-0000-0000A4030000}"/>
    <cellStyle name="_f_ô_pldt 9 4" xfId="4188" xr:uid="{00000000-0005-0000-0000-0000A5030000}"/>
    <cellStyle name="_Heading" xfId="869" xr:uid="{00000000-0005-0000-0000-0000A6030000}"/>
    <cellStyle name="_Heading_Assumptions_SALE" xfId="870" xr:uid="{00000000-0005-0000-0000-0000A7030000}"/>
    <cellStyle name="_Heading_Assumptions_SALE 2" xfId="871" xr:uid="{00000000-0005-0000-0000-0000A8030000}"/>
    <cellStyle name="_Heading_Assumptions_SALE_110609-AbyRenni" xfId="872" xr:uid="{00000000-0005-0000-0000-0000A9030000}"/>
    <cellStyle name="_Heading_Assumptions_SALE_116th condo" xfId="873" xr:uid="{00000000-0005-0000-0000-0000AA030000}"/>
    <cellStyle name="_Heading_Assumptions_SALE_116th market condo 02.23.11" xfId="874" xr:uid="{00000000-0005-0000-0000-0000AB030000}"/>
    <cellStyle name="_Heading_Assumptions_SALE_116th market condo 12.27" xfId="875" xr:uid="{00000000-0005-0000-0000-0000AC030000}"/>
    <cellStyle name="_Heading_Assumptions_SALE_116th market condo nmtc 03.16.11" xfId="876" xr:uid="{00000000-0005-0000-0000-0000AD030000}"/>
    <cellStyle name="_Heading_Assumptions_SALE_116th market rental 12.27" xfId="877" xr:uid="{00000000-0005-0000-0000-0000AE030000}"/>
    <cellStyle name="_Heading_Assumptions_SALE_120403-Utica-3rd Flr Gym" xfId="878" xr:uid="{00000000-0005-0000-0000-0000AF030000}"/>
    <cellStyle name="_Heading_Assumptions_SALE_120507 Dyckman Base Case" xfId="879" xr:uid="{00000000-0005-0000-0000-0000B0030000}"/>
    <cellStyle name="_Heading_Assumptions_SALE_120510 80-20 Dyckmanlg" xfId="880" xr:uid="{00000000-0005-0000-0000-0000B1030000}"/>
    <cellStyle name="_Heading_Assumptions_SALE_120604 - Utica NMTC" xfId="881" xr:uid="{00000000-0005-0000-0000-0000B2030000}"/>
    <cellStyle name="_Heading_Assumptions_SALE_120612 - Utica NMTC" xfId="882" xr:uid="{00000000-0005-0000-0000-0000B3030000}"/>
    <cellStyle name="_Heading_Assumptions_SALE_120620 - Utica NMTC" xfId="883" xr:uid="{00000000-0005-0000-0000-0000B4030000}"/>
    <cellStyle name="_Heading_Assumptions_SALE_120807 Standard Budget" xfId="884" xr:uid="{00000000-0005-0000-0000-0000B5030000}"/>
    <cellStyle name="_Heading_Assumptions_SALE_130205- 280 Franklin" xfId="885" xr:uid="{00000000-0005-0000-0000-0000B6030000}"/>
    <cellStyle name="_Heading_Assumptions_SALE_250 Utica 4.7.11" xfId="886" xr:uid="{00000000-0005-0000-0000-0000B7030000}"/>
    <cellStyle name="_Heading_Assumptions_SALE_Dev Budget" xfId="887" xr:uid="{00000000-0005-0000-0000-0000B8030000}"/>
    <cellStyle name="_Heading_Assumptions_SALE_Harlem 116th-117th 11 22 11" xfId="888" xr:uid="{00000000-0005-0000-0000-0000B9030000}"/>
    <cellStyle name="_Heading_Assumptions_SALE_Harlem 116th-117th 11 7 11" xfId="889" xr:uid="{00000000-0005-0000-0000-0000BA030000}"/>
    <cellStyle name="_Heading_Assumptions_SALE_Harlem 116th-117th 12-27-11" xfId="890" xr:uid="{00000000-0005-0000-0000-0000BB030000}"/>
    <cellStyle name="_Heading_Assumptions_SALE_Harlem 116th-117th 12-27-11 v2" xfId="891" xr:uid="{00000000-0005-0000-0000-0000BC030000}"/>
    <cellStyle name="_Heading_Assumptions_SALE_Harlem 116th-117th 3-12-12" xfId="892" xr:uid="{00000000-0005-0000-0000-0000BD030000}"/>
    <cellStyle name="_Heading_Assumptions_SALE_Harlem 116th-117th 4.8.11" xfId="893" xr:uid="{00000000-0005-0000-0000-0000BE030000}"/>
    <cellStyle name="_Heading_Assumptions_SALE_Harlem 116th-117th 4.8.11 v1" xfId="894" xr:uid="{00000000-0005-0000-0000-0000BF030000}"/>
    <cellStyle name="_Heading_Assumptions_SALE_Harlem 116th-117th 4-10-12" xfId="895" xr:uid="{00000000-0005-0000-0000-0000C0030000}"/>
    <cellStyle name="_Heading_Assumptions_SALE_Harlem 116th-117th 5-22-12" xfId="896" xr:uid="{00000000-0005-0000-0000-0000C1030000}"/>
    <cellStyle name="_Heading_Assumptions_SALE_Harlem 116th-117th 5-25-12 v1" xfId="897" xr:uid="{00000000-0005-0000-0000-0000C2030000}"/>
    <cellStyle name="_Heading_Assumptions_SALE_Harlem 116th-117th 5-3-12" xfId="898" xr:uid="{00000000-0005-0000-0000-0000C3030000}"/>
    <cellStyle name="_Heading_Assumptions_SALE_Harlem 116th-117th 6.16.11 v1" xfId="899" xr:uid="{00000000-0005-0000-0000-0000C4030000}"/>
    <cellStyle name="_Heading_Assumptions_SALE_Harlem 116th-117th 6.20.11 v1" xfId="900" xr:uid="{00000000-0005-0000-0000-0000C5030000}"/>
    <cellStyle name="_Heading_Assumptions_SALE_Harlem 116th-117th 6-1-12-js" xfId="901" xr:uid="{00000000-0005-0000-0000-0000C6030000}"/>
    <cellStyle name="_Heading_Assumptions_SALE_Harlem 116th-117th 6-4-12" xfId="902" xr:uid="{00000000-0005-0000-0000-0000C7030000}"/>
    <cellStyle name="_Heading_Assumptions_SALE_Harlem 116th-117th 6-4-12 -JS ACQUISITION CLOSING TAB" xfId="903" xr:uid="{00000000-0005-0000-0000-0000C8030000}"/>
    <cellStyle name="_Heading_Assumptions_SALE_Harlem 116th-117th 6-5-12 v1" xfId="904" xr:uid="{00000000-0005-0000-0000-0000C9030000}"/>
    <cellStyle name="_Heading_Assumptions_SALE_Harlem 116th-117th 7.7.11_condo 116 with updated TC tabs" xfId="905" xr:uid="{00000000-0005-0000-0000-0000CA030000}"/>
    <cellStyle name="_Heading_Assumptions_SALE_Harlem 116th-117th 8 22 11_all rental" xfId="906" xr:uid="{00000000-0005-0000-0000-0000CB030000}"/>
    <cellStyle name="_Heading_Assumptions_SALE_HCR Source Budget" xfId="907" xr:uid="{00000000-0005-0000-0000-0000CC030000}"/>
    <cellStyle name="_Heading_Assumptions_SALE_HRP-1951 Park - NORTH" xfId="908" xr:uid="{00000000-0005-0000-0000-0000CD030000}"/>
    <cellStyle name="_Heading_Assumptions_SALE_LIC 03.01.11" xfId="909" xr:uid="{00000000-0005-0000-0000-0000CE030000}"/>
    <cellStyle name="_Heading_Assumptions_SALE_LIC Pearson 07-07-11" xfId="910" xr:uid="{00000000-0005-0000-0000-0000CF030000}"/>
    <cellStyle name="_Heading_Assumptions_SALE_LIC Pearson 12-27-11" xfId="911" xr:uid="{00000000-0005-0000-0000-0000D0030000}"/>
    <cellStyle name="_Heading_Assumptions_SALE_LIC Pearson April 2012-d" xfId="912" xr:uid="{00000000-0005-0000-0000-0000D1030000}"/>
    <cellStyle name="_Heading_Assumptions_SALE_M&amp;O" xfId="913" xr:uid="{00000000-0005-0000-0000-0000D2030000}"/>
    <cellStyle name="_Heading_Assumptions_SALE_NSP Trois 02.24.11" xfId="914" xr:uid="{00000000-0005-0000-0000-0000D3030000}"/>
    <cellStyle name="_Heading_Assumptions_SALE_NSP Trois 03.01.11" xfId="915" xr:uid="{00000000-0005-0000-0000-0000D4030000}"/>
    <cellStyle name="_Heading_Assumptions_SALE_Sheet1" xfId="916" xr:uid="{00000000-0005-0000-0000-0000D5030000}"/>
    <cellStyle name="_Heading_Assumptions_SALE_Summary" xfId="917" xr:uid="{00000000-0005-0000-0000-0000D6030000}"/>
    <cellStyle name="_Heading_Model 09" xfId="918" xr:uid="{00000000-0005-0000-0000-0000D7030000}"/>
    <cellStyle name="_Heading_Model Short Form2" xfId="919" xr:uid="{00000000-0005-0000-0000-0000D8030000}"/>
    <cellStyle name="_Heading_Model Short Form2 2" xfId="920" xr:uid="{00000000-0005-0000-0000-0000D9030000}"/>
    <cellStyle name="_Heading_Model Short Form2_110609-AbyRenni" xfId="921" xr:uid="{00000000-0005-0000-0000-0000DA030000}"/>
    <cellStyle name="_Heading_Model Short Form2_116th condo" xfId="922" xr:uid="{00000000-0005-0000-0000-0000DB030000}"/>
    <cellStyle name="_Heading_Model Short Form2_116th market condo 02.23.11" xfId="923" xr:uid="{00000000-0005-0000-0000-0000DC030000}"/>
    <cellStyle name="_Heading_Model Short Form2_116th market condo 12.27" xfId="924" xr:uid="{00000000-0005-0000-0000-0000DD030000}"/>
    <cellStyle name="_Heading_Model Short Form2_116th market condo nmtc 03.16.11" xfId="925" xr:uid="{00000000-0005-0000-0000-0000DE030000}"/>
    <cellStyle name="_Heading_Model Short Form2_116th market rental 12.27" xfId="926" xr:uid="{00000000-0005-0000-0000-0000DF030000}"/>
    <cellStyle name="_Heading_Model Short Form2_120403-Utica-3rd Flr Gym" xfId="927" xr:uid="{00000000-0005-0000-0000-0000E0030000}"/>
    <cellStyle name="_Heading_Model Short Form2_120507 Dyckman Base Case" xfId="928" xr:uid="{00000000-0005-0000-0000-0000E1030000}"/>
    <cellStyle name="_Heading_Model Short Form2_120510 80-20 Dyckmanlg" xfId="929" xr:uid="{00000000-0005-0000-0000-0000E2030000}"/>
    <cellStyle name="_Heading_Model Short Form2_120604 - Utica NMTC" xfId="930" xr:uid="{00000000-0005-0000-0000-0000E3030000}"/>
    <cellStyle name="_Heading_Model Short Form2_120612 - Utica NMTC" xfId="931" xr:uid="{00000000-0005-0000-0000-0000E4030000}"/>
    <cellStyle name="_Heading_Model Short Form2_120620 - Utica NMTC" xfId="932" xr:uid="{00000000-0005-0000-0000-0000E5030000}"/>
    <cellStyle name="_Heading_Model Short Form2_120807 Standard Budget" xfId="933" xr:uid="{00000000-0005-0000-0000-0000E6030000}"/>
    <cellStyle name="_Heading_Model Short Form2_130205- 280 Franklin" xfId="934" xr:uid="{00000000-0005-0000-0000-0000E7030000}"/>
    <cellStyle name="_Heading_Model Short Form2_250 Utica 4.7.11" xfId="935" xr:uid="{00000000-0005-0000-0000-0000E8030000}"/>
    <cellStyle name="_Heading_Model Short Form2_Dev Budget" xfId="936" xr:uid="{00000000-0005-0000-0000-0000E9030000}"/>
    <cellStyle name="_Heading_Model Short Form2_Harlem 116th-117th 11 22 11" xfId="937" xr:uid="{00000000-0005-0000-0000-0000EA030000}"/>
    <cellStyle name="_Heading_Model Short Form2_Harlem 116th-117th 11 7 11" xfId="938" xr:uid="{00000000-0005-0000-0000-0000EB030000}"/>
    <cellStyle name="_Heading_Model Short Form2_Harlem 116th-117th 12-27-11" xfId="939" xr:uid="{00000000-0005-0000-0000-0000EC030000}"/>
    <cellStyle name="_Heading_Model Short Form2_Harlem 116th-117th 12-27-11 v2" xfId="940" xr:uid="{00000000-0005-0000-0000-0000ED030000}"/>
    <cellStyle name="_Heading_Model Short Form2_Harlem 116th-117th 3-12-12" xfId="941" xr:uid="{00000000-0005-0000-0000-0000EE030000}"/>
    <cellStyle name="_Heading_Model Short Form2_Harlem 116th-117th 4.8.11" xfId="942" xr:uid="{00000000-0005-0000-0000-0000EF030000}"/>
    <cellStyle name="_Heading_Model Short Form2_Harlem 116th-117th 4.8.11 v1" xfId="943" xr:uid="{00000000-0005-0000-0000-0000F0030000}"/>
    <cellStyle name="_Heading_Model Short Form2_Harlem 116th-117th 4-10-12" xfId="944" xr:uid="{00000000-0005-0000-0000-0000F1030000}"/>
    <cellStyle name="_Heading_Model Short Form2_Harlem 116th-117th 5-22-12" xfId="945" xr:uid="{00000000-0005-0000-0000-0000F2030000}"/>
    <cellStyle name="_Heading_Model Short Form2_Harlem 116th-117th 5-25-12 v1" xfId="946" xr:uid="{00000000-0005-0000-0000-0000F3030000}"/>
    <cellStyle name="_Heading_Model Short Form2_Harlem 116th-117th 5-3-12" xfId="947" xr:uid="{00000000-0005-0000-0000-0000F4030000}"/>
    <cellStyle name="_Heading_Model Short Form2_Harlem 116th-117th 6.16.11 v1" xfId="948" xr:uid="{00000000-0005-0000-0000-0000F5030000}"/>
    <cellStyle name="_Heading_Model Short Form2_Harlem 116th-117th 6.20.11 v1" xfId="949" xr:uid="{00000000-0005-0000-0000-0000F6030000}"/>
    <cellStyle name="_Heading_Model Short Form2_Harlem 116th-117th 6-1-12-js" xfId="950" xr:uid="{00000000-0005-0000-0000-0000F7030000}"/>
    <cellStyle name="_Heading_Model Short Form2_Harlem 116th-117th 6-4-12" xfId="951" xr:uid="{00000000-0005-0000-0000-0000F8030000}"/>
    <cellStyle name="_Heading_Model Short Form2_Harlem 116th-117th 6-4-12 -JS ACQUISITION CLOSING TAB" xfId="952" xr:uid="{00000000-0005-0000-0000-0000F9030000}"/>
    <cellStyle name="_Heading_Model Short Form2_Harlem 116th-117th 6-5-12 v1" xfId="953" xr:uid="{00000000-0005-0000-0000-0000FA030000}"/>
    <cellStyle name="_Heading_Model Short Form2_Harlem 116th-117th 7.7.11_condo 116 with updated TC tabs" xfId="954" xr:uid="{00000000-0005-0000-0000-0000FB030000}"/>
    <cellStyle name="_Heading_Model Short Form2_Harlem 116th-117th 8 22 11_all rental" xfId="955" xr:uid="{00000000-0005-0000-0000-0000FC030000}"/>
    <cellStyle name="_Heading_Model Short Form2_HCR Source Budget" xfId="956" xr:uid="{00000000-0005-0000-0000-0000FD030000}"/>
    <cellStyle name="_Heading_Model Short Form2_HRP-1951 Park - NORTH" xfId="957" xr:uid="{00000000-0005-0000-0000-0000FE030000}"/>
    <cellStyle name="_Heading_Model Short Form2_LIC 03.01.11" xfId="958" xr:uid="{00000000-0005-0000-0000-0000FF030000}"/>
    <cellStyle name="_Heading_Model Short Form2_LIC Pearson 07-07-11" xfId="959" xr:uid="{00000000-0005-0000-0000-000000040000}"/>
    <cellStyle name="_Heading_Model Short Form2_LIC Pearson 12-27-11" xfId="960" xr:uid="{00000000-0005-0000-0000-000001040000}"/>
    <cellStyle name="_Heading_Model Short Form2_LIC Pearson April 2012-d" xfId="961" xr:uid="{00000000-0005-0000-0000-000002040000}"/>
    <cellStyle name="_Heading_Model Short Form2_M&amp;O" xfId="962" xr:uid="{00000000-0005-0000-0000-000003040000}"/>
    <cellStyle name="_Heading_Model Short Form2_NSP Trois 02.24.11" xfId="963" xr:uid="{00000000-0005-0000-0000-000004040000}"/>
    <cellStyle name="_Heading_Model Short Form2_NSP Trois 03.01.11" xfId="964" xr:uid="{00000000-0005-0000-0000-000005040000}"/>
    <cellStyle name="_Heading_Model Short Form2_Sheet1" xfId="965" xr:uid="{00000000-0005-0000-0000-000006040000}"/>
    <cellStyle name="_Heading_Model Short Form2_Summary" xfId="966" xr:uid="{00000000-0005-0000-0000-000007040000}"/>
    <cellStyle name="_Heading_prestemp" xfId="967" xr:uid="{00000000-0005-0000-0000-000008040000}"/>
    <cellStyle name="_Heading_rent vs. own analysis" xfId="968" xr:uid="{00000000-0005-0000-0000-000009040000}"/>
    <cellStyle name="_Heading_Union CIty" xfId="969" xr:uid="{00000000-0005-0000-0000-00000A040000}"/>
    <cellStyle name="_Headline" xfId="970" xr:uid="{00000000-0005-0000-0000-00000B040000}"/>
    <cellStyle name="_Highlight" xfId="971" xr:uid="{00000000-0005-0000-0000-00000C040000}"/>
    <cellStyle name="_Highlight 2" xfId="972" xr:uid="{00000000-0005-0000-0000-00000D040000}"/>
    <cellStyle name="_Highlight 2 2" xfId="973" xr:uid="{00000000-0005-0000-0000-00000E040000}"/>
    <cellStyle name="_Highlight 2 2 2" xfId="974" xr:uid="{00000000-0005-0000-0000-00000F040000}"/>
    <cellStyle name="_Highlight 2 3" xfId="975" xr:uid="{00000000-0005-0000-0000-000010040000}"/>
    <cellStyle name="_Highlight 3" xfId="5442" xr:uid="{00000000-0005-0000-0000-000011040000}"/>
    <cellStyle name="_Multiple" xfId="976" xr:uid="{00000000-0005-0000-0000-000012040000}"/>
    <cellStyle name="_Multiple 10" xfId="977" xr:uid="{00000000-0005-0000-0000-000013040000}"/>
    <cellStyle name="_Multiple 10 2" xfId="978" xr:uid="{00000000-0005-0000-0000-000014040000}"/>
    <cellStyle name="_Multiple 11" xfId="5444" xr:uid="{00000000-0005-0000-0000-000015040000}"/>
    <cellStyle name="_Multiple 2" xfId="979" xr:uid="{00000000-0005-0000-0000-000016040000}"/>
    <cellStyle name="_Multiple 2 2" xfId="980" xr:uid="{00000000-0005-0000-0000-000017040000}"/>
    <cellStyle name="_Multiple 3" xfId="981" xr:uid="{00000000-0005-0000-0000-000018040000}"/>
    <cellStyle name="_Multiple 3 2" xfId="982" xr:uid="{00000000-0005-0000-0000-000019040000}"/>
    <cellStyle name="_Multiple 3 2 2" xfId="983" xr:uid="{00000000-0005-0000-0000-00001A040000}"/>
    <cellStyle name="_Multiple 3 3" xfId="984" xr:uid="{00000000-0005-0000-0000-00001B040000}"/>
    <cellStyle name="_Multiple 4" xfId="985" xr:uid="{00000000-0005-0000-0000-00001C040000}"/>
    <cellStyle name="_Multiple 4 2" xfId="986" xr:uid="{00000000-0005-0000-0000-00001D040000}"/>
    <cellStyle name="_Multiple 5" xfId="987" xr:uid="{00000000-0005-0000-0000-00001E040000}"/>
    <cellStyle name="_Multiple 5 2" xfId="988" xr:uid="{00000000-0005-0000-0000-00001F040000}"/>
    <cellStyle name="_Multiple 6" xfId="989" xr:uid="{00000000-0005-0000-0000-000020040000}"/>
    <cellStyle name="_Multiple 6 2" xfId="990" xr:uid="{00000000-0005-0000-0000-000021040000}"/>
    <cellStyle name="_Multiple 7" xfId="991" xr:uid="{00000000-0005-0000-0000-000022040000}"/>
    <cellStyle name="_Multiple 7 2" xfId="992" xr:uid="{00000000-0005-0000-0000-000023040000}"/>
    <cellStyle name="_Multiple 8" xfId="993" xr:uid="{00000000-0005-0000-0000-000024040000}"/>
    <cellStyle name="_Multiple 8 2" xfId="994" xr:uid="{00000000-0005-0000-0000-000025040000}"/>
    <cellStyle name="_Multiple 9" xfId="995" xr:uid="{00000000-0005-0000-0000-000026040000}"/>
    <cellStyle name="_Multiple 9 2" xfId="996" xr:uid="{00000000-0005-0000-0000-000027040000}"/>
    <cellStyle name="_Multiple_Assumptions" xfId="997" xr:uid="{00000000-0005-0000-0000-000028040000}"/>
    <cellStyle name="_Multiple_Assumptions 2" xfId="998" xr:uid="{00000000-0005-0000-0000-000029040000}"/>
    <cellStyle name="_Multiple_AVP" xfId="999" xr:uid="{00000000-0005-0000-0000-00002A040000}"/>
    <cellStyle name="_Multiple_AVP 2" xfId="1000" xr:uid="{00000000-0005-0000-0000-00002B040000}"/>
    <cellStyle name="_Multiple_AVP 2 2" xfId="1001" xr:uid="{00000000-0005-0000-0000-00002C040000}"/>
    <cellStyle name="_Multiple_AVP 2 2 2" xfId="1002" xr:uid="{00000000-0005-0000-0000-00002D040000}"/>
    <cellStyle name="_Multiple_AVP 2 3" xfId="1003" xr:uid="{00000000-0005-0000-0000-00002E040000}"/>
    <cellStyle name="_Multiple_AVP 3" xfId="1004" xr:uid="{00000000-0005-0000-0000-00002F040000}"/>
    <cellStyle name="_Multiple_Balance Sheet" xfId="1005" xr:uid="{00000000-0005-0000-0000-000030040000}"/>
    <cellStyle name="_Multiple_Bolt Financials and Comps" xfId="1006" xr:uid="{00000000-0005-0000-0000-000031040000}"/>
    <cellStyle name="_Multiple_Bolt Financials and Comps 2" xfId="1007" xr:uid="{00000000-0005-0000-0000-000032040000}"/>
    <cellStyle name="_Multiple_Bolt Financials and Comps 2 2" xfId="1008" xr:uid="{00000000-0005-0000-0000-000033040000}"/>
    <cellStyle name="_Multiple_Bolt Financials and Comps 2 2 2" xfId="1009" xr:uid="{00000000-0005-0000-0000-000034040000}"/>
    <cellStyle name="_Multiple_Bolt Financials and Comps 2 3" xfId="1010" xr:uid="{00000000-0005-0000-0000-000035040000}"/>
    <cellStyle name="_Multiple_Bolt Financials and Comps 3" xfId="1011" xr:uid="{00000000-0005-0000-0000-000036040000}"/>
    <cellStyle name="_Multiple_Book1" xfId="1012" xr:uid="{00000000-0005-0000-0000-000037040000}"/>
    <cellStyle name="_Multiple_Book1 2" xfId="1013" xr:uid="{00000000-0005-0000-0000-000038040000}"/>
    <cellStyle name="_Multiple_Book1 2 2" xfId="1014" xr:uid="{00000000-0005-0000-0000-000039040000}"/>
    <cellStyle name="_Multiple_Book1 2 2 2" xfId="1015" xr:uid="{00000000-0005-0000-0000-00003A040000}"/>
    <cellStyle name="_Multiple_Book1 2 3" xfId="1016" xr:uid="{00000000-0005-0000-0000-00003B040000}"/>
    <cellStyle name="_Multiple_Book1 3" xfId="1017" xr:uid="{00000000-0005-0000-0000-00003C040000}"/>
    <cellStyle name="_Multiple_Book1_1" xfId="1018" xr:uid="{00000000-0005-0000-0000-00003D040000}"/>
    <cellStyle name="_Multiple_Book1_1 2" xfId="1019" xr:uid="{00000000-0005-0000-0000-00003E040000}"/>
    <cellStyle name="_Multiple_Book1_1 2 2" xfId="1020" xr:uid="{00000000-0005-0000-0000-00003F040000}"/>
    <cellStyle name="_Multiple_Book1_1 2 2 2" xfId="1021" xr:uid="{00000000-0005-0000-0000-000040040000}"/>
    <cellStyle name="_Multiple_Book1_1 2 3" xfId="1022" xr:uid="{00000000-0005-0000-0000-000041040000}"/>
    <cellStyle name="_Multiple_Book1_1 3" xfId="1023" xr:uid="{00000000-0005-0000-0000-000042040000}"/>
    <cellStyle name="_Multiple_contribution_analysis" xfId="1024" xr:uid="{00000000-0005-0000-0000-000043040000}"/>
    <cellStyle name="_Multiple_Criteria" xfId="1025" xr:uid="{00000000-0005-0000-0000-000044040000}"/>
    <cellStyle name="_Multiple_Data Tape" xfId="1026" xr:uid="{00000000-0005-0000-0000-000045040000}"/>
    <cellStyle name="_Multiple_Data_Tape" xfId="1027" xr:uid="{00000000-0005-0000-0000-000046040000}"/>
    <cellStyle name="_Multiple_DB_Eye" xfId="1028" xr:uid="{00000000-0005-0000-0000-000047040000}"/>
    <cellStyle name="_Multiple_EyeChart" xfId="1029" xr:uid="{00000000-0005-0000-0000-000048040000}"/>
    <cellStyle name="_Multiple_EyeChart 090503" xfId="1030" xr:uid="{00000000-0005-0000-0000-000049040000}"/>
    <cellStyle name="_Multiple_Input" xfId="1031" xr:uid="{00000000-0005-0000-0000-00004A040000}"/>
    <cellStyle name="_Multiple_Input_1" xfId="1032" xr:uid="{00000000-0005-0000-0000-00004B040000}"/>
    <cellStyle name="_Multiple_Pools" xfId="1033" xr:uid="{00000000-0005-0000-0000-00004C040000}"/>
    <cellStyle name="_Multiple_Pricing" xfId="1034" xr:uid="{00000000-0005-0000-0000-00004D040000}"/>
    <cellStyle name="_Multiple_Senario Input Assumptions" xfId="1035" xr:uid="{00000000-0005-0000-0000-00004E040000}"/>
    <cellStyle name="_Multiple_Sheet1" xfId="1036" xr:uid="{00000000-0005-0000-0000-00004F040000}"/>
    <cellStyle name="_Multiple_Sheet1_Balance Sheet" xfId="1037" xr:uid="{00000000-0005-0000-0000-000050040000}"/>
    <cellStyle name="_Multiple_Sheet1_Criteria" xfId="1038" xr:uid="{00000000-0005-0000-0000-000051040000}"/>
    <cellStyle name="_Multiple_Sheet1_Data Tape" xfId="1039" xr:uid="{00000000-0005-0000-0000-000052040000}"/>
    <cellStyle name="_Multiple_Sheet1_Data_Tape" xfId="1040" xr:uid="{00000000-0005-0000-0000-000053040000}"/>
    <cellStyle name="_Multiple_Sheet1_Input" xfId="1041" xr:uid="{00000000-0005-0000-0000-000054040000}"/>
    <cellStyle name="_Multiple_Sheet1_Pools" xfId="1042" xr:uid="{00000000-0005-0000-0000-000055040000}"/>
    <cellStyle name="_Multiple_Sheet1_Senario Input Assumptions" xfId="1043" xr:uid="{00000000-0005-0000-0000-000056040000}"/>
    <cellStyle name="_Multiple_Sheet1_Structure Model_2003_test2" xfId="1044" xr:uid="{00000000-0005-0000-0000-000057040000}"/>
    <cellStyle name="_Multiple_Sheet2" xfId="1045" xr:uid="{00000000-0005-0000-0000-000058040000}"/>
    <cellStyle name="_Multiple_Sheet3" xfId="1046" xr:uid="{00000000-0005-0000-0000-000059040000}"/>
    <cellStyle name="_Multiple_Sheet4" xfId="1047" xr:uid="{00000000-0005-0000-0000-00005A040000}"/>
    <cellStyle name="_Multiple_Structure Model_2003_test2" xfId="1048" xr:uid="{00000000-0005-0000-0000-00005B040000}"/>
    <cellStyle name="_MultipleSpace" xfId="1049" xr:uid="{00000000-0005-0000-0000-00005C040000}"/>
    <cellStyle name="_MultipleSpace 2" xfId="1050" xr:uid="{00000000-0005-0000-0000-00005D040000}"/>
    <cellStyle name="_MultipleSpace 2 2" xfId="1051" xr:uid="{00000000-0005-0000-0000-00005E040000}"/>
    <cellStyle name="_MultipleSpace 2 2 2" xfId="1052" xr:uid="{00000000-0005-0000-0000-00005F040000}"/>
    <cellStyle name="_MultipleSpace 2 3" xfId="1053" xr:uid="{00000000-0005-0000-0000-000060040000}"/>
    <cellStyle name="_MultipleSpace 3" xfId="5352" xr:uid="{00000000-0005-0000-0000-000061040000}"/>
    <cellStyle name="_MultipleSpace_Assumptions" xfId="1054" xr:uid="{00000000-0005-0000-0000-000062040000}"/>
    <cellStyle name="_MultipleSpace_Assumptions 2" xfId="1055" xr:uid="{00000000-0005-0000-0000-000063040000}"/>
    <cellStyle name="_MultipleSpace_AVP" xfId="1056" xr:uid="{00000000-0005-0000-0000-000064040000}"/>
    <cellStyle name="_MultipleSpace_AVP 2" xfId="1057" xr:uid="{00000000-0005-0000-0000-000065040000}"/>
    <cellStyle name="_MultipleSpace_AVP 2 2" xfId="1058" xr:uid="{00000000-0005-0000-0000-000066040000}"/>
    <cellStyle name="_MultipleSpace_AVP 2 2 2" xfId="1059" xr:uid="{00000000-0005-0000-0000-000067040000}"/>
    <cellStyle name="_MultipleSpace_AVP 2 3" xfId="1060" xr:uid="{00000000-0005-0000-0000-000068040000}"/>
    <cellStyle name="_MultipleSpace_AVP 3" xfId="1061" xr:uid="{00000000-0005-0000-0000-000069040000}"/>
    <cellStyle name="_MultipleSpace_Bolt Financials and Comps" xfId="1062" xr:uid="{00000000-0005-0000-0000-00006A040000}"/>
    <cellStyle name="_MultipleSpace_Bolt Financials and Comps 2" xfId="1063" xr:uid="{00000000-0005-0000-0000-00006B040000}"/>
    <cellStyle name="_MultipleSpace_Bolt Financials and Comps 2 2" xfId="1064" xr:uid="{00000000-0005-0000-0000-00006C040000}"/>
    <cellStyle name="_MultipleSpace_Bolt Financials and Comps 2 2 2" xfId="1065" xr:uid="{00000000-0005-0000-0000-00006D040000}"/>
    <cellStyle name="_MultipleSpace_Bolt Financials and Comps 2 3" xfId="1066" xr:uid="{00000000-0005-0000-0000-00006E040000}"/>
    <cellStyle name="_MultipleSpace_Bolt Financials and Comps 3" xfId="1067" xr:uid="{00000000-0005-0000-0000-00006F040000}"/>
    <cellStyle name="_MultipleSpace_Book1" xfId="1068" xr:uid="{00000000-0005-0000-0000-000070040000}"/>
    <cellStyle name="_MultipleSpace_Book1 2" xfId="1069" xr:uid="{00000000-0005-0000-0000-000071040000}"/>
    <cellStyle name="_MultipleSpace_Book1 2 2" xfId="1070" xr:uid="{00000000-0005-0000-0000-000072040000}"/>
    <cellStyle name="_MultipleSpace_Book1 2 2 2" xfId="1071" xr:uid="{00000000-0005-0000-0000-000073040000}"/>
    <cellStyle name="_MultipleSpace_Book1 2 3" xfId="1072" xr:uid="{00000000-0005-0000-0000-000074040000}"/>
    <cellStyle name="_MultipleSpace_Book1 3" xfId="1073" xr:uid="{00000000-0005-0000-0000-000075040000}"/>
    <cellStyle name="_MultipleSpace_Book1_1" xfId="1074" xr:uid="{00000000-0005-0000-0000-000076040000}"/>
    <cellStyle name="_MultipleSpace_Book1_1 2" xfId="1075" xr:uid="{00000000-0005-0000-0000-000077040000}"/>
    <cellStyle name="_MultipleSpace_Book1_1 2 2" xfId="1076" xr:uid="{00000000-0005-0000-0000-000078040000}"/>
    <cellStyle name="_MultipleSpace_Book1_1 2 2 2" xfId="1077" xr:uid="{00000000-0005-0000-0000-000079040000}"/>
    <cellStyle name="_MultipleSpace_Book1_1 2 3" xfId="1078" xr:uid="{00000000-0005-0000-0000-00007A040000}"/>
    <cellStyle name="_MultipleSpace_Book1_1 3" xfId="1079" xr:uid="{00000000-0005-0000-0000-00007B040000}"/>
    <cellStyle name="_MultipleSpace_contribution_analysis" xfId="1080" xr:uid="{00000000-0005-0000-0000-00007C040000}"/>
    <cellStyle name="_MultipleSpace_DB_Eye" xfId="1081" xr:uid="{00000000-0005-0000-0000-00007D040000}"/>
    <cellStyle name="_MultipleSpace_EyeChart" xfId="1082" xr:uid="{00000000-0005-0000-0000-00007E040000}"/>
    <cellStyle name="_MultipleSpace_EyeChart 090503" xfId="1083" xr:uid="{00000000-0005-0000-0000-00007F040000}"/>
    <cellStyle name="_MultipleSpace_Input" xfId="1084" xr:uid="{00000000-0005-0000-0000-000080040000}"/>
    <cellStyle name="_MultipleSpace_Input_1" xfId="1085" xr:uid="{00000000-0005-0000-0000-000081040000}"/>
    <cellStyle name="_MultipleSpace_Pricing" xfId="1086" xr:uid="{00000000-0005-0000-0000-000082040000}"/>
    <cellStyle name="_MultipleSpace_Sheet2" xfId="1087" xr:uid="{00000000-0005-0000-0000-000083040000}"/>
    <cellStyle name="_MultipleSpace_Sheet4" xfId="1088" xr:uid="{00000000-0005-0000-0000-000084040000}"/>
    <cellStyle name="_Percent" xfId="1089" xr:uid="{00000000-0005-0000-0000-000085040000}"/>
    <cellStyle name="_Percent 2" xfId="1090" xr:uid="{00000000-0005-0000-0000-000086040000}"/>
    <cellStyle name="_Percent 2 2" xfId="1091" xr:uid="{00000000-0005-0000-0000-000087040000}"/>
    <cellStyle name="_Percent 2 2 2" xfId="1092" xr:uid="{00000000-0005-0000-0000-000088040000}"/>
    <cellStyle name="_Percent 2 3" xfId="1093" xr:uid="{00000000-0005-0000-0000-000089040000}"/>
    <cellStyle name="_Percent 3" xfId="1094" xr:uid="{00000000-0005-0000-0000-00008A040000}"/>
    <cellStyle name="_Percent_AVP" xfId="1095" xr:uid="{00000000-0005-0000-0000-00008B040000}"/>
    <cellStyle name="_Percent_AVP 2" xfId="1096" xr:uid="{00000000-0005-0000-0000-00008C040000}"/>
    <cellStyle name="_Percent_AVP 2 2" xfId="1097" xr:uid="{00000000-0005-0000-0000-00008D040000}"/>
    <cellStyle name="_Percent_AVP 2 2 2" xfId="1098" xr:uid="{00000000-0005-0000-0000-00008E040000}"/>
    <cellStyle name="_Percent_AVP 2 3" xfId="1099" xr:uid="{00000000-0005-0000-0000-00008F040000}"/>
    <cellStyle name="_Percent_AVP 3" xfId="1100" xr:uid="{00000000-0005-0000-0000-000090040000}"/>
    <cellStyle name="_Percent_Book1" xfId="1101" xr:uid="{00000000-0005-0000-0000-000091040000}"/>
    <cellStyle name="_Percent_Book1 2" xfId="1102" xr:uid="{00000000-0005-0000-0000-000092040000}"/>
    <cellStyle name="_Percent_Book1 2 2" xfId="1103" xr:uid="{00000000-0005-0000-0000-000093040000}"/>
    <cellStyle name="_Percent_Book1 2 2 2" xfId="1104" xr:uid="{00000000-0005-0000-0000-000094040000}"/>
    <cellStyle name="_Percent_Book1 2 3" xfId="1105" xr:uid="{00000000-0005-0000-0000-000095040000}"/>
    <cellStyle name="_Percent_Book1 3" xfId="1106" xr:uid="{00000000-0005-0000-0000-000096040000}"/>
    <cellStyle name="_Percent_contribution_analysis" xfId="1107" xr:uid="{00000000-0005-0000-0000-000097040000}"/>
    <cellStyle name="_PercentSpace" xfId="1108" xr:uid="{00000000-0005-0000-0000-000098040000}"/>
    <cellStyle name="_PercentSpace 2" xfId="1109" xr:uid="{00000000-0005-0000-0000-000099040000}"/>
    <cellStyle name="_PercentSpace 2 2" xfId="1110" xr:uid="{00000000-0005-0000-0000-00009A040000}"/>
    <cellStyle name="_PercentSpace 2 2 2" xfId="1111" xr:uid="{00000000-0005-0000-0000-00009B040000}"/>
    <cellStyle name="_PercentSpace 2 3" xfId="1112" xr:uid="{00000000-0005-0000-0000-00009C040000}"/>
    <cellStyle name="_PercentSpace 3" xfId="1113" xr:uid="{00000000-0005-0000-0000-00009D040000}"/>
    <cellStyle name="_PercentSpace_AVP" xfId="1114" xr:uid="{00000000-0005-0000-0000-00009E040000}"/>
    <cellStyle name="_PercentSpace_AVP 2" xfId="1115" xr:uid="{00000000-0005-0000-0000-00009F040000}"/>
    <cellStyle name="_PercentSpace_AVP 2 2" xfId="1116" xr:uid="{00000000-0005-0000-0000-0000A0040000}"/>
    <cellStyle name="_PercentSpace_AVP 2 2 2" xfId="1117" xr:uid="{00000000-0005-0000-0000-0000A1040000}"/>
    <cellStyle name="_PercentSpace_AVP 2 3" xfId="1118" xr:uid="{00000000-0005-0000-0000-0000A2040000}"/>
    <cellStyle name="_PercentSpace_AVP 3" xfId="1119" xr:uid="{00000000-0005-0000-0000-0000A3040000}"/>
    <cellStyle name="_PercentSpace_Book1" xfId="1120" xr:uid="{00000000-0005-0000-0000-0000A4040000}"/>
    <cellStyle name="_PercentSpace_Book1 2" xfId="1121" xr:uid="{00000000-0005-0000-0000-0000A5040000}"/>
    <cellStyle name="_PercentSpace_Book1 2 2" xfId="1122" xr:uid="{00000000-0005-0000-0000-0000A6040000}"/>
    <cellStyle name="_PercentSpace_Book1 2 2 2" xfId="1123" xr:uid="{00000000-0005-0000-0000-0000A7040000}"/>
    <cellStyle name="_PercentSpace_Book1 2 3" xfId="1124" xr:uid="{00000000-0005-0000-0000-0000A8040000}"/>
    <cellStyle name="_PercentSpace_Book1 3" xfId="1125" xr:uid="{00000000-0005-0000-0000-0000A9040000}"/>
    <cellStyle name="_PercentSpace_contribution_analysis" xfId="1126" xr:uid="{00000000-0005-0000-0000-0000AA040000}"/>
    <cellStyle name="_SubHeading" xfId="1127" xr:uid="{00000000-0005-0000-0000-0000AB040000}"/>
    <cellStyle name="_SubHeading_09 Bolt Financial Performance" xfId="1128" xr:uid="{00000000-0005-0000-0000-0000AC040000}"/>
    <cellStyle name="_SubHeading_Assumptions_SALE" xfId="1129" xr:uid="{00000000-0005-0000-0000-0000AD040000}"/>
    <cellStyle name="_SubHeading_Assumptions_SALE 2" xfId="1130" xr:uid="{00000000-0005-0000-0000-0000AE040000}"/>
    <cellStyle name="_SubHeading_Assumptions_SALE_110609-AbyRenni" xfId="1131" xr:uid="{00000000-0005-0000-0000-0000AF040000}"/>
    <cellStyle name="_SubHeading_Assumptions_SALE_116th condo" xfId="1132" xr:uid="{00000000-0005-0000-0000-0000B0040000}"/>
    <cellStyle name="_SubHeading_Assumptions_SALE_116th market condo 02.23.11" xfId="1133" xr:uid="{00000000-0005-0000-0000-0000B1040000}"/>
    <cellStyle name="_SubHeading_Assumptions_SALE_116th market condo 12.27" xfId="1134" xr:uid="{00000000-0005-0000-0000-0000B2040000}"/>
    <cellStyle name="_SubHeading_Assumptions_SALE_116th market condo nmtc 03.16.11" xfId="1135" xr:uid="{00000000-0005-0000-0000-0000B3040000}"/>
    <cellStyle name="_SubHeading_Assumptions_SALE_116th market rental 12.27" xfId="1136" xr:uid="{00000000-0005-0000-0000-0000B4040000}"/>
    <cellStyle name="_SubHeading_Assumptions_SALE_120403-Utica-3rd Flr Gym" xfId="1137" xr:uid="{00000000-0005-0000-0000-0000B5040000}"/>
    <cellStyle name="_SubHeading_Assumptions_SALE_120507 Dyckman Base Case" xfId="1138" xr:uid="{00000000-0005-0000-0000-0000B6040000}"/>
    <cellStyle name="_SubHeading_Assumptions_SALE_120510 80-20 Dyckmanlg" xfId="1139" xr:uid="{00000000-0005-0000-0000-0000B7040000}"/>
    <cellStyle name="_SubHeading_Assumptions_SALE_120604 - Utica NMTC" xfId="1140" xr:uid="{00000000-0005-0000-0000-0000B8040000}"/>
    <cellStyle name="_SubHeading_Assumptions_SALE_120612 - Utica NMTC" xfId="1141" xr:uid="{00000000-0005-0000-0000-0000B9040000}"/>
    <cellStyle name="_SubHeading_Assumptions_SALE_120620 - Utica NMTC" xfId="1142" xr:uid="{00000000-0005-0000-0000-0000BA040000}"/>
    <cellStyle name="_SubHeading_Assumptions_SALE_120807 Standard Budget" xfId="1143" xr:uid="{00000000-0005-0000-0000-0000BB040000}"/>
    <cellStyle name="_SubHeading_Assumptions_SALE_130205- 280 Franklin" xfId="1144" xr:uid="{00000000-0005-0000-0000-0000BC040000}"/>
    <cellStyle name="_SubHeading_Assumptions_SALE_250 Utica 4.7.11" xfId="1145" xr:uid="{00000000-0005-0000-0000-0000BD040000}"/>
    <cellStyle name="_SubHeading_Assumptions_SALE_Dev Budget" xfId="1146" xr:uid="{00000000-0005-0000-0000-0000BE040000}"/>
    <cellStyle name="_SubHeading_Assumptions_SALE_Harlem 116th-117th 11 22 11" xfId="1147" xr:uid="{00000000-0005-0000-0000-0000BF040000}"/>
    <cellStyle name="_SubHeading_Assumptions_SALE_Harlem 116th-117th 11 7 11" xfId="1148" xr:uid="{00000000-0005-0000-0000-0000C0040000}"/>
    <cellStyle name="_SubHeading_Assumptions_SALE_Harlem 116th-117th 12-27-11" xfId="1149" xr:uid="{00000000-0005-0000-0000-0000C1040000}"/>
    <cellStyle name="_SubHeading_Assumptions_SALE_Harlem 116th-117th 12-27-11 v2" xfId="1150" xr:uid="{00000000-0005-0000-0000-0000C2040000}"/>
    <cellStyle name="_SubHeading_Assumptions_SALE_Harlem 116th-117th 3-12-12" xfId="1151" xr:uid="{00000000-0005-0000-0000-0000C3040000}"/>
    <cellStyle name="_SubHeading_Assumptions_SALE_Harlem 116th-117th 4.8.11" xfId="1152" xr:uid="{00000000-0005-0000-0000-0000C4040000}"/>
    <cellStyle name="_SubHeading_Assumptions_SALE_Harlem 116th-117th 4.8.11 v1" xfId="1153" xr:uid="{00000000-0005-0000-0000-0000C5040000}"/>
    <cellStyle name="_SubHeading_Assumptions_SALE_Harlem 116th-117th 4-10-12" xfId="1154" xr:uid="{00000000-0005-0000-0000-0000C6040000}"/>
    <cellStyle name="_SubHeading_Assumptions_SALE_Harlem 116th-117th 5-22-12" xfId="1155" xr:uid="{00000000-0005-0000-0000-0000C7040000}"/>
    <cellStyle name="_SubHeading_Assumptions_SALE_Harlem 116th-117th 5-25-12 v1" xfId="1156" xr:uid="{00000000-0005-0000-0000-0000C8040000}"/>
    <cellStyle name="_SubHeading_Assumptions_SALE_Harlem 116th-117th 5-3-12" xfId="1157" xr:uid="{00000000-0005-0000-0000-0000C9040000}"/>
    <cellStyle name="_SubHeading_Assumptions_SALE_Harlem 116th-117th 6.16.11 v1" xfId="1158" xr:uid="{00000000-0005-0000-0000-0000CA040000}"/>
    <cellStyle name="_SubHeading_Assumptions_SALE_Harlem 116th-117th 6.20.11 v1" xfId="1159" xr:uid="{00000000-0005-0000-0000-0000CB040000}"/>
    <cellStyle name="_SubHeading_Assumptions_SALE_Harlem 116th-117th 6-1-12-js" xfId="1160" xr:uid="{00000000-0005-0000-0000-0000CC040000}"/>
    <cellStyle name="_SubHeading_Assumptions_SALE_Harlem 116th-117th 6-4-12" xfId="1161" xr:uid="{00000000-0005-0000-0000-0000CD040000}"/>
    <cellStyle name="_SubHeading_Assumptions_SALE_Harlem 116th-117th 6-4-12 -JS ACQUISITION CLOSING TAB" xfId="1162" xr:uid="{00000000-0005-0000-0000-0000CE040000}"/>
    <cellStyle name="_SubHeading_Assumptions_SALE_Harlem 116th-117th 6-5-12 v1" xfId="1163" xr:uid="{00000000-0005-0000-0000-0000CF040000}"/>
    <cellStyle name="_SubHeading_Assumptions_SALE_Harlem 116th-117th 7.7.11_condo 116 with updated TC tabs" xfId="1164" xr:uid="{00000000-0005-0000-0000-0000D0040000}"/>
    <cellStyle name="_SubHeading_Assumptions_SALE_Harlem 116th-117th 8 22 11_all rental" xfId="1165" xr:uid="{00000000-0005-0000-0000-0000D1040000}"/>
    <cellStyle name="_SubHeading_Assumptions_SALE_HCR Source Budget" xfId="1166" xr:uid="{00000000-0005-0000-0000-0000D2040000}"/>
    <cellStyle name="_SubHeading_Assumptions_SALE_HRP-1951 Park - NORTH" xfId="1167" xr:uid="{00000000-0005-0000-0000-0000D3040000}"/>
    <cellStyle name="_SubHeading_Assumptions_SALE_LIC 03.01.11" xfId="1168" xr:uid="{00000000-0005-0000-0000-0000D4040000}"/>
    <cellStyle name="_SubHeading_Assumptions_SALE_LIC Pearson 07-07-11" xfId="1169" xr:uid="{00000000-0005-0000-0000-0000D5040000}"/>
    <cellStyle name="_SubHeading_Assumptions_SALE_LIC Pearson 12-27-11" xfId="1170" xr:uid="{00000000-0005-0000-0000-0000D6040000}"/>
    <cellStyle name="_SubHeading_Assumptions_SALE_LIC Pearson April 2012-d" xfId="1171" xr:uid="{00000000-0005-0000-0000-0000D7040000}"/>
    <cellStyle name="_SubHeading_Assumptions_SALE_M&amp;O" xfId="1172" xr:uid="{00000000-0005-0000-0000-0000D8040000}"/>
    <cellStyle name="_SubHeading_Assumptions_SALE_NSP Trois 02.24.11" xfId="1173" xr:uid="{00000000-0005-0000-0000-0000D9040000}"/>
    <cellStyle name="_SubHeading_Assumptions_SALE_NSP Trois 03.01.11" xfId="1174" xr:uid="{00000000-0005-0000-0000-0000DA040000}"/>
    <cellStyle name="_SubHeading_Assumptions_SALE_Sheet1" xfId="1175" xr:uid="{00000000-0005-0000-0000-0000DB040000}"/>
    <cellStyle name="_SubHeading_Assumptions_SALE_Summary" xfId="1176" xr:uid="{00000000-0005-0000-0000-0000DC040000}"/>
    <cellStyle name="_SubHeading_Bolt Financial Performance" xfId="1177" xr:uid="{00000000-0005-0000-0000-0000DD040000}"/>
    <cellStyle name="_SubHeading_Merger Plans v 2" xfId="1178" xr:uid="{00000000-0005-0000-0000-0000DE040000}"/>
    <cellStyle name="_SubHeading_Merger Plans v03" xfId="1179" xr:uid="{00000000-0005-0000-0000-0000DF040000}"/>
    <cellStyle name="_SubHeading_Model 09" xfId="1180" xr:uid="{00000000-0005-0000-0000-0000E0040000}"/>
    <cellStyle name="_SubHeading_Model Short Form2" xfId="1181" xr:uid="{00000000-0005-0000-0000-0000E1040000}"/>
    <cellStyle name="_SubHeading_Model Short Form2 2" xfId="1182" xr:uid="{00000000-0005-0000-0000-0000E2040000}"/>
    <cellStyle name="_SubHeading_Model Short Form2_110609-AbyRenni" xfId="1183" xr:uid="{00000000-0005-0000-0000-0000E3040000}"/>
    <cellStyle name="_SubHeading_Model Short Form2_116th condo" xfId="1184" xr:uid="{00000000-0005-0000-0000-0000E4040000}"/>
    <cellStyle name="_SubHeading_Model Short Form2_116th market condo 02.23.11" xfId="1185" xr:uid="{00000000-0005-0000-0000-0000E5040000}"/>
    <cellStyle name="_SubHeading_Model Short Form2_116th market condo 12.27" xfId="1186" xr:uid="{00000000-0005-0000-0000-0000E6040000}"/>
    <cellStyle name="_SubHeading_Model Short Form2_116th market condo nmtc 03.16.11" xfId="1187" xr:uid="{00000000-0005-0000-0000-0000E7040000}"/>
    <cellStyle name="_SubHeading_Model Short Form2_116th market rental 12.27" xfId="1188" xr:uid="{00000000-0005-0000-0000-0000E8040000}"/>
    <cellStyle name="_SubHeading_Model Short Form2_120403-Utica-3rd Flr Gym" xfId="1189" xr:uid="{00000000-0005-0000-0000-0000E9040000}"/>
    <cellStyle name="_SubHeading_Model Short Form2_120507 Dyckman Base Case" xfId="1190" xr:uid="{00000000-0005-0000-0000-0000EA040000}"/>
    <cellStyle name="_SubHeading_Model Short Form2_120510 80-20 Dyckmanlg" xfId="1191" xr:uid="{00000000-0005-0000-0000-0000EB040000}"/>
    <cellStyle name="_SubHeading_Model Short Form2_120604 - Utica NMTC" xfId="1192" xr:uid="{00000000-0005-0000-0000-0000EC040000}"/>
    <cellStyle name="_SubHeading_Model Short Form2_120612 - Utica NMTC" xfId="1193" xr:uid="{00000000-0005-0000-0000-0000ED040000}"/>
    <cellStyle name="_SubHeading_Model Short Form2_120620 - Utica NMTC" xfId="1194" xr:uid="{00000000-0005-0000-0000-0000EE040000}"/>
    <cellStyle name="_SubHeading_Model Short Form2_120807 Standard Budget" xfId="1195" xr:uid="{00000000-0005-0000-0000-0000EF040000}"/>
    <cellStyle name="_SubHeading_Model Short Form2_130205- 280 Franklin" xfId="1196" xr:uid="{00000000-0005-0000-0000-0000F0040000}"/>
    <cellStyle name="_SubHeading_Model Short Form2_250 Utica 4.7.11" xfId="1197" xr:uid="{00000000-0005-0000-0000-0000F1040000}"/>
    <cellStyle name="_SubHeading_Model Short Form2_Dev Budget" xfId="1198" xr:uid="{00000000-0005-0000-0000-0000F2040000}"/>
    <cellStyle name="_SubHeading_Model Short Form2_Harlem 116th-117th 11 22 11" xfId="1199" xr:uid="{00000000-0005-0000-0000-0000F3040000}"/>
    <cellStyle name="_SubHeading_Model Short Form2_Harlem 116th-117th 11 7 11" xfId="1200" xr:uid="{00000000-0005-0000-0000-0000F4040000}"/>
    <cellStyle name="_SubHeading_Model Short Form2_Harlem 116th-117th 12-27-11" xfId="1201" xr:uid="{00000000-0005-0000-0000-0000F5040000}"/>
    <cellStyle name="_SubHeading_Model Short Form2_Harlem 116th-117th 12-27-11 v2" xfId="1202" xr:uid="{00000000-0005-0000-0000-0000F6040000}"/>
    <cellStyle name="_SubHeading_Model Short Form2_Harlem 116th-117th 3-12-12" xfId="1203" xr:uid="{00000000-0005-0000-0000-0000F7040000}"/>
    <cellStyle name="_SubHeading_Model Short Form2_Harlem 116th-117th 4.8.11" xfId="1204" xr:uid="{00000000-0005-0000-0000-0000F8040000}"/>
    <cellStyle name="_SubHeading_Model Short Form2_Harlem 116th-117th 4.8.11 v1" xfId="1205" xr:uid="{00000000-0005-0000-0000-0000F9040000}"/>
    <cellStyle name="_SubHeading_Model Short Form2_Harlem 116th-117th 4-10-12" xfId="1206" xr:uid="{00000000-0005-0000-0000-0000FA040000}"/>
    <cellStyle name="_SubHeading_Model Short Form2_Harlem 116th-117th 5-22-12" xfId="1207" xr:uid="{00000000-0005-0000-0000-0000FB040000}"/>
    <cellStyle name="_SubHeading_Model Short Form2_Harlem 116th-117th 5-25-12 v1" xfId="1208" xr:uid="{00000000-0005-0000-0000-0000FC040000}"/>
    <cellStyle name="_SubHeading_Model Short Form2_Harlem 116th-117th 5-3-12" xfId="1209" xr:uid="{00000000-0005-0000-0000-0000FD040000}"/>
    <cellStyle name="_SubHeading_Model Short Form2_Harlem 116th-117th 6.16.11 v1" xfId="1210" xr:uid="{00000000-0005-0000-0000-0000FE040000}"/>
    <cellStyle name="_SubHeading_Model Short Form2_Harlem 116th-117th 6.20.11 v1" xfId="1211" xr:uid="{00000000-0005-0000-0000-0000FF040000}"/>
    <cellStyle name="_SubHeading_Model Short Form2_Harlem 116th-117th 6-1-12-js" xfId="1212" xr:uid="{00000000-0005-0000-0000-000000050000}"/>
    <cellStyle name="_SubHeading_Model Short Form2_Harlem 116th-117th 6-4-12" xfId="1213" xr:uid="{00000000-0005-0000-0000-000001050000}"/>
    <cellStyle name="_SubHeading_Model Short Form2_Harlem 116th-117th 6-4-12 -JS ACQUISITION CLOSING TAB" xfId="1214" xr:uid="{00000000-0005-0000-0000-000002050000}"/>
    <cellStyle name="_SubHeading_Model Short Form2_Harlem 116th-117th 6-5-12 v1" xfId="1215" xr:uid="{00000000-0005-0000-0000-000003050000}"/>
    <cellStyle name="_SubHeading_Model Short Form2_Harlem 116th-117th 7.7.11_condo 116 with updated TC tabs" xfId="1216" xr:uid="{00000000-0005-0000-0000-000004050000}"/>
    <cellStyle name="_SubHeading_Model Short Form2_Harlem 116th-117th 8 22 11_all rental" xfId="1217" xr:uid="{00000000-0005-0000-0000-000005050000}"/>
    <cellStyle name="_SubHeading_Model Short Form2_HCR Source Budget" xfId="1218" xr:uid="{00000000-0005-0000-0000-000006050000}"/>
    <cellStyle name="_SubHeading_Model Short Form2_HRP-1951 Park - NORTH" xfId="1219" xr:uid="{00000000-0005-0000-0000-000007050000}"/>
    <cellStyle name="_SubHeading_Model Short Form2_LIC 03.01.11" xfId="1220" xr:uid="{00000000-0005-0000-0000-000008050000}"/>
    <cellStyle name="_SubHeading_Model Short Form2_LIC Pearson 07-07-11" xfId="1221" xr:uid="{00000000-0005-0000-0000-000009050000}"/>
    <cellStyle name="_SubHeading_Model Short Form2_LIC Pearson 12-27-11" xfId="1222" xr:uid="{00000000-0005-0000-0000-00000A050000}"/>
    <cellStyle name="_SubHeading_Model Short Form2_LIC Pearson April 2012-d" xfId="1223" xr:uid="{00000000-0005-0000-0000-00000B050000}"/>
    <cellStyle name="_SubHeading_Model Short Form2_M&amp;O" xfId="1224" xr:uid="{00000000-0005-0000-0000-00000C050000}"/>
    <cellStyle name="_SubHeading_Model Short Form2_NSP Trois 02.24.11" xfId="1225" xr:uid="{00000000-0005-0000-0000-00000D050000}"/>
    <cellStyle name="_SubHeading_Model Short Form2_NSP Trois 03.01.11" xfId="1226" xr:uid="{00000000-0005-0000-0000-00000E050000}"/>
    <cellStyle name="_SubHeading_Model Short Form2_Sheet1" xfId="1227" xr:uid="{00000000-0005-0000-0000-00000F050000}"/>
    <cellStyle name="_SubHeading_Model Short Form2_Summary" xfId="1228" xr:uid="{00000000-0005-0000-0000-000010050000}"/>
    <cellStyle name="_SubHeading_prestemp" xfId="1229" xr:uid="{00000000-0005-0000-0000-000011050000}"/>
    <cellStyle name="_SubHeading_rent vs. own analysis" xfId="1230" xr:uid="{00000000-0005-0000-0000-000012050000}"/>
    <cellStyle name="_SubHeading_Union CIty" xfId="1231" xr:uid="{00000000-0005-0000-0000-000013050000}"/>
    <cellStyle name="_SubHeading_WMB - Power Merger Plans v01" xfId="1232" xr:uid="{00000000-0005-0000-0000-000014050000}"/>
    <cellStyle name="_Table" xfId="1233" xr:uid="{00000000-0005-0000-0000-000015050000}"/>
    <cellStyle name="_Table 2" xfId="5448" xr:uid="{00000000-0005-0000-0000-000016050000}"/>
    <cellStyle name="_Table_09 Bolt Financial Performance" xfId="1234" xr:uid="{00000000-0005-0000-0000-000017050000}"/>
    <cellStyle name="_Table_Assumptions" xfId="1235" xr:uid="{00000000-0005-0000-0000-000018050000}"/>
    <cellStyle name="_Table_Assumptions_SALE" xfId="1236" xr:uid="{00000000-0005-0000-0000-000019050000}"/>
    <cellStyle name="_Table_Assumptions_SALE 2" xfId="1237" xr:uid="{00000000-0005-0000-0000-00001A050000}"/>
    <cellStyle name="_Table_Assumptions_SALE_110609-AbyRenni" xfId="1238" xr:uid="{00000000-0005-0000-0000-00001B050000}"/>
    <cellStyle name="_Table_Assumptions_SALE_116th condo" xfId="1239" xr:uid="{00000000-0005-0000-0000-00001C050000}"/>
    <cellStyle name="_Table_Assumptions_SALE_116th market condo 02.23.11" xfId="1240" xr:uid="{00000000-0005-0000-0000-00001D050000}"/>
    <cellStyle name="_Table_Assumptions_SALE_116th market condo 12.27" xfId="1241" xr:uid="{00000000-0005-0000-0000-00001E050000}"/>
    <cellStyle name="_Table_Assumptions_SALE_116th market condo nmtc 03.16.11" xfId="1242" xr:uid="{00000000-0005-0000-0000-00001F050000}"/>
    <cellStyle name="_Table_Assumptions_SALE_116th market rental 12.27" xfId="1243" xr:uid="{00000000-0005-0000-0000-000020050000}"/>
    <cellStyle name="_Table_Assumptions_SALE_120403-Utica-3rd Flr Gym" xfId="1244" xr:uid="{00000000-0005-0000-0000-000021050000}"/>
    <cellStyle name="_Table_Assumptions_SALE_120507 Dyckman Base Case" xfId="1245" xr:uid="{00000000-0005-0000-0000-000022050000}"/>
    <cellStyle name="_Table_Assumptions_SALE_120510 80-20 Dyckmanlg" xfId="1246" xr:uid="{00000000-0005-0000-0000-000023050000}"/>
    <cellStyle name="_Table_Assumptions_SALE_120604 - Utica NMTC" xfId="1247" xr:uid="{00000000-0005-0000-0000-000024050000}"/>
    <cellStyle name="_Table_Assumptions_SALE_120612 - Utica NMTC" xfId="1248" xr:uid="{00000000-0005-0000-0000-000025050000}"/>
    <cellStyle name="_Table_Assumptions_SALE_120620 - Utica NMTC" xfId="1249" xr:uid="{00000000-0005-0000-0000-000026050000}"/>
    <cellStyle name="_Table_Assumptions_SALE_120807 Standard Budget" xfId="1250" xr:uid="{00000000-0005-0000-0000-000027050000}"/>
    <cellStyle name="_Table_Assumptions_SALE_130205- 280 Franklin" xfId="1251" xr:uid="{00000000-0005-0000-0000-000028050000}"/>
    <cellStyle name="_Table_Assumptions_SALE_250 Utica 4.7.11" xfId="1252" xr:uid="{00000000-0005-0000-0000-000029050000}"/>
    <cellStyle name="_Table_Assumptions_SALE_Dev Budget" xfId="1253" xr:uid="{00000000-0005-0000-0000-00002A050000}"/>
    <cellStyle name="_Table_Assumptions_SALE_Harlem 116th-117th 11 22 11" xfId="1254" xr:uid="{00000000-0005-0000-0000-00002B050000}"/>
    <cellStyle name="_Table_Assumptions_SALE_Harlem 116th-117th 11 7 11" xfId="1255" xr:uid="{00000000-0005-0000-0000-00002C050000}"/>
    <cellStyle name="_Table_Assumptions_SALE_Harlem 116th-117th 12-27-11" xfId="1256" xr:uid="{00000000-0005-0000-0000-00002D050000}"/>
    <cellStyle name="_Table_Assumptions_SALE_Harlem 116th-117th 12-27-11 v2" xfId="1257" xr:uid="{00000000-0005-0000-0000-00002E050000}"/>
    <cellStyle name="_Table_Assumptions_SALE_Harlem 116th-117th 3-12-12" xfId="1258" xr:uid="{00000000-0005-0000-0000-00002F050000}"/>
    <cellStyle name="_Table_Assumptions_SALE_Harlem 116th-117th 4.8.11" xfId="1259" xr:uid="{00000000-0005-0000-0000-000030050000}"/>
    <cellStyle name="_Table_Assumptions_SALE_Harlem 116th-117th 4.8.11 v1" xfId="1260" xr:uid="{00000000-0005-0000-0000-000031050000}"/>
    <cellStyle name="_Table_Assumptions_SALE_Harlem 116th-117th 4-10-12" xfId="1261" xr:uid="{00000000-0005-0000-0000-000032050000}"/>
    <cellStyle name="_Table_Assumptions_SALE_Harlem 116th-117th 5-22-12" xfId="1262" xr:uid="{00000000-0005-0000-0000-000033050000}"/>
    <cellStyle name="_Table_Assumptions_SALE_Harlem 116th-117th 5-25-12 v1" xfId="1263" xr:uid="{00000000-0005-0000-0000-000034050000}"/>
    <cellStyle name="_Table_Assumptions_SALE_Harlem 116th-117th 5-3-12" xfId="1264" xr:uid="{00000000-0005-0000-0000-000035050000}"/>
    <cellStyle name="_Table_Assumptions_SALE_Harlem 116th-117th 6.16.11 v1" xfId="1265" xr:uid="{00000000-0005-0000-0000-000036050000}"/>
    <cellStyle name="_Table_Assumptions_SALE_Harlem 116th-117th 6.20.11 v1" xfId="1266" xr:uid="{00000000-0005-0000-0000-000037050000}"/>
    <cellStyle name="_Table_Assumptions_SALE_Harlem 116th-117th 6-1-12-js" xfId="1267" xr:uid="{00000000-0005-0000-0000-000038050000}"/>
    <cellStyle name="_Table_Assumptions_SALE_Harlem 116th-117th 6-4-12" xfId="1268" xr:uid="{00000000-0005-0000-0000-000039050000}"/>
    <cellStyle name="_Table_Assumptions_SALE_Harlem 116th-117th 6-4-12 -JS ACQUISITION CLOSING TAB" xfId="1269" xr:uid="{00000000-0005-0000-0000-00003A050000}"/>
    <cellStyle name="_Table_Assumptions_SALE_Harlem 116th-117th 6-5-12 v1" xfId="1270" xr:uid="{00000000-0005-0000-0000-00003B050000}"/>
    <cellStyle name="_Table_Assumptions_SALE_Harlem 116th-117th 7.7.11_condo 116 with updated TC tabs" xfId="1271" xr:uid="{00000000-0005-0000-0000-00003C050000}"/>
    <cellStyle name="_Table_Assumptions_SALE_Harlem 116th-117th 8 22 11_all rental" xfId="1272" xr:uid="{00000000-0005-0000-0000-00003D050000}"/>
    <cellStyle name="_Table_Assumptions_SALE_HCR Source Budget" xfId="1273" xr:uid="{00000000-0005-0000-0000-00003E050000}"/>
    <cellStyle name="_Table_Assumptions_SALE_HRP-1951 Park - NORTH" xfId="1274" xr:uid="{00000000-0005-0000-0000-00003F050000}"/>
    <cellStyle name="_Table_Assumptions_SALE_LIC 03.01.11" xfId="1275" xr:uid="{00000000-0005-0000-0000-000040050000}"/>
    <cellStyle name="_Table_Assumptions_SALE_LIC Pearson 07-07-11" xfId="1276" xr:uid="{00000000-0005-0000-0000-000041050000}"/>
    <cellStyle name="_Table_Assumptions_SALE_LIC Pearson 12-27-11" xfId="1277" xr:uid="{00000000-0005-0000-0000-000042050000}"/>
    <cellStyle name="_Table_Assumptions_SALE_LIC Pearson April 2012-d" xfId="1278" xr:uid="{00000000-0005-0000-0000-000043050000}"/>
    <cellStyle name="_Table_Assumptions_SALE_M&amp;O" xfId="1279" xr:uid="{00000000-0005-0000-0000-000044050000}"/>
    <cellStyle name="_Table_Assumptions_SALE_NSP Trois 02.24.11" xfId="1280" xr:uid="{00000000-0005-0000-0000-000045050000}"/>
    <cellStyle name="_Table_Assumptions_SALE_NSP Trois 03.01.11" xfId="1281" xr:uid="{00000000-0005-0000-0000-000046050000}"/>
    <cellStyle name="_Table_Assumptions_SALE_Sheet1" xfId="1282" xr:uid="{00000000-0005-0000-0000-000047050000}"/>
    <cellStyle name="_Table_Assumptions_SALE_Summary" xfId="1283" xr:uid="{00000000-0005-0000-0000-000048050000}"/>
    <cellStyle name="_Table_Bolt Financial Performance" xfId="1284" xr:uid="{00000000-0005-0000-0000-000049050000}"/>
    <cellStyle name="_Table_Bolt Financials and Comps" xfId="1285" xr:uid="{00000000-0005-0000-0000-00004A050000}"/>
    <cellStyle name="_Table_Book1" xfId="1286" xr:uid="{00000000-0005-0000-0000-00004B050000}"/>
    <cellStyle name="_Table_Merger Plans v 2" xfId="1287" xr:uid="{00000000-0005-0000-0000-00004C050000}"/>
    <cellStyle name="_Table_Merger Plans v01" xfId="1288" xr:uid="{00000000-0005-0000-0000-00004D050000}"/>
    <cellStyle name="_Table_Merger Plans v03" xfId="1289" xr:uid="{00000000-0005-0000-0000-00004E050000}"/>
    <cellStyle name="_Table_Merger Plans v03 2" xfId="3610" xr:uid="{00000000-0005-0000-0000-00004F050000}"/>
    <cellStyle name="_Table_Merger Plans v03 2 2" xfId="3933" xr:uid="{00000000-0005-0000-0000-000050050000}"/>
    <cellStyle name="_Table_Merger Plans v03 3" xfId="3152" xr:uid="{00000000-0005-0000-0000-000051050000}"/>
    <cellStyle name="_Table_Merger Plans v03 4" xfId="3264" xr:uid="{00000000-0005-0000-0000-000052050000}"/>
    <cellStyle name="_Table_Merger Plans v04" xfId="1290" xr:uid="{00000000-0005-0000-0000-000053050000}"/>
    <cellStyle name="_Table_Merger Plans v04 2" xfId="3611" xr:uid="{00000000-0005-0000-0000-000054050000}"/>
    <cellStyle name="_Table_Merger Plans v04 2 2" xfId="3934" xr:uid="{00000000-0005-0000-0000-000055050000}"/>
    <cellStyle name="_Table_Merger Plans v04 3" xfId="3153" xr:uid="{00000000-0005-0000-0000-000056050000}"/>
    <cellStyle name="_Table_Merger Plans v04 4" xfId="3262" xr:uid="{00000000-0005-0000-0000-000057050000}"/>
    <cellStyle name="_Table_Model 09" xfId="1291" xr:uid="{00000000-0005-0000-0000-000058050000}"/>
    <cellStyle name="_Table_Model Short Form2" xfId="1292" xr:uid="{00000000-0005-0000-0000-000059050000}"/>
    <cellStyle name="_Table_Model Short Form2 2" xfId="1293" xr:uid="{00000000-0005-0000-0000-00005A050000}"/>
    <cellStyle name="_Table_Model Short Form2_110609-AbyRenni" xfId="1294" xr:uid="{00000000-0005-0000-0000-00005B050000}"/>
    <cellStyle name="_Table_Model Short Form2_116th condo" xfId="1295" xr:uid="{00000000-0005-0000-0000-00005C050000}"/>
    <cellStyle name="_Table_Model Short Form2_116th market condo 02.23.11" xfId="1296" xr:uid="{00000000-0005-0000-0000-00005D050000}"/>
    <cellStyle name="_Table_Model Short Form2_116th market condo 12.27" xfId="1297" xr:uid="{00000000-0005-0000-0000-00005E050000}"/>
    <cellStyle name="_Table_Model Short Form2_116th market condo nmtc 03.16.11" xfId="1298" xr:uid="{00000000-0005-0000-0000-00005F050000}"/>
    <cellStyle name="_Table_Model Short Form2_116th market rental 12.27" xfId="1299" xr:uid="{00000000-0005-0000-0000-000060050000}"/>
    <cellStyle name="_Table_Model Short Form2_120403-Utica-3rd Flr Gym" xfId="1300" xr:uid="{00000000-0005-0000-0000-000061050000}"/>
    <cellStyle name="_Table_Model Short Form2_120507 Dyckman Base Case" xfId="1301" xr:uid="{00000000-0005-0000-0000-000062050000}"/>
    <cellStyle name="_Table_Model Short Form2_120510 80-20 Dyckmanlg" xfId="1302" xr:uid="{00000000-0005-0000-0000-000063050000}"/>
    <cellStyle name="_Table_Model Short Form2_120604 - Utica NMTC" xfId="1303" xr:uid="{00000000-0005-0000-0000-000064050000}"/>
    <cellStyle name="_Table_Model Short Form2_120612 - Utica NMTC" xfId="1304" xr:uid="{00000000-0005-0000-0000-000065050000}"/>
    <cellStyle name="_Table_Model Short Form2_120620 - Utica NMTC" xfId="1305" xr:uid="{00000000-0005-0000-0000-000066050000}"/>
    <cellStyle name="_Table_Model Short Form2_120807 Standard Budget" xfId="1306" xr:uid="{00000000-0005-0000-0000-000067050000}"/>
    <cellStyle name="_Table_Model Short Form2_130205- 280 Franklin" xfId="1307" xr:uid="{00000000-0005-0000-0000-000068050000}"/>
    <cellStyle name="_Table_Model Short Form2_250 Utica 4.7.11" xfId="1308" xr:uid="{00000000-0005-0000-0000-000069050000}"/>
    <cellStyle name="_Table_Model Short Form2_Dev Budget" xfId="1309" xr:uid="{00000000-0005-0000-0000-00006A050000}"/>
    <cellStyle name="_Table_Model Short Form2_Harlem 116th-117th 11 22 11" xfId="1310" xr:uid="{00000000-0005-0000-0000-00006B050000}"/>
    <cellStyle name="_Table_Model Short Form2_Harlem 116th-117th 11 7 11" xfId="1311" xr:uid="{00000000-0005-0000-0000-00006C050000}"/>
    <cellStyle name="_Table_Model Short Form2_Harlem 116th-117th 12-27-11" xfId="1312" xr:uid="{00000000-0005-0000-0000-00006D050000}"/>
    <cellStyle name="_Table_Model Short Form2_Harlem 116th-117th 12-27-11 v2" xfId="1313" xr:uid="{00000000-0005-0000-0000-00006E050000}"/>
    <cellStyle name="_Table_Model Short Form2_Harlem 116th-117th 3-12-12" xfId="1314" xr:uid="{00000000-0005-0000-0000-00006F050000}"/>
    <cellStyle name="_Table_Model Short Form2_Harlem 116th-117th 4.8.11" xfId="1315" xr:uid="{00000000-0005-0000-0000-000070050000}"/>
    <cellStyle name="_Table_Model Short Form2_Harlem 116th-117th 4.8.11 v1" xfId="1316" xr:uid="{00000000-0005-0000-0000-000071050000}"/>
    <cellStyle name="_Table_Model Short Form2_Harlem 116th-117th 4-10-12" xfId="1317" xr:uid="{00000000-0005-0000-0000-000072050000}"/>
    <cellStyle name="_Table_Model Short Form2_Harlem 116th-117th 5-22-12" xfId="1318" xr:uid="{00000000-0005-0000-0000-000073050000}"/>
    <cellStyle name="_Table_Model Short Form2_Harlem 116th-117th 5-25-12 v1" xfId="1319" xr:uid="{00000000-0005-0000-0000-000074050000}"/>
    <cellStyle name="_Table_Model Short Form2_Harlem 116th-117th 5-3-12" xfId="1320" xr:uid="{00000000-0005-0000-0000-000075050000}"/>
    <cellStyle name="_Table_Model Short Form2_Harlem 116th-117th 6.16.11 v1" xfId="1321" xr:uid="{00000000-0005-0000-0000-000076050000}"/>
    <cellStyle name="_Table_Model Short Form2_Harlem 116th-117th 6.20.11 v1" xfId="1322" xr:uid="{00000000-0005-0000-0000-000077050000}"/>
    <cellStyle name="_Table_Model Short Form2_Harlem 116th-117th 6-1-12-js" xfId="1323" xr:uid="{00000000-0005-0000-0000-000078050000}"/>
    <cellStyle name="_Table_Model Short Form2_Harlem 116th-117th 6-4-12" xfId="1324" xr:uid="{00000000-0005-0000-0000-000079050000}"/>
    <cellStyle name="_Table_Model Short Form2_Harlem 116th-117th 6-4-12 -JS ACQUISITION CLOSING TAB" xfId="1325" xr:uid="{00000000-0005-0000-0000-00007A050000}"/>
    <cellStyle name="_Table_Model Short Form2_Harlem 116th-117th 6-5-12 v1" xfId="1326" xr:uid="{00000000-0005-0000-0000-00007B050000}"/>
    <cellStyle name="_Table_Model Short Form2_Harlem 116th-117th 7.7.11_condo 116 with updated TC tabs" xfId="1327" xr:uid="{00000000-0005-0000-0000-00007C050000}"/>
    <cellStyle name="_Table_Model Short Form2_Harlem 116th-117th 8 22 11_all rental" xfId="1328" xr:uid="{00000000-0005-0000-0000-00007D050000}"/>
    <cellStyle name="_Table_Model Short Form2_HCR Source Budget" xfId="1329" xr:uid="{00000000-0005-0000-0000-00007E050000}"/>
    <cellStyle name="_Table_Model Short Form2_HRP-1951 Park - NORTH" xfId="1330" xr:uid="{00000000-0005-0000-0000-00007F050000}"/>
    <cellStyle name="_Table_Model Short Form2_LIC 03.01.11" xfId="1331" xr:uid="{00000000-0005-0000-0000-000080050000}"/>
    <cellStyle name="_Table_Model Short Form2_LIC Pearson 07-07-11" xfId="1332" xr:uid="{00000000-0005-0000-0000-000081050000}"/>
    <cellStyle name="_Table_Model Short Form2_LIC Pearson 12-27-11" xfId="1333" xr:uid="{00000000-0005-0000-0000-000082050000}"/>
    <cellStyle name="_Table_Model Short Form2_LIC Pearson April 2012-d" xfId="1334" xr:uid="{00000000-0005-0000-0000-000083050000}"/>
    <cellStyle name="_Table_Model Short Form2_M&amp;O" xfId="1335" xr:uid="{00000000-0005-0000-0000-000084050000}"/>
    <cellStyle name="_Table_Model Short Form2_NSP Trois 02.24.11" xfId="1336" xr:uid="{00000000-0005-0000-0000-000085050000}"/>
    <cellStyle name="_Table_Model Short Form2_NSP Trois 03.01.11" xfId="1337" xr:uid="{00000000-0005-0000-0000-000086050000}"/>
    <cellStyle name="_Table_Model Short Form2_Sheet1" xfId="1338" xr:uid="{00000000-0005-0000-0000-000087050000}"/>
    <cellStyle name="_Table_Model Short Form2_Summary" xfId="1339" xr:uid="{00000000-0005-0000-0000-000088050000}"/>
    <cellStyle name="_Table_rent vs. own analysis" xfId="1340" xr:uid="{00000000-0005-0000-0000-000089050000}"/>
    <cellStyle name="_Table_Union CIty" xfId="1341" xr:uid="{00000000-0005-0000-0000-00008A050000}"/>
    <cellStyle name="_TableHead" xfId="1342" xr:uid="{00000000-0005-0000-0000-00008B050000}"/>
    <cellStyle name="_TableHead 2" xfId="3154" xr:uid="{00000000-0005-0000-0000-00008C050000}"/>
    <cellStyle name="_TableHead_Arena budget (9-9-07)" xfId="5360" xr:uid="{00000000-0005-0000-0000-00008D050000}"/>
    <cellStyle name="_TableHead_Assumptions_SALE" xfId="1343" xr:uid="{00000000-0005-0000-0000-00008E050000}"/>
    <cellStyle name="_TableHead_Assumptions_SALE 2" xfId="1344" xr:uid="{00000000-0005-0000-0000-00008F050000}"/>
    <cellStyle name="_TableHead_Assumptions_SALE 2 2" xfId="3156" xr:uid="{00000000-0005-0000-0000-000090050000}"/>
    <cellStyle name="_TableHead_Assumptions_SALE 3" xfId="3155" xr:uid="{00000000-0005-0000-0000-000091050000}"/>
    <cellStyle name="_TableHead_Assumptions_SALE_110609-AbyRenni" xfId="1345" xr:uid="{00000000-0005-0000-0000-000092050000}"/>
    <cellStyle name="_TableHead_Assumptions_SALE_110609-AbyRenni 2" xfId="3157" xr:uid="{00000000-0005-0000-0000-000093050000}"/>
    <cellStyle name="_TableHead_Assumptions_SALE_116th condo" xfId="1346" xr:uid="{00000000-0005-0000-0000-000094050000}"/>
    <cellStyle name="_TableHead_Assumptions_SALE_116th condo 2" xfId="3158" xr:uid="{00000000-0005-0000-0000-000095050000}"/>
    <cellStyle name="_TableHead_Assumptions_SALE_116th market condo 02.23.11" xfId="1347" xr:uid="{00000000-0005-0000-0000-000096050000}"/>
    <cellStyle name="_TableHead_Assumptions_SALE_116th market condo 02.23.11 2" xfId="3159" xr:uid="{00000000-0005-0000-0000-000097050000}"/>
    <cellStyle name="_TableHead_Assumptions_SALE_116th market condo 12.27" xfId="1348" xr:uid="{00000000-0005-0000-0000-000098050000}"/>
    <cellStyle name="_TableHead_Assumptions_SALE_116th market condo 12.27 2" xfId="3160" xr:uid="{00000000-0005-0000-0000-000099050000}"/>
    <cellStyle name="_TableHead_Assumptions_SALE_116th market condo nmtc 03.16.11" xfId="1349" xr:uid="{00000000-0005-0000-0000-00009A050000}"/>
    <cellStyle name="_TableHead_Assumptions_SALE_116th market condo nmtc 03.16.11 2" xfId="3161" xr:uid="{00000000-0005-0000-0000-00009B050000}"/>
    <cellStyle name="_TableHead_Assumptions_SALE_116th market rental 12.27" xfId="1350" xr:uid="{00000000-0005-0000-0000-00009C050000}"/>
    <cellStyle name="_TableHead_Assumptions_SALE_116th market rental 12.27 2" xfId="3162" xr:uid="{00000000-0005-0000-0000-00009D050000}"/>
    <cellStyle name="_TableHead_Assumptions_SALE_120403-Utica-3rd Flr Gym" xfId="1351" xr:uid="{00000000-0005-0000-0000-00009E050000}"/>
    <cellStyle name="_TableHead_Assumptions_SALE_120403-Utica-3rd Flr Gym 2" xfId="3163" xr:uid="{00000000-0005-0000-0000-00009F050000}"/>
    <cellStyle name="_TableHead_Assumptions_SALE_120507 Dyckman Base Case" xfId="1352" xr:uid="{00000000-0005-0000-0000-0000A0050000}"/>
    <cellStyle name="_TableHead_Assumptions_SALE_120507 Dyckman Base Case 2" xfId="3164" xr:uid="{00000000-0005-0000-0000-0000A1050000}"/>
    <cellStyle name="_TableHead_Assumptions_SALE_120510 80-20 Dyckmanlg" xfId="1353" xr:uid="{00000000-0005-0000-0000-0000A2050000}"/>
    <cellStyle name="_TableHead_Assumptions_SALE_120510 80-20 Dyckmanlg 2" xfId="3165" xr:uid="{00000000-0005-0000-0000-0000A3050000}"/>
    <cellStyle name="_TableHead_Assumptions_SALE_120604 - Utica NMTC" xfId="1354" xr:uid="{00000000-0005-0000-0000-0000A4050000}"/>
    <cellStyle name="_TableHead_Assumptions_SALE_120604 - Utica NMTC 2" xfId="3166" xr:uid="{00000000-0005-0000-0000-0000A5050000}"/>
    <cellStyle name="_TableHead_Assumptions_SALE_120612 - Utica NMTC" xfId="1355" xr:uid="{00000000-0005-0000-0000-0000A6050000}"/>
    <cellStyle name="_TableHead_Assumptions_SALE_120612 - Utica NMTC 2" xfId="3167" xr:uid="{00000000-0005-0000-0000-0000A7050000}"/>
    <cellStyle name="_TableHead_Assumptions_SALE_120620 - Utica NMTC" xfId="1356" xr:uid="{00000000-0005-0000-0000-0000A8050000}"/>
    <cellStyle name="_TableHead_Assumptions_SALE_120620 - Utica NMTC 2" xfId="3168" xr:uid="{00000000-0005-0000-0000-0000A9050000}"/>
    <cellStyle name="_TableHead_Assumptions_SALE_120807 Standard Budget" xfId="1357" xr:uid="{00000000-0005-0000-0000-0000AA050000}"/>
    <cellStyle name="_TableHead_Assumptions_SALE_120807 Standard Budget 2" xfId="3169" xr:uid="{00000000-0005-0000-0000-0000AB050000}"/>
    <cellStyle name="_TableHead_Assumptions_SALE_130205- 280 Franklin" xfId="1358" xr:uid="{00000000-0005-0000-0000-0000AC050000}"/>
    <cellStyle name="_TableHead_Assumptions_SALE_130205- 280 Franklin 2" xfId="3170" xr:uid="{00000000-0005-0000-0000-0000AD050000}"/>
    <cellStyle name="_TableHead_Assumptions_SALE_250 Utica 4.7.11" xfId="1359" xr:uid="{00000000-0005-0000-0000-0000AE050000}"/>
    <cellStyle name="_TableHead_Assumptions_SALE_250 Utica 4.7.11 2" xfId="3171" xr:uid="{00000000-0005-0000-0000-0000AF050000}"/>
    <cellStyle name="_TableHead_Assumptions_SALE_Dev Budget" xfId="1360" xr:uid="{00000000-0005-0000-0000-0000B0050000}"/>
    <cellStyle name="_TableHead_Assumptions_SALE_Dev Budget 2" xfId="3172" xr:uid="{00000000-0005-0000-0000-0000B1050000}"/>
    <cellStyle name="_TableHead_Assumptions_SALE_Harlem 116th-117th 11 22 11" xfId="1361" xr:uid="{00000000-0005-0000-0000-0000B2050000}"/>
    <cellStyle name="_TableHead_Assumptions_SALE_Harlem 116th-117th 11 22 11 2" xfId="3173" xr:uid="{00000000-0005-0000-0000-0000B3050000}"/>
    <cellStyle name="_TableHead_Assumptions_SALE_Harlem 116th-117th 11 7 11" xfId="1362" xr:uid="{00000000-0005-0000-0000-0000B4050000}"/>
    <cellStyle name="_TableHead_Assumptions_SALE_Harlem 116th-117th 11 7 11 2" xfId="3174" xr:uid="{00000000-0005-0000-0000-0000B5050000}"/>
    <cellStyle name="_TableHead_Assumptions_SALE_Harlem 116th-117th 12-27-11" xfId="1363" xr:uid="{00000000-0005-0000-0000-0000B6050000}"/>
    <cellStyle name="_TableHead_Assumptions_SALE_Harlem 116th-117th 12-27-11 2" xfId="3175" xr:uid="{00000000-0005-0000-0000-0000B7050000}"/>
    <cellStyle name="_TableHead_Assumptions_SALE_Harlem 116th-117th 12-27-11 v2" xfId="1364" xr:uid="{00000000-0005-0000-0000-0000B8050000}"/>
    <cellStyle name="_TableHead_Assumptions_SALE_Harlem 116th-117th 12-27-11 v2 2" xfId="3176" xr:uid="{00000000-0005-0000-0000-0000B9050000}"/>
    <cellStyle name="_TableHead_Assumptions_SALE_Harlem 116th-117th 3-12-12" xfId="1365" xr:uid="{00000000-0005-0000-0000-0000BA050000}"/>
    <cellStyle name="_TableHead_Assumptions_SALE_Harlem 116th-117th 3-12-12 2" xfId="3177" xr:uid="{00000000-0005-0000-0000-0000BB050000}"/>
    <cellStyle name="_TableHead_Assumptions_SALE_Harlem 116th-117th 4.8.11" xfId="1366" xr:uid="{00000000-0005-0000-0000-0000BC050000}"/>
    <cellStyle name="_TableHead_Assumptions_SALE_Harlem 116th-117th 4.8.11 2" xfId="3178" xr:uid="{00000000-0005-0000-0000-0000BD050000}"/>
    <cellStyle name="_TableHead_Assumptions_SALE_Harlem 116th-117th 4.8.11 v1" xfId="1367" xr:uid="{00000000-0005-0000-0000-0000BE050000}"/>
    <cellStyle name="_TableHead_Assumptions_SALE_Harlem 116th-117th 4.8.11 v1 2" xfId="3179" xr:uid="{00000000-0005-0000-0000-0000BF050000}"/>
    <cellStyle name="_TableHead_Assumptions_SALE_Harlem 116th-117th 4-10-12" xfId="1368" xr:uid="{00000000-0005-0000-0000-0000C0050000}"/>
    <cellStyle name="_TableHead_Assumptions_SALE_Harlem 116th-117th 4-10-12 2" xfId="3180" xr:uid="{00000000-0005-0000-0000-0000C1050000}"/>
    <cellStyle name="_TableHead_Assumptions_SALE_Harlem 116th-117th 5-22-12" xfId="1369" xr:uid="{00000000-0005-0000-0000-0000C2050000}"/>
    <cellStyle name="_TableHead_Assumptions_SALE_Harlem 116th-117th 5-22-12 2" xfId="3181" xr:uid="{00000000-0005-0000-0000-0000C3050000}"/>
    <cellStyle name="_TableHead_Assumptions_SALE_Harlem 116th-117th 5-25-12 v1" xfId="1370" xr:uid="{00000000-0005-0000-0000-0000C4050000}"/>
    <cellStyle name="_TableHead_Assumptions_SALE_Harlem 116th-117th 5-25-12 v1 2" xfId="3182" xr:uid="{00000000-0005-0000-0000-0000C5050000}"/>
    <cellStyle name="_TableHead_Assumptions_SALE_Harlem 116th-117th 5-3-12" xfId="1371" xr:uid="{00000000-0005-0000-0000-0000C6050000}"/>
    <cellStyle name="_TableHead_Assumptions_SALE_Harlem 116th-117th 5-3-12 2" xfId="3183" xr:uid="{00000000-0005-0000-0000-0000C7050000}"/>
    <cellStyle name="_TableHead_Assumptions_SALE_Harlem 116th-117th 6.16.11 v1" xfId="1372" xr:uid="{00000000-0005-0000-0000-0000C8050000}"/>
    <cellStyle name="_TableHead_Assumptions_SALE_Harlem 116th-117th 6.16.11 v1 2" xfId="3184" xr:uid="{00000000-0005-0000-0000-0000C9050000}"/>
    <cellStyle name="_TableHead_Assumptions_SALE_Harlem 116th-117th 6.20.11 v1" xfId="1373" xr:uid="{00000000-0005-0000-0000-0000CA050000}"/>
    <cellStyle name="_TableHead_Assumptions_SALE_Harlem 116th-117th 6.20.11 v1 2" xfId="3185" xr:uid="{00000000-0005-0000-0000-0000CB050000}"/>
    <cellStyle name="_TableHead_Assumptions_SALE_Harlem 116th-117th 6-1-12-js" xfId="1374" xr:uid="{00000000-0005-0000-0000-0000CC050000}"/>
    <cellStyle name="_TableHead_Assumptions_SALE_Harlem 116th-117th 6-1-12-js 2" xfId="3186" xr:uid="{00000000-0005-0000-0000-0000CD050000}"/>
    <cellStyle name="_TableHead_Assumptions_SALE_Harlem 116th-117th 6-4-12" xfId="1375" xr:uid="{00000000-0005-0000-0000-0000CE050000}"/>
    <cellStyle name="_TableHead_Assumptions_SALE_Harlem 116th-117th 6-4-12 2" xfId="3187" xr:uid="{00000000-0005-0000-0000-0000CF050000}"/>
    <cellStyle name="_TableHead_Assumptions_SALE_Harlem 116th-117th 6-4-12 -JS ACQUISITION CLOSING TAB" xfId="1376" xr:uid="{00000000-0005-0000-0000-0000D0050000}"/>
    <cellStyle name="_TableHead_Assumptions_SALE_Harlem 116th-117th 6-4-12 -JS ACQUISITION CLOSING TAB 2" xfId="3188" xr:uid="{00000000-0005-0000-0000-0000D1050000}"/>
    <cellStyle name="_TableHead_Assumptions_SALE_Harlem 116th-117th 6-5-12 v1" xfId="1377" xr:uid="{00000000-0005-0000-0000-0000D2050000}"/>
    <cellStyle name="_TableHead_Assumptions_SALE_Harlem 116th-117th 6-5-12 v1 2" xfId="3189" xr:uid="{00000000-0005-0000-0000-0000D3050000}"/>
    <cellStyle name="_TableHead_Assumptions_SALE_Harlem 116th-117th 7.7.11_condo 116 with updated TC tabs" xfId="1378" xr:uid="{00000000-0005-0000-0000-0000D4050000}"/>
    <cellStyle name="_TableHead_Assumptions_SALE_Harlem 116th-117th 7.7.11_condo 116 with updated TC tabs 2" xfId="3190" xr:uid="{00000000-0005-0000-0000-0000D5050000}"/>
    <cellStyle name="_TableHead_Assumptions_SALE_Harlem 116th-117th 8 22 11_all rental" xfId="1379" xr:uid="{00000000-0005-0000-0000-0000D6050000}"/>
    <cellStyle name="_TableHead_Assumptions_SALE_Harlem 116th-117th 8 22 11_all rental 2" xfId="3191" xr:uid="{00000000-0005-0000-0000-0000D7050000}"/>
    <cellStyle name="_TableHead_Assumptions_SALE_HCR Source Budget" xfId="1380" xr:uid="{00000000-0005-0000-0000-0000D8050000}"/>
    <cellStyle name="_TableHead_Assumptions_SALE_HCR Source Budget 2" xfId="3192" xr:uid="{00000000-0005-0000-0000-0000D9050000}"/>
    <cellStyle name="_TableHead_Assumptions_SALE_HRP-1951 Park - NORTH" xfId="1381" xr:uid="{00000000-0005-0000-0000-0000DA050000}"/>
    <cellStyle name="_TableHead_Assumptions_SALE_HRP-1951 Park - NORTH 2" xfId="3193" xr:uid="{00000000-0005-0000-0000-0000DB050000}"/>
    <cellStyle name="_TableHead_Assumptions_SALE_LIC 03.01.11" xfId="1382" xr:uid="{00000000-0005-0000-0000-0000DC050000}"/>
    <cellStyle name="_TableHead_Assumptions_SALE_LIC 03.01.11 2" xfId="3194" xr:uid="{00000000-0005-0000-0000-0000DD050000}"/>
    <cellStyle name="_TableHead_Assumptions_SALE_LIC Pearson 07-07-11" xfId="1383" xr:uid="{00000000-0005-0000-0000-0000DE050000}"/>
    <cellStyle name="_TableHead_Assumptions_SALE_LIC Pearson 07-07-11 2" xfId="3195" xr:uid="{00000000-0005-0000-0000-0000DF050000}"/>
    <cellStyle name="_TableHead_Assumptions_SALE_LIC Pearson 12-27-11" xfId="1384" xr:uid="{00000000-0005-0000-0000-0000E0050000}"/>
    <cellStyle name="_TableHead_Assumptions_SALE_LIC Pearson 12-27-11 2" xfId="3196" xr:uid="{00000000-0005-0000-0000-0000E1050000}"/>
    <cellStyle name="_TableHead_Assumptions_SALE_LIC Pearson April 2012-d" xfId="1385" xr:uid="{00000000-0005-0000-0000-0000E2050000}"/>
    <cellStyle name="_TableHead_Assumptions_SALE_LIC Pearson April 2012-d 2" xfId="3197" xr:uid="{00000000-0005-0000-0000-0000E3050000}"/>
    <cellStyle name="_TableHead_Assumptions_SALE_M&amp;O" xfId="1386" xr:uid="{00000000-0005-0000-0000-0000E4050000}"/>
    <cellStyle name="_TableHead_Assumptions_SALE_M&amp;O 2" xfId="3198" xr:uid="{00000000-0005-0000-0000-0000E5050000}"/>
    <cellStyle name="_TableHead_Assumptions_SALE_NSP Trois 02.24.11" xfId="1387" xr:uid="{00000000-0005-0000-0000-0000E6050000}"/>
    <cellStyle name="_TableHead_Assumptions_SALE_NSP Trois 02.24.11 2" xfId="3199" xr:uid="{00000000-0005-0000-0000-0000E7050000}"/>
    <cellStyle name="_TableHead_Assumptions_SALE_NSP Trois 03.01.11" xfId="1388" xr:uid="{00000000-0005-0000-0000-0000E8050000}"/>
    <cellStyle name="_TableHead_Assumptions_SALE_NSP Trois 03.01.11 2" xfId="3200" xr:uid="{00000000-0005-0000-0000-0000E9050000}"/>
    <cellStyle name="_TableHead_Assumptions_SALE_Sheet1" xfId="1389" xr:uid="{00000000-0005-0000-0000-0000EA050000}"/>
    <cellStyle name="_TableHead_Assumptions_SALE_Sheet1 2" xfId="3201" xr:uid="{00000000-0005-0000-0000-0000EB050000}"/>
    <cellStyle name="_TableHead_Assumptions_SALE_Summary" xfId="1390" xr:uid="{00000000-0005-0000-0000-0000EC050000}"/>
    <cellStyle name="_TableHead_Assumptions_SALE_Summary 2" xfId="3202" xr:uid="{00000000-0005-0000-0000-0000ED050000}"/>
    <cellStyle name="_TableHead_Book2" xfId="5449" xr:uid="{00000000-0005-0000-0000-0000EE050000}"/>
    <cellStyle name="_TableHead_Infrastructure 07 08 29" xfId="5452" xr:uid="{00000000-0005-0000-0000-0000EF050000}"/>
    <cellStyle name="_TableHead_Model 09" xfId="1391" xr:uid="{00000000-0005-0000-0000-0000F0050000}"/>
    <cellStyle name="_TableHead_Model 09 2" xfId="3203" xr:uid="{00000000-0005-0000-0000-0000F1050000}"/>
    <cellStyle name="_TableHead_Model Short Form2" xfId="1392" xr:uid="{00000000-0005-0000-0000-0000F2050000}"/>
    <cellStyle name="_TableHead_Model Short Form2 2" xfId="1393" xr:uid="{00000000-0005-0000-0000-0000F3050000}"/>
    <cellStyle name="_TableHead_Model Short Form2 2 2" xfId="3205" xr:uid="{00000000-0005-0000-0000-0000F4050000}"/>
    <cellStyle name="_TableHead_Model Short Form2 3" xfId="3204" xr:uid="{00000000-0005-0000-0000-0000F5050000}"/>
    <cellStyle name="_TableHead_Model Short Form2_110609-AbyRenni" xfId="1394" xr:uid="{00000000-0005-0000-0000-0000F6050000}"/>
    <cellStyle name="_TableHead_Model Short Form2_110609-AbyRenni 2" xfId="3206" xr:uid="{00000000-0005-0000-0000-0000F7050000}"/>
    <cellStyle name="_TableHead_Model Short Form2_116th condo" xfId="1395" xr:uid="{00000000-0005-0000-0000-0000F8050000}"/>
    <cellStyle name="_TableHead_Model Short Form2_116th condo 2" xfId="3207" xr:uid="{00000000-0005-0000-0000-0000F9050000}"/>
    <cellStyle name="_TableHead_Model Short Form2_116th market condo 02.23.11" xfId="1396" xr:uid="{00000000-0005-0000-0000-0000FA050000}"/>
    <cellStyle name="_TableHead_Model Short Form2_116th market condo 02.23.11 2" xfId="3208" xr:uid="{00000000-0005-0000-0000-0000FB050000}"/>
    <cellStyle name="_TableHead_Model Short Form2_116th market condo 12.27" xfId="1397" xr:uid="{00000000-0005-0000-0000-0000FC050000}"/>
    <cellStyle name="_TableHead_Model Short Form2_116th market condo 12.27 2" xfId="3209" xr:uid="{00000000-0005-0000-0000-0000FD050000}"/>
    <cellStyle name="_TableHead_Model Short Form2_116th market condo nmtc 03.16.11" xfId="1398" xr:uid="{00000000-0005-0000-0000-0000FE050000}"/>
    <cellStyle name="_TableHead_Model Short Form2_116th market condo nmtc 03.16.11 2" xfId="3210" xr:uid="{00000000-0005-0000-0000-0000FF050000}"/>
    <cellStyle name="_TableHead_Model Short Form2_116th market rental 12.27" xfId="1399" xr:uid="{00000000-0005-0000-0000-000000060000}"/>
    <cellStyle name="_TableHead_Model Short Form2_116th market rental 12.27 2" xfId="3211" xr:uid="{00000000-0005-0000-0000-000001060000}"/>
    <cellStyle name="_TableHead_Model Short Form2_120403-Utica-3rd Flr Gym" xfId="1400" xr:uid="{00000000-0005-0000-0000-000002060000}"/>
    <cellStyle name="_TableHead_Model Short Form2_120403-Utica-3rd Flr Gym 2" xfId="3212" xr:uid="{00000000-0005-0000-0000-000003060000}"/>
    <cellStyle name="_TableHead_Model Short Form2_120507 Dyckman Base Case" xfId="1401" xr:uid="{00000000-0005-0000-0000-000004060000}"/>
    <cellStyle name="_TableHead_Model Short Form2_120507 Dyckman Base Case 2" xfId="3213" xr:uid="{00000000-0005-0000-0000-000005060000}"/>
    <cellStyle name="_TableHead_Model Short Form2_120510 80-20 Dyckmanlg" xfId="1402" xr:uid="{00000000-0005-0000-0000-000006060000}"/>
    <cellStyle name="_TableHead_Model Short Form2_120510 80-20 Dyckmanlg 2" xfId="3214" xr:uid="{00000000-0005-0000-0000-000007060000}"/>
    <cellStyle name="_TableHead_Model Short Form2_120604 - Utica NMTC" xfId="1403" xr:uid="{00000000-0005-0000-0000-000008060000}"/>
    <cellStyle name="_TableHead_Model Short Form2_120604 - Utica NMTC 2" xfId="3215" xr:uid="{00000000-0005-0000-0000-000009060000}"/>
    <cellStyle name="_TableHead_Model Short Form2_120612 - Utica NMTC" xfId="1404" xr:uid="{00000000-0005-0000-0000-00000A060000}"/>
    <cellStyle name="_TableHead_Model Short Form2_120612 - Utica NMTC 2" xfId="3216" xr:uid="{00000000-0005-0000-0000-00000B060000}"/>
    <cellStyle name="_TableHead_Model Short Form2_120620 - Utica NMTC" xfId="1405" xr:uid="{00000000-0005-0000-0000-00000C060000}"/>
    <cellStyle name="_TableHead_Model Short Form2_120620 - Utica NMTC 2" xfId="3217" xr:uid="{00000000-0005-0000-0000-00000D060000}"/>
    <cellStyle name="_TableHead_Model Short Form2_120807 Standard Budget" xfId="1406" xr:uid="{00000000-0005-0000-0000-00000E060000}"/>
    <cellStyle name="_TableHead_Model Short Form2_120807 Standard Budget 2" xfId="3218" xr:uid="{00000000-0005-0000-0000-00000F060000}"/>
    <cellStyle name="_TableHead_Model Short Form2_130205- 280 Franklin" xfId="1407" xr:uid="{00000000-0005-0000-0000-000010060000}"/>
    <cellStyle name="_TableHead_Model Short Form2_130205- 280 Franklin 2" xfId="3219" xr:uid="{00000000-0005-0000-0000-000011060000}"/>
    <cellStyle name="_TableHead_Model Short Form2_250 Utica 4.7.11" xfId="1408" xr:uid="{00000000-0005-0000-0000-000012060000}"/>
    <cellStyle name="_TableHead_Model Short Form2_250 Utica 4.7.11 2" xfId="3220" xr:uid="{00000000-0005-0000-0000-000013060000}"/>
    <cellStyle name="_TableHead_Model Short Form2_Dev Budget" xfId="1409" xr:uid="{00000000-0005-0000-0000-000014060000}"/>
    <cellStyle name="_TableHead_Model Short Form2_Dev Budget 2" xfId="3221" xr:uid="{00000000-0005-0000-0000-000015060000}"/>
    <cellStyle name="_TableHead_Model Short Form2_Harlem 116th-117th 11 22 11" xfId="1410" xr:uid="{00000000-0005-0000-0000-000016060000}"/>
    <cellStyle name="_TableHead_Model Short Form2_Harlem 116th-117th 11 22 11 2" xfId="3222" xr:uid="{00000000-0005-0000-0000-000017060000}"/>
    <cellStyle name="_TableHead_Model Short Form2_Harlem 116th-117th 11 7 11" xfId="1411" xr:uid="{00000000-0005-0000-0000-000018060000}"/>
    <cellStyle name="_TableHead_Model Short Form2_Harlem 116th-117th 11 7 11 2" xfId="3223" xr:uid="{00000000-0005-0000-0000-000019060000}"/>
    <cellStyle name="_TableHead_Model Short Form2_Harlem 116th-117th 12-27-11" xfId="1412" xr:uid="{00000000-0005-0000-0000-00001A060000}"/>
    <cellStyle name="_TableHead_Model Short Form2_Harlem 116th-117th 12-27-11 2" xfId="3224" xr:uid="{00000000-0005-0000-0000-00001B060000}"/>
    <cellStyle name="_TableHead_Model Short Form2_Harlem 116th-117th 12-27-11 v2" xfId="1413" xr:uid="{00000000-0005-0000-0000-00001C060000}"/>
    <cellStyle name="_TableHead_Model Short Form2_Harlem 116th-117th 12-27-11 v2 2" xfId="3225" xr:uid="{00000000-0005-0000-0000-00001D060000}"/>
    <cellStyle name="_TableHead_Model Short Form2_Harlem 116th-117th 3-12-12" xfId="1414" xr:uid="{00000000-0005-0000-0000-00001E060000}"/>
    <cellStyle name="_TableHead_Model Short Form2_Harlem 116th-117th 3-12-12 2" xfId="3226" xr:uid="{00000000-0005-0000-0000-00001F060000}"/>
    <cellStyle name="_TableHead_Model Short Form2_Harlem 116th-117th 4.8.11" xfId="1415" xr:uid="{00000000-0005-0000-0000-000020060000}"/>
    <cellStyle name="_TableHead_Model Short Form2_Harlem 116th-117th 4.8.11 2" xfId="3227" xr:uid="{00000000-0005-0000-0000-000021060000}"/>
    <cellStyle name="_TableHead_Model Short Form2_Harlem 116th-117th 4.8.11 v1" xfId="1416" xr:uid="{00000000-0005-0000-0000-000022060000}"/>
    <cellStyle name="_TableHead_Model Short Form2_Harlem 116th-117th 4.8.11 v1 2" xfId="3228" xr:uid="{00000000-0005-0000-0000-000023060000}"/>
    <cellStyle name="_TableHead_Model Short Form2_Harlem 116th-117th 4-10-12" xfId="1417" xr:uid="{00000000-0005-0000-0000-000024060000}"/>
    <cellStyle name="_TableHead_Model Short Form2_Harlem 116th-117th 4-10-12 2" xfId="3229" xr:uid="{00000000-0005-0000-0000-000025060000}"/>
    <cellStyle name="_TableHead_Model Short Form2_Harlem 116th-117th 5-22-12" xfId="1418" xr:uid="{00000000-0005-0000-0000-000026060000}"/>
    <cellStyle name="_TableHead_Model Short Form2_Harlem 116th-117th 5-22-12 2" xfId="3230" xr:uid="{00000000-0005-0000-0000-000027060000}"/>
    <cellStyle name="_TableHead_Model Short Form2_Harlem 116th-117th 5-25-12 v1" xfId="1419" xr:uid="{00000000-0005-0000-0000-000028060000}"/>
    <cellStyle name="_TableHead_Model Short Form2_Harlem 116th-117th 5-25-12 v1 2" xfId="3231" xr:uid="{00000000-0005-0000-0000-000029060000}"/>
    <cellStyle name="_TableHead_Model Short Form2_Harlem 116th-117th 5-3-12" xfId="1420" xr:uid="{00000000-0005-0000-0000-00002A060000}"/>
    <cellStyle name="_TableHead_Model Short Form2_Harlem 116th-117th 5-3-12 2" xfId="3232" xr:uid="{00000000-0005-0000-0000-00002B060000}"/>
    <cellStyle name="_TableHead_Model Short Form2_Harlem 116th-117th 6.16.11 v1" xfId="1421" xr:uid="{00000000-0005-0000-0000-00002C060000}"/>
    <cellStyle name="_TableHead_Model Short Form2_Harlem 116th-117th 6.16.11 v1 2" xfId="3233" xr:uid="{00000000-0005-0000-0000-00002D060000}"/>
    <cellStyle name="_TableHead_Model Short Form2_Harlem 116th-117th 6.20.11 v1" xfId="1422" xr:uid="{00000000-0005-0000-0000-00002E060000}"/>
    <cellStyle name="_TableHead_Model Short Form2_Harlem 116th-117th 6.20.11 v1 2" xfId="3234" xr:uid="{00000000-0005-0000-0000-00002F060000}"/>
    <cellStyle name="_TableHead_Model Short Form2_Harlem 116th-117th 6-1-12-js" xfId="1423" xr:uid="{00000000-0005-0000-0000-000030060000}"/>
    <cellStyle name="_TableHead_Model Short Form2_Harlem 116th-117th 6-1-12-js 2" xfId="3235" xr:uid="{00000000-0005-0000-0000-000031060000}"/>
    <cellStyle name="_TableHead_Model Short Form2_Harlem 116th-117th 6-4-12" xfId="1424" xr:uid="{00000000-0005-0000-0000-000032060000}"/>
    <cellStyle name="_TableHead_Model Short Form2_Harlem 116th-117th 6-4-12 2" xfId="3236" xr:uid="{00000000-0005-0000-0000-000033060000}"/>
    <cellStyle name="_TableHead_Model Short Form2_Harlem 116th-117th 6-4-12 -JS ACQUISITION CLOSING TAB" xfId="1425" xr:uid="{00000000-0005-0000-0000-000034060000}"/>
    <cellStyle name="_TableHead_Model Short Form2_Harlem 116th-117th 6-4-12 -JS ACQUISITION CLOSING TAB 2" xfId="3237" xr:uid="{00000000-0005-0000-0000-000035060000}"/>
    <cellStyle name="_TableHead_Model Short Form2_Harlem 116th-117th 6-5-12 v1" xfId="1426" xr:uid="{00000000-0005-0000-0000-000036060000}"/>
    <cellStyle name="_TableHead_Model Short Form2_Harlem 116th-117th 6-5-12 v1 2" xfId="3238" xr:uid="{00000000-0005-0000-0000-000037060000}"/>
    <cellStyle name="_TableHead_Model Short Form2_Harlem 116th-117th 7.7.11_condo 116 with updated TC tabs" xfId="1427" xr:uid="{00000000-0005-0000-0000-000038060000}"/>
    <cellStyle name="_TableHead_Model Short Form2_Harlem 116th-117th 7.7.11_condo 116 with updated TC tabs 2" xfId="3239" xr:uid="{00000000-0005-0000-0000-000039060000}"/>
    <cellStyle name="_TableHead_Model Short Form2_Harlem 116th-117th 8 22 11_all rental" xfId="1428" xr:uid="{00000000-0005-0000-0000-00003A060000}"/>
    <cellStyle name="_TableHead_Model Short Form2_Harlem 116th-117th 8 22 11_all rental 2" xfId="3240" xr:uid="{00000000-0005-0000-0000-00003B060000}"/>
    <cellStyle name="_TableHead_Model Short Form2_HCR Source Budget" xfId="1429" xr:uid="{00000000-0005-0000-0000-00003C060000}"/>
    <cellStyle name="_TableHead_Model Short Form2_HCR Source Budget 2" xfId="3241" xr:uid="{00000000-0005-0000-0000-00003D060000}"/>
    <cellStyle name="_TableHead_Model Short Form2_HRP-1951 Park - NORTH" xfId="1430" xr:uid="{00000000-0005-0000-0000-00003E060000}"/>
    <cellStyle name="_TableHead_Model Short Form2_HRP-1951 Park - NORTH 2" xfId="3242" xr:uid="{00000000-0005-0000-0000-00003F060000}"/>
    <cellStyle name="_TableHead_Model Short Form2_LIC 03.01.11" xfId="1431" xr:uid="{00000000-0005-0000-0000-000040060000}"/>
    <cellStyle name="_TableHead_Model Short Form2_LIC 03.01.11 2" xfId="3243" xr:uid="{00000000-0005-0000-0000-000041060000}"/>
    <cellStyle name="_TableHead_Model Short Form2_LIC Pearson 07-07-11" xfId="1432" xr:uid="{00000000-0005-0000-0000-000042060000}"/>
    <cellStyle name="_TableHead_Model Short Form2_LIC Pearson 07-07-11 2" xfId="3244" xr:uid="{00000000-0005-0000-0000-000043060000}"/>
    <cellStyle name="_TableHead_Model Short Form2_LIC Pearson 12-27-11" xfId="1433" xr:uid="{00000000-0005-0000-0000-000044060000}"/>
    <cellStyle name="_TableHead_Model Short Form2_LIC Pearson 12-27-11 2" xfId="3245" xr:uid="{00000000-0005-0000-0000-000045060000}"/>
    <cellStyle name="_TableHead_Model Short Form2_LIC Pearson April 2012-d" xfId="1434" xr:uid="{00000000-0005-0000-0000-000046060000}"/>
    <cellStyle name="_TableHead_Model Short Form2_LIC Pearson April 2012-d 2" xfId="3246" xr:uid="{00000000-0005-0000-0000-000047060000}"/>
    <cellStyle name="_TableHead_Model Short Form2_M&amp;O" xfId="1435" xr:uid="{00000000-0005-0000-0000-000048060000}"/>
    <cellStyle name="_TableHead_Model Short Form2_M&amp;O 2" xfId="3247" xr:uid="{00000000-0005-0000-0000-000049060000}"/>
    <cellStyle name="_TableHead_Model Short Form2_NSP Trois 02.24.11" xfId="1436" xr:uid="{00000000-0005-0000-0000-00004A060000}"/>
    <cellStyle name="_TableHead_Model Short Form2_NSP Trois 02.24.11 2" xfId="3248" xr:uid="{00000000-0005-0000-0000-00004B060000}"/>
    <cellStyle name="_TableHead_Model Short Form2_NSP Trois 03.01.11" xfId="1437" xr:uid="{00000000-0005-0000-0000-00004C060000}"/>
    <cellStyle name="_TableHead_Model Short Form2_NSP Trois 03.01.11 2" xfId="3249" xr:uid="{00000000-0005-0000-0000-00004D060000}"/>
    <cellStyle name="_TableHead_Model Short Form2_Sheet1" xfId="1438" xr:uid="{00000000-0005-0000-0000-00004E060000}"/>
    <cellStyle name="_TableHead_Model Short Form2_Sheet1 2" xfId="3250" xr:uid="{00000000-0005-0000-0000-00004F060000}"/>
    <cellStyle name="_TableHead_Model Short Form2_Summary" xfId="1439" xr:uid="{00000000-0005-0000-0000-000050060000}"/>
    <cellStyle name="_TableHead_Model Short Form2_Summary 2" xfId="3251" xr:uid="{00000000-0005-0000-0000-000051060000}"/>
    <cellStyle name="_TableHead_rent vs. own analysis" xfId="1440" xr:uid="{00000000-0005-0000-0000-000052060000}"/>
    <cellStyle name="_TableHead_rent vs. own analysis 2" xfId="3252" xr:uid="{00000000-0005-0000-0000-000053060000}"/>
    <cellStyle name="_TableHead_SAC exhibit (9-17-07)" xfId="5339" xr:uid="{00000000-0005-0000-0000-000054060000}"/>
    <cellStyle name="_TableHead_Union CIty" xfId="1441" xr:uid="{00000000-0005-0000-0000-000055060000}"/>
    <cellStyle name="_TableHead_Union CIty 2" xfId="3253" xr:uid="{00000000-0005-0000-0000-000056060000}"/>
    <cellStyle name="_TableHead_Yard Budget 11-1-2007" xfId="5432" xr:uid="{00000000-0005-0000-0000-000057060000}"/>
    <cellStyle name="_TableHeading" xfId="1442" xr:uid="{00000000-0005-0000-0000-000058060000}"/>
    <cellStyle name="_TableHeading 2" xfId="3254" xr:uid="{00000000-0005-0000-0000-000059060000}"/>
    <cellStyle name="_TableRowBorder" xfId="1443" xr:uid="{00000000-0005-0000-0000-00005A060000}"/>
    <cellStyle name="_TableRowBorder 2" xfId="1444" xr:uid="{00000000-0005-0000-0000-00005B060000}"/>
    <cellStyle name="_TableRowBorder 2 2" xfId="1445" xr:uid="{00000000-0005-0000-0000-00005C060000}"/>
    <cellStyle name="_TableRowBorder 2 2 2" xfId="1446" xr:uid="{00000000-0005-0000-0000-00005D060000}"/>
    <cellStyle name="_TableRowBorder 2 2 2 2" xfId="3258" xr:uid="{00000000-0005-0000-0000-00005E060000}"/>
    <cellStyle name="_TableRowBorder 2 2 3" xfId="3257" xr:uid="{00000000-0005-0000-0000-00005F060000}"/>
    <cellStyle name="_TableRowBorder 2 3" xfId="1447" xr:uid="{00000000-0005-0000-0000-000060060000}"/>
    <cellStyle name="_TableRowBorder 2 3 2" xfId="3259" xr:uid="{00000000-0005-0000-0000-000061060000}"/>
    <cellStyle name="_TableRowBorder 2 4" xfId="3256" xr:uid="{00000000-0005-0000-0000-000062060000}"/>
    <cellStyle name="_TableRowBorder 3" xfId="1448" xr:uid="{00000000-0005-0000-0000-000063060000}"/>
    <cellStyle name="_TableRowBorder 3 2" xfId="3260" xr:uid="{00000000-0005-0000-0000-000064060000}"/>
    <cellStyle name="_TableRowBorder 4" xfId="3255" xr:uid="{00000000-0005-0000-0000-000065060000}"/>
    <cellStyle name="_TableRowHead" xfId="1449" xr:uid="{00000000-0005-0000-0000-000066060000}"/>
    <cellStyle name="_TableRowHead_Assumptions_SALE" xfId="1450" xr:uid="{00000000-0005-0000-0000-000067060000}"/>
    <cellStyle name="_TableRowHead_Assumptions_SALE 2" xfId="1451" xr:uid="{00000000-0005-0000-0000-000068060000}"/>
    <cellStyle name="_TableRowHead_Assumptions_SALE_110609-AbyRenni" xfId="1452" xr:uid="{00000000-0005-0000-0000-000069060000}"/>
    <cellStyle name="_TableRowHead_Assumptions_SALE_116th condo" xfId="1453" xr:uid="{00000000-0005-0000-0000-00006A060000}"/>
    <cellStyle name="_TableRowHead_Assumptions_SALE_116th market condo 02.23.11" xfId="1454" xr:uid="{00000000-0005-0000-0000-00006B060000}"/>
    <cellStyle name="_TableRowHead_Assumptions_SALE_116th market condo 12.27" xfId="1455" xr:uid="{00000000-0005-0000-0000-00006C060000}"/>
    <cellStyle name="_TableRowHead_Assumptions_SALE_116th market condo nmtc 03.16.11" xfId="1456" xr:uid="{00000000-0005-0000-0000-00006D060000}"/>
    <cellStyle name="_TableRowHead_Assumptions_SALE_116th market rental 12.27" xfId="1457" xr:uid="{00000000-0005-0000-0000-00006E060000}"/>
    <cellStyle name="_TableRowHead_Assumptions_SALE_120403-Utica-3rd Flr Gym" xfId="1458" xr:uid="{00000000-0005-0000-0000-00006F060000}"/>
    <cellStyle name="_TableRowHead_Assumptions_SALE_120507 Dyckman Base Case" xfId="1459" xr:uid="{00000000-0005-0000-0000-000070060000}"/>
    <cellStyle name="_TableRowHead_Assumptions_SALE_120510 80-20 Dyckmanlg" xfId="1460" xr:uid="{00000000-0005-0000-0000-000071060000}"/>
    <cellStyle name="_TableRowHead_Assumptions_SALE_120604 - Utica NMTC" xfId="1461" xr:uid="{00000000-0005-0000-0000-000072060000}"/>
    <cellStyle name="_TableRowHead_Assumptions_SALE_120612 - Utica NMTC" xfId="1462" xr:uid="{00000000-0005-0000-0000-000073060000}"/>
    <cellStyle name="_TableRowHead_Assumptions_SALE_120620 - Utica NMTC" xfId="1463" xr:uid="{00000000-0005-0000-0000-000074060000}"/>
    <cellStyle name="_TableRowHead_Assumptions_SALE_120807 Standard Budget" xfId="1464" xr:uid="{00000000-0005-0000-0000-000075060000}"/>
    <cellStyle name="_TableRowHead_Assumptions_SALE_130205- 280 Franklin" xfId="1465" xr:uid="{00000000-0005-0000-0000-000076060000}"/>
    <cellStyle name="_TableRowHead_Assumptions_SALE_250 Utica 4.7.11" xfId="1466" xr:uid="{00000000-0005-0000-0000-000077060000}"/>
    <cellStyle name="_TableRowHead_Assumptions_SALE_Dev Budget" xfId="1467" xr:uid="{00000000-0005-0000-0000-000078060000}"/>
    <cellStyle name="_TableRowHead_Assumptions_SALE_Harlem 116th-117th 11 22 11" xfId="1468" xr:uid="{00000000-0005-0000-0000-000079060000}"/>
    <cellStyle name="_TableRowHead_Assumptions_SALE_Harlem 116th-117th 11 7 11" xfId="1469" xr:uid="{00000000-0005-0000-0000-00007A060000}"/>
    <cellStyle name="_TableRowHead_Assumptions_SALE_Harlem 116th-117th 12-27-11" xfId="1470" xr:uid="{00000000-0005-0000-0000-00007B060000}"/>
    <cellStyle name="_TableRowHead_Assumptions_SALE_Harlem 116th-117th 12-27-11 v2" xfId="1471" xr:uid="{00000000-0005-0000-0000-00007C060000}"/>
    <cellStyle name="_TableRowHead_Assumptions_SALE_Harlem 116th-117th 3-12-12" xfId="1472" xr:uid="{00000000-0005-0000-0000-00007D060000}"/>
    <cellStyle name="_TableRowHead_Assumptions_SALE_Harlem 116th-117th 4.8.11" xfId="1473" xr:uid="{00000000-0005-0000-0000-00007E060000}"/>
    <cellStyle name="_TableRowHead_Assumptions_SALE_Harlem 116th-117th 4.8.11 v1" xfId="1474" xr:uid="{00000000-0005-0000-0000-00007F060000}"/>
    <cellStyle name="_TableRowHead_Assumptions_SALE_Harlem 116th-117th 4-10-12" xfId="1475" xr:uid="{00000000-0005-0000-0000-000080060000}"/>
    <cellStyle name="_TableRowHead_Assumptions_SALE_Harlem 116th-117th 5-22-12" xfId="1476" xr:uid="{00000000-0005-0000-0000-000081060000}"/>
    <cellStyle name="_TableRowHead_Assumptions_SALE_Harlem 116th-117th 5-25-12 v1" xfId="1477" xr:uid="{00000000-0005-0000-0000-000082060000}"/>
    <cellStyle name="_TableRowHead_Assumptions_SALE_Harlem 116th-117th 5-3-12" xfId="1478" xr:uid="{00000000-0005-0000-0000-000083060000}"/>
    <cellStyle name="_TableRowHead_Assumptions_SALE_Harlem 116th-117th 6.16.11 v1" xfId="1479" xr:uid="{00000000-0005-0000-0000-000084060000}"/>
    <cellStyle name="_TableRowHead_Assumptions_SALE_Harlem 116th-117th 6.20.11 v1" xfId="1480" xr:uid="{00000000-0005-0000-0000-000085060000}"/>
    <cellStyle name="_TableRowHead_Assumptions_SALE_Harlem 116th-117th 6-1-12-js" xfId="1481" xr:uid="{00000000-0005-0000-0000-000086060000}"/>
    <cellStyle name="_TableRowHead_Assumptions_SALE_Harlem 116th-117th 6-4-12" xfId="1482" xr:uid="{00000000-0005-0000-0000-000087060000}"/>
    <cellStyle name="_TableRowHead_Assumptions_SALE_Harlem 116th-117th 6-4-12 -JS ACQUISITION CLOSING TAB" xfId="1483" xr:uid="{00000000-0005-0000-0000-000088060000}"/>
    <cellStyle name="_TableRowHead_Assumptions_SALE_Harlem 116th-117th 6-5-12 v1" xfId="1484" xr:uid="{00000000-0005-0000-0000-000089060000}"/>
    <cellStyle name="_TableRowHead_Assumptions_SALE_Harlem 116th-117th 7.7.11_condo 116 with updated TC tabs" xfId="1485" xr:uid="{00000000-0005-0000-0000-00008A060000}"/>
    <cellStyle name="_TableRowHead_Assumptions_SALE_Harlem 116th-117th 8 22 11_all rental" xfId="1486" xr:uid="{00000000-0005-0000-0000-00008B060000}"/>
    <cellStyle name="_TableRowHead_Assumptions_SALE_HCR Source Budget" xfId="1487" xr:uid="{00000000-0005-0000-0000-00008C060000}"/>
    <cellStyle name="_TableRowHead_Assumptions_SALE_HRP-1951 Park - NORTH" xfId="1488" xr:uid="{00000000-0005-0000-0000-00008D060000}"/>
    <cellStyle name="_TableRowHead_Assumptions_SALE_LIC 03.01.11" xfId="1489" xr:uid="{00000000-0005-0000-0000-00008E060000}"/>
    <cellStyle name="_TableRowHead_Assumptions_SALE_LIC Pearson 07-07-11" xfId="1490" xr:uid="{00000000-0005-0000-0000-00008F060000}"/>
    <cellStyle name="_TableRowHead_Assumptions_SALE_LIC Pearson 12-27-11" xfId="1491" xr:uid="{00000000-0005-0000-0000-000090060000}"/>
    <cellStyle name="_TableRowHead_Assumptions_SALE_LIC Pearson April 2012-d" xfId="1492" xr:uid="{00000000-0005-0000-0000-000091060000}"/>
    <cellStyle name="_TableRowHead_Assumptions_SALE_M&amp;O" xfId="1493" xr:uid="{00000000-0005-0000-0000-000092060000}"/>
    <cellStyle name="_TableRowHead_Assumptions_SALE_NSP Trois 02.24.11" xfId="1494" xr:uid="{00000000-0005-0000-0000-000093060000}"/>
    <cellStyle name="_TableRowHead_Assumptions_SALE_NSP Trois 03.01.11" xfId="1495" xr:uid="{00000000-0005-0000-0000-000094060000}"/>
    <cellStyle name="_TableRowHead_Assumptions_SALE_Sheet1" xfId="1496" xr:uid="{00000000-0005-0000-0000-000095060000}"/>
    <cellStyle name="_TableRowHead_Assumptions_SALE_Summary" xfId="1497" xr:uid="{00000000-0005-0000-0000-000096060000}"/>
    <cellStyle name="_TableRowHead_Model 09" xfId="1498" xr:uid="{00000000-0005-0000-0000-000097060000}"/>
    <cellStyle name="_TableRowHead_Model Short Form2" xfId="1499" xr:uid="{00000000-0005-0000-0000-000098060000}"/>
    <cellStyle name="_TableRowHead_Model Short Form2 2" xfId="1500" xr:uid="{00000000-0005-0000-0000-000099060000}"/>
    <cellStyle name="_TableRowHead_Model Short Form2_110609-AbyRenni" xfId="1501" xr:uid="{00000000-0005-0000-0000-00009A060000}"/>
    <cellStyle name="_TableRowHead_Model Short Form2_116th condo" xfId="1502" xr:uid="{00000000-0005-0000-0000-00009B060000}"/>
    <cellStyle name="_TableRowHead_Model Short Form2_116th market condo 02.23.11" xfId="1503" xr:uid="{00000000-0005-0000-0000-00009C060000}"/>
    <cellStyle name="_TableRowHead_Model Short Form2_116th market condo 12.27" xfId="1504" xr:uid="{00000000-0005-0000-0000-00009D060000}"/>
    <cellStyle name="_TableRowHead_Model Short Form2_116th market condo nmtc 03.16.11" xfId="1505" xr:uid="{00000000-0005-0000-0000-00009E060000}"/>
    <cellStyle name="_TableRowHead_Model Short Form2_116th market rental 12.27" xfId="1506" xr:uid="{00000000-0005-0000-0000-00009F060000}"/>
    <cellStyle name="_TableRowHead_Model Short Form2_120403-Utica-3rd Flr Gym" xfId="1507" xr:uid="{00000000-0005-0000-0000-0000A0060000}"/>
    <cellStyle name="_TableRowHead_Model Short Form2_120507 Dyckman Base Case" xfId="1508" xr:uid="{00000000-0005-0000-0000-0000A1060000}"/>
    <cellStyle name="_TableRowHead_Model Short Form2_120510 80-20 Dyckmanlg" xfId="1509" xr:uid="{00000000-0005-0000-0000-0000A2060000}"/>
    <cellStyle name="_TableRowHead_Model Short Form2_120604 - Utica NMTC" xfId="1510" xr:uid="{00000000-0005-0000-0000-0000A3060000}"/>
    <cellStyle name="_TableRowHead_Model Short Form2_120612 - Utica NMTC" xfId="1511" xr:uid="{00000000-0005-0000-0000-0000A4060000}"/>
    <cellStyle name="_TableRowHead_Model Short Form2_120620 - Utica NMTC" xfId="1512" xr:uid="{00000000-0005-0000-0000-0000A5060000}"/>
    <cellStyle name="_TableRowHead_Model Short Form2_120807 Standard Budget" xfId="1513" xr:uid="{00000000-0005-0000-0000-0000A6060000}"/>
    <cellStyle name="_TableRowHead_Model Short Form2_130205- 280 Franklin" xfId="1514" xr:uid="{00000000-0005-0000-0000-0000A7060000}"/>
    <cellStyle name="_TableRowHead_Model Short Form2_250 Utica 4.7.11" xfId="1515" xr:uid="{00000000-0005-0000-0000-0000A8060000}"/>
    <cellStyle name="_TableRowHead_Model Short Form2_Dev Budget" xfId="1516" xr:uid="{00000000-0005-0000-0000-0000A9060000}"/>
    <cellStyle name="_TableRowHead_Model Short Form2_Harlem 116th-117th 11 22 11" xfId="1517" xr:uid="{00000000-0005-0000-0000-0000AA060000}"/>
    <cellStyle name="_TableRowHead_Model Short Form2_Harlem 116th-117th 11 7 11" xfId="1518" xr:uid="{00000000-0005-0000-0000-0000AB060000}"/>
    <cellStyle name="_TableRowHead_Model Short Form2_Harlem 116th-117th 12-27-11" xfId="1519" xr:uid="{00000000-0005-0000-0000-0000AC060000}"/>
    <cellStyle name="_TableRowHead_Model Short Form2_Harlem 116th-117th 12-27-11 v2" xfId="1520" xr:uid="{00000000-0005-0000-0000-0000AD060000}"/>
    <cellStyle name="_TableRowHead_Model Short Form2_Harlem 116th-117th 3-12-12" xfId="1521" xr:uid="{00000000-0005-0000-0000-0000AE060000}"/>
    <cellStyle name="_TableRowHead_Model Short Form2_Harlem 116th-117th 4.8.11" xfId="1522" xr:uid="{00000000-0005-0000-0000-0000AF060000}"/>
    <cellStyle name="_TableRowHead_Model Short Form2_Harlem 116th-117th 4.8.11 v1" xfId="1523" xr:uid="{00000000-0005-0000-0000-0000B0060000}"/>
    <cellStyle name="_TableRowHead_Model Short Form2_Harlem 116th-117th 4-10-12" xfId="1524" xr:uid="{00000000-0005-0000-0000-0000B1060000}"/>
    <cellStyle name="_TableRowHead_Model Short Form2_Harlem 116th-117th 5-22-12" xfId="1525" xr:uid="{00000000-0005-0000-0000-0000B2060000}"/>
    <cellStyle name="_TableRowHead_Model Short Form2_Harlem 116th-117th 5-25-12 v1" xfId="1526" xr:uid="{00000000-0005-0000-0000-0000B3060000}"/>
    <cellStyle name="_TableRowHead_Model Short Form2_Harlem 116th-117th 5-3-12" xfId="1527" xr:uid="{00000000-0005-0000-0000-0000B4060000}"/>
    <cellStyle name="_TableRowHead_Model Short Form2_Harlem 116th-117th 6.16.11 v1" xfId="1528" xr:uid="{00000000-0005-0000-0000-0000B5060000}"/>
    <cellStyle name="_TableRowHead_Model Short Form2_Harlem 116th-117th 6.20.11 v1" xfId="1529" xr:uid="{00000000-0005-0000-0000-0000B6060000}"/>
    <cellStyle name="_TableRowHead_Model Short Form2_Harlem 116th-117th 6-1-12-js" xfId="1530" xr:uid="{00000000-0005-0000-0000-0000B7060000}"/>
    <cellStyle name="_TableRowHead_Model Short Form2_Harlem 116th-117th 6-4-12" xfId="1531" xr:uid="{00000000-0005-0000-0000-0000B8060000}"/>
    <cellStyle name="_TableRowHead_Model Short Form2_Harlem 116th-117th 6-4-12 -JS ACQUISITION CLOSING TAB" xfId="1532" xr:uid="{00000000-0005-0000-0000-0000B9060000}"/>
    <cellStyle name="_TableRowHead_Model Short Form2_Harlem 116th-117th 6-5-12 v1" xfId="1533" xr:uid="{00000000-0005-0000-0000-0000BA060000}"/>
    <cellStyle name="_TableRowHead_Model Short Form2_Harlem 116th-117th 7.7.11_condo 116 with updated TC tabs" xfId="1534" xr:uid="{00000000-0005-0000-0000-0000BB060000}"/>
    <cellStyle name="_TableRowHead_Model Short Form2_Harlem 116th-117th 8 22 11_all rental" xfId="1535" xr:uid="{00000000-0005-0000-0000-0000BC060000}"/>
    <cellStyle name="_TableRowHead_Model Short Form2_HCR Source Budget" xfId="1536" xr:uid="{00000000-0005-0000-0000-0000BD060000}"/>
    <cellStyle name="_TableRowHead_Model Short Form2_HRP-1951 Park - NORTH" xfId="1537" xr:uid="{00000000-0005-0000-0000-0000BE060000}"/>
    <cellStyle name="_TableRowHead_Model Short Form2_LIC 03.01.11" xfId="1538" xr:uid="{00000000-0005-0000-0000-0000BF060000}"/>
    <cellStyle name="_TableRowHead_Model Short Form2_LIC Pearson 07-07-11" xfId="1539" xr:uid="{00000000-0005-0000-0000-0000C0060000}"/>
    <cellStyle name="_TableRowHead_Model Short Form2_LIC Pearson 12-27-11" xfId="1540" xr:uid="{00000000-0005-0000-0000-0000C1060000}"/>
    <cellStyle name="_TableRowHead_Model Short Form2_LIC Pearson April 2012-d" xfId="1541" xr:uid="{00000000-0005-0000-0000-0000C2060000}"/>
    <cellStyle name="_TableRowHead_Model Short Form2_M&amp;O" xfId="1542" xr:uid="{00000000-0005-0000-0000-0000C3060000}"/>
    <cellStyle name="_TableRowHead_Model Short Form2_NSP Trois 02.24.11" xfId="1543" xr:uid="{00000000-0005-0000-0000-0000C4060000}"/>
    <cellStyle name="_TableRowHead_Model Short Form2_NSP Trois 03.01.11" xfId="1544" xr:uid="{00000000-0005-0000-0000-0000C5060000}"/>
    <cellStyle name="_TableRowHead_Model Short Form2_Sheet1" xfId="1545" xr:uid="{00000000-0005-0000-0000-0000C6060000}"/>
    <cellStyle name="_TableRowHead_Model Short Form2_Summary" xfId="1546" xr:uid="{00000000-0005-0000-0000-0000C7060000}"/>
    <cellStyle name="_TableRowHead_rent vs. own analysis" xfId="1547" xr:uid="{00000000-0005-0000-0000-0000C8060000}"/>
    <cellStyle name="_TableRowHead_Union CIty" xfId="1548" xr:uid="{00000000-0005-0000-0000-0000C9060000}"/>
    <cellStyle name="_TableRowHeading" xfId="1549" xr:uid="{00000000-0005-0000-0000-0000CA060000}"/>
    <cellStyle name="_TableSuperHead" xfId="1550" xr:uid="{00000000-0005-0000-0000-0000CB060000}"/>
    <cellStyle name="_TableSuperHead_Arena budget (9-9-07)" xfId="5453" xr:uid="{00000000-0005-0000-0000-0000CC060000}"/>
    <cellStyle name="_TableSuperHead_Assumptions_SALE" xfId="1551" xr:uid="{00000000-0005-0000-0000-0000CD060000}"/>
    <cellStyle name="_TableSuperHead_Assumptions_SALE 2" xfId="1552" xr:uid="{00000000-0005-0000-0000-0000CE060000}"/>
    <cellStyle name="_TableSuperHead_Assumptions_SALE_110609-AbyRenni" xfId="1553" xr:uid="{00000000-0005-0000-0000-0000CF060000}"/>
    <cellStyle name="_TableSuperHead_Assumptions_SALE_116th condo" xfId="1554" xr:uid="{00000000-0005-0000-0000-0000D0060000}"/>
    <cellStyle name="_TableSuperHead_Assumptions_SALE_116th market condo 02.23.11" xfId="1555" xr:uid="{00000000-0005-0000-0000-0000D1060000}"/>
    <cellStyle name="_TableSuperHead_Assumptions_SALE_116th market condo 12.27" xfId="1556" xr:uid="{00000000-0005-0000-0000-0000D2060000}"/>
    <cellStyle name="_TableSuperHead_Assumptions_SALE_116th market condo nmtc 03.16.11" xfId="1557" xr:uid="{00000000-0005-0000-0000-0000D3060000}"/>
    <cellStyle name="_TableSuperHead_Assumptions_SALE_116th market rental 12.27" xfId="1558" xr:uid="{00000000-0005-0000-0000-0000D4060000}"/>
    <cellStyle name="_TableSuperHead_Assumptions_SALE_120403-Utica-3rd Flr Gym" xfId="1559" xr:uid="{00000000-0005-0000-0000-0000D5060000}"/>
    <cellStyle name="_TableSuperHead_Assumptions_SALE_120507 Dyckman Base Case" xfId="1560" xr:uid="{00000000-0005-0000-0000-0000D6060000}"/>
    <cellStyle name="_TableSuperHead_Assumptions_SALE_120510 80-20 Dyckmanlg" xfId="1561" xr:uid="{00000000-0005-0000-0000-0000D7060000}"/>
    <cellStyle name="_TableSuperHead_Assumptions_SALE_120604 - Utica NMTC" xfId="1562" xr:uid="{00000000-0005-0000-0000-0000D8060000}"/>
    <cellStyle name="_TableSuperHead_Assumptions_SALE_120612 - Utica NMTC" xfId="1563" xr:uid="{00000000-0005-0000-0000-0000D9060000}"/>
    <cellStyle name="_TableSuperHead_Assumptions_SALE_120620 - Utica NMTC" xfId="1564" xr:uid="{00000000-0005-0000-0000-0000DA060000}"/>
    <cellStyle name="_TableSuperHead_Assumptions_SALE_120807 Standard Budget" xfId="1565" xr:uid="{00000000-0005-0000-0000-0000DB060000}"/>
    <cellStyle name="_TableSuperHead_Assumptions_SALE_130205- 280 Franklin" xfId="1566" xr:uid="{00000000-0005-0000-0000-0000DC060000}"/>
    <cellStyle name="_TableSuperHead_Assumptions_SALE_250 Utica 4.7.11" xfId="1567" xr:uid="{00000000-0005-0000-0000-0000DD060000}"/>
    <cellStyle name="_TableSuperHead_Assumptions_SALE_Dev Budget" xfId="1568" xr:uid="{00000000-0005-0000-0000-0000DE060000}"/>
    <cellStyle name="_TableSuperHead_Assumptions_SALE_Harlem 116th-117th 11 22 11" xfId="1569" xr:uid="{00000000-0005-0000-0000-0000DF060000}"/>
    <cellStyle name="_TableSuperHead_Assumptions_SALE_Harlem 116th-117th 11 7 11" xfId="1570" xr:uid="{00000000-0005-0000-0000-0000E0060000}"/>
    <cellStyle name="_TableSuperHead_Assumptions_SALE_Harlem 116th-117th 12-27-11" xfId="1571" xr:uid="{00000000-0005-0000-0000-0000E1060000}"/>
    <cellStyle name="_TableSuperHead_Assumptions_SALE_Harlem 116th-117th 12-27-11 v2" xfId="1572" xr:uid="{00000000-0005-0000-0000-0000E2060000}"/>
    <cellStyle name="_TableSuperHead_Assumptions_SALE_Harlem 116th-117th 3-12-12" xfId="1573" xr:uid="{00000000-0005-0000-0000-0000E3060000}"/>
    <cellStyle name="_TableSuperHead_Assumptions_SALE_Harlem 116th-117th 4.8.11" xfId="1574" xr:uid="{00000000-0005-0000-0000-0000E4060000}"/>
    <cellStyle name="_TableSuperHead_Assumptions_SALE_Harlem 116th-117th 4.8.11 v1" xfId="1575" xr:uid="{00000000-0005-0000-0000-0000E5060000}"/>
    <cellStyle name="_TableSuperHead_Assumptions_SALE_Harlem 116th-117th 4-10-12" xfId="1576" xr:uid="{00000000-0005-0000-0000-0000E6060000}"/>
    <cellStyle name="_TableSuperHead_Assumptions_SALE_Harlem 116th-117th 5-22-12" xfId="1577" xr:uid="{00000000-0005-0000-0000-0000E7060000}"/>
    <cellStyle name="_TableSuperHead_Assumptions_SALE_Harlem 116th-117th 5-25-12 v1" xfId="1578" xr:uid="{00000000-0005-0000-0000-0000E8060000}"/>
    <cellStyle name="_TableSuperHead_Assumptions_SALE_Harlem 116th-117th 5-3-12" xfId="1579" xr:uid="{00000000-0005-0000-0000-0000E9060000}"/>
    <cellStyle name="_TableSuperHead_Assumptions_SALE_Harlem 116th-117th 6.16.11 v1" xfId="1580" xr:uid="{00000000-0005-0000-0000-0000EA060000}"/>
    <cellStyle name="_TableSuperHead_Assumptions_SALE_Harlem 116th-117th 6.20.11 v1" xfId="1581" xr:uid="{00000000-0005-0000-0000-0000EB060000}"/>
    <cellStyle name="_TableSuperHead_Assumptions_SALE_Harlem 116th-117th 6-1-12-js" xfId="1582" xr:uid="{00000000-0005-0000-0000-0000EC060000}"/>
    <cellStyle name="_TableSuperHead_Assumptions_SALE_Harlem 116th-117th 6-4-12" xfId="1583" xr:uid="{00000000-0005-0000-0000-0000ED060000}"/>
    <cellStyle name="_TableSuperHead_Assumptions_SALE_Harlem 116th-117th 6-4-12 -JS ACQUISITION CLOSING TAB" xfId="1584" xr:uid="{00000000-0005-0000-0000-0000EE060000}"/>
    <cellStyle name="_TableSuperHead_Assumptions_SALE_Harlem 116th-117th 6-5-12 v1" xfId="1585" xr:uid="{00000000-0005-0000-0000-0000EF060000}"/>
    <cellStyle name="_TableSuperHead_Assumptions_SALE_Harlem 116th-117th 7.7.11_condo 116 with updated TC tabs" xfId="1586" xr:uid="{00000000-0005-0000-0000-0000F0060000}"/>
    <cellStyle name="_TableSuperHead_Assumptions_SALE_Harlem 116th-117th 8 22 11_all rental" xfId="1587" xr:uid="{00000000-0005-0000-0000-0000F1060000}"/>
    <cellStyle name="_TableSuperHead_Assumptions_SALE_HCR Source Budget" xfId="1588" xr:uid="{00000000-0005-0000-0000-0000F2060000}"/>
    <cellStyle name="_TableSuperHead_Assumptions_SALE_HRP-1951 Park - NORTH" xfId="1589" xr:uid="{00000000-0005-0000-0000-0000F3060000}"/>
    <cellStyle name="_TableSuperHead_Assumptions_SALE_LIC 03.01.11" xfId="1590" xr:uid="{00000000-0005-0000-0000-0000F4060000}"/>
    <cellStyle name="_TableSuperHead_Assumptions_SALE_LIC Pearson 07-07-11" xfId="1591" xr:uid="{00000000-0005-0000-0000-0000F5060000}"/>
    <cellStyle name="_TableSuperHead_Assumptions_SALE_LIC Pearson 12-27-11" xfId="1592" xr:uid="{00000000-0005-0000-0000-0000F6060000}"/>
    <cellStyle name="_TableSuperHead_Assumptions_SALE_LIC Pearson April 2012-d" xfId="1593" xr:uid="{00000000-0005-0000-0000-0000F7060000}"/>
    <cellStyle name="_TableSuperHead_Assumptions_SALE_M&amp;O" xfId="1594" xr:uid="{00000000-0005-0000-0000-0000F8060000}"/>
    <cellStyle name="_TableSuperHead_Assumptions_SALE_NSP Trois 02.24.11" xfId="1595" xr:uid="{00000000-0005-0000-0000-0000F9060000}"/>
    <cellStyle name="_TableSuperHead_Assumptions_SALE_NSP Trois 03.01.11" xfId="1596" xr:uid="{00000000-0005-0000-0000-0000FA060000}"/>
    <cellStyle name="_TableSuperHead_Assumptions_SALE_Sheet1" xfId="1597" xr:uid="{00000000-0005-0000-0000-0000FB060000}"/>
    <cellStyle name="_TableSuperHead_Assumptions_SALE_Summary" xfId="1598" xr:uid="{00000000-0005-0000-0000-0000FC060000}"/>
    <cellStyle name="_TableSuperHead_Book2" xfId="5455" xr:uid="{00000000-0005-0000-0000-0000FD060000}"/>
    <cellStyle name="_TableSuperHead_Merger Plans v03" xfId="1599" xr:uid="{00000000-0005-0000-0000-0000FE060000}"/>
    <cellStyle name="_TableSuperHead_Merger Plans v04" xfId="1600" xr:uid="{00000000-0005-0000-0000-0000FF060000}"/>
    <cellStyle name="_TableSuperHead_Model 09" xfId="1601" xr:uid="{00000000-0005-0000-0000-000000070000}"/>
    <cellStyle name="_TableSuperHead_Model Short Form2" xfId="1602" xr:uid="{00000000-0005-0000-0000-000001070000}"/>
    <cellStyle name="_TableSuperHead_Model Short Form2 2" xfId="1603" xr:uid="{00000000-0005-0000-0000-000002070000}"/>
    <cellStyle name="_TableSuperHead_Model Short Form2_110609-AbyRenni" xfId="1604" xr:uid="{00000000-0005-0000-0000-000003070000}"/>
    <cellStyle name="_TableSuperHead_Model Short Form2_116th condo" xfId="1605" xr:uid="{00000000-0005-0000-0000-000004070000}"/>
    <cellStyle name="_TableSuperHead_Model Short Form2_116th market condo 02.23.11" xfId="1606" xr:uid="{00000000-0005-0000-0000-000005070000}"/>
    <cellStyle name="_TableSuperHead_Model Short Form2_116th market condo 12.27" xfId="1607" xr:uid="{00000000-0005-0000-0000-000006070000}"/>
    <cellStyle name="_TableSuperHead_Model Short Form2_116th market condo nmtc 03.16.11" xfId="1608" xr:uid="{00000000-0005-0000-0000-000007070000}"/>
    <cellStyle name="_TableSuperHead_Model Short Form2_116th market rental 12.27" xfId="1609" xr:uid="{00000000-0005-0000-0000-000008070000}"/>
    <cellStyle name="_TableSuperHead_Model Short Form2_120403-Utica-3rd Flr Gym" xfId="1610" xr:uid="{00000000-0005-0000-0000-000009070000}"/>
    <cellStyle name="_TableSuperHead_Model Short Form2_120507 Dyckman Base Case" xfId="1611" xr:uid="{00000000-0005-0000-0000-00000A070000}"/>
    <cellStyle name="_TableSuperHead_Model Short Form2_120510 80-20 Dyckmanlg" xfId="1612" xr:uid="{00000000-0005-0000-0000-00000B070000}"/>
    <cellStyle name="_TableSuperHead_Model Short Form2_120604 - Utica NMTC" xfId="1613" xr:uid="{00000000-0005-0000-0000-00000C070000}"/>
    <cellStyle name="_TableSuperHead_Model Short Form2_120612 - Utica NMTC" xfId="1614" xr:uid="{00000000-0005-0000-0000-00000D070000}"/>
    <cellStyle name="_TableSuperHead_Model Short Form2_120620 - Utica NMTC" xfId="1615" xr:uid="{00000000-0005-0000-0000-00000E070000}"/>
    <cellStyle name="_TableSuperHead_Model Short Form2_120807 Standard Budget" xfId="1616" xr:uid="{00000000-0005-0000-0000-00000F070000}"/>
    <cellStyle name="_TableSuperHead_Model Short Form2_130205- 280 Franklin" xfId="1617" xr:uid="{00000000-0005-0000-0000-000010070000}"/>
    <cellStyle name="_TableSuperHead_Model Short Form2_250 Utica 4.7.11" xfId="1618" xr:uid="{00000000-0005-0000-0000-000011070000}"/>
    <cellStyle name="_TableSuperHead_Model Short Form2_Dev Budget" xfId="1619" xr:uid="{00000000-0005-0000-0000-000012070000}"/>
    <cellStyle name="_TableSuperHead_Model Short Form2_Harlem 116th-117th 11 22 11" xfId="1620" xr:uid="{00000000-0005-0000-0000-000013070000}"/>
    <cellStyle name="_TableSuperHead_Model Short Form2_Harlem 116th-117th 11 7 11" xfId="1621" xr:uid="{00000000-0005-0000-0000-000014070000}"/>
    <cellStyle name="_TableSuperHead_Model Short Form2_Harlem 116th-117th 12-27-11" xfId="1622" xr:uid="{00000000-0005-0000-0000-000015070000}"/>
    <cellStyle name="_TableSuperHead_Model Short Form2_Harlem 116th-117th 12-27-11 v2" xfId="1623" xr:uid="{00000000-0005-0000-0000-000016070000}"/>
    <cellStyle name="_TableSuperHead_Model Short Form2_Harlem 116th-117th 3-12-12" xfId="1624" xr:uid="{00000000-0005-0000-0000-000017070000}"/>
    <cellStyle name="_TableSuperHead_Model Short Form2_Harlem 116th-117th 4.8.11" xfId="1625" xr:uid="{00000000-0005-0000-0000-000018070000}"/>
    <cellStyle name="_TableSuperHead_Model Short Form2_Harlem 116th-117th 4.8.11 v1" xfId="1626" xr:uid="{00000000-0005-0000-0000-000019070000}"/>
    <cellStyle name="_TableSuperHead_Model Short Form2_Harlem 116th-117th 4-10-12" xfId="1627" xr:uid="{00000000-0005-0000-0000-00001A070000}"/>
    <cellStyle name="_TableSuperHead_Model Short Form2_Harlem 116th-117th 5-22-12" xfId="1628" xr:uid="{00000000-0005-0000-0000-00001B070000}"/>
    <cellStyle name="_TableSuperHead_Model Short Form2_Harlem 116th-117th 5-25-12 v1" xfId="1629" xr:uid="{00000000-0005-0000-0000-00001C070000}"/>
    <cellStyle name="_TableSuperHead_Model Short Form2_Harlem 116th-117th 5-3-12" xfId="1630" xr:uid="{00000000-0005-0000-0000-00001D070000}"/>
    <cellStyle name="_TableSuperHead_Model Short Form2_Harlem 116th-117th 6.16.11 v1" xfId="1631" xr:uid="{00000000-0005-0000-0000-00001E070000}"/>
    <cellStyle name="_TableSuperHead_Model Short Form2_Harlem 116th-117th 6.20.11 v1" xfId="1632" xr:uid="{00000000-0005-0000-0000-00001F070000}"/>
    <cellStyle name="_TableSuperHead_Model Short Form2_Harlem 116th-117th 6-1-12-js" xfId="1633" xr:uid="{00000000-0005-0000-0000-000020070000}"/>
    <cellStyle name="_TableSuperHead_Model Short Form2_Harlem 116th-117th 6-4-12" xfId="1634" xr:uid="{00000000-0005-0000-0000-000021070000}"/>
    <cellStyle name="_TableSuperHead_Model Short Form2_Harlem 116th-117th 6-4-12 -JS ACQUISITION CLOSING TAB" xfId="1635" xr:uid="{00000000-0005-0000-0000-000022070000}"/>
    <cellStyle name="_TableSuperHead_Model Short Form2_Harlem 116th-117th 6-5-12 v1" xfId="1636" xr:uid="{00000000-0005-0000-0000-000023070000}"/>
    <cellStyle name="_TableSuperHead_Model Short Form2_Harlem 116th-117th 7.7.11_condo 116 with updated TC tabs" xfId="1637" xr:uid="{00000000-0005-0000-0000-000024070000}"/>
    <cellStyle name="_TableSuperHead_Model Short Form2_Harlem 116th-117th 8 22 11_all rental" xfId="1638" xr:uid="{00000000-0005-0000-0000-000025070000}"/>
    <cellStyle name="_TableSuperHead_Model Short Form2_HCR Source Budget" xfId="1639" xr:uid="{00000000-0005-0000-0000-000026070000}"/>
    <cellStyle name="_TableSuperHead_Model Short Form2_HRP-1951 Park - NORTH" xfId="1640" xr:uid="{00000000-0005-0000-0000-000027070000}"/>
    <cellStyle name="_TableSuperHead_Model Short Form2_LIC 03.01.11" xfId="1641" xr:uid="{00000000-0005-0000-0000-000028070000}"/>
    <cellStyle name="_TableSuperHead_Model Short Form2_LIC Pearson 07-07-11" xfId="1642" xr:uid="{00000000-0005-0000-0000-000029070000}"/>
    <cellStyle name="_TableSuperHead_Model Short Form2_LIC Pearson 12-27-11" xfId="1643" xr:uid="{00000000-0005-0000-0000-00002A070000}"/>
    <cellStyle name="_TableSuperHead_Model Short Form2_LIC Pearson April 2012-d" xfId="1644" xr:uid="{00000000-0005-0000-0000-00002B070000}"/>
    <cellStyle name="_TableSuperHead_Model Short Form2_M&amp;O" xfId="1645" xr:uid="{00000000-0005-0000-0000-00002C070000}"/>
    <cellStyle name="_TableSuperHead_Model Short Form2_NSP Trois 02.24.11" xfId="1646" xr:uid="{00000000-0005-0000-0000-00002D070000}"/>
    <cellStyle name="_TableSuperHead_Model Short Form2_NSP Trois 03.01.11" xfId="1647" xr:uid="{00000000-0005-0000-0000-00002E070000}"/>
    <cellStyle name="_TableSuperHead_Model Short Form2_Sheet1" xfId="1648" xr:uid="{00000000-0005-0000-0000-00002F070000}"/>
    <cellStyle name="_TableSuperHead_Model Short Form2_Summary" xfId="1649" xr:uid="{00000000-0005-0000-0000-000030070000}"/>
    <cellStyle name="_TableSuperHead_rent vs. own analysis" xfId="1650" xr:uid="{00000000-0005-0000-0000-000031070000}"/>
    <cellStyle name="_TableSuperHead_SAC exhibit (9-17-07)" xfId="5332" xr:uid="{00000000-0005-0000-0000-000032070000}"/>
    <cellStyle name="_TableSuperHead_Union CIty" xfId="1651" xr:uid="{00000000-0005-0000-0000-000033070000}"/>
    <cellStyle name="_TableSuperHeading" xfId="1652" xr:uid="{00000000-0005-0000-0000-000034070000}"/>
    <cellStyle name="_TableText" xfId="1653" xr:uid="{00000000-0005-0000-0000-000035070000}"/>
    <cellStyle name="£ BP" xfId="35" xr:uid="{00000000-0005-0000-0000-000036070000}"/>
    <cellStyle name="£ BP 2" xfId="2997" xr:uid="{00000000-0005-0000-0000-000037070000}"/>
    <cellStyle name="£ BP 3" xfId="1654" xr:uid="{00000000-0005-0000-0000-000038070000}"/>
    <cellStyle name="¤@¯ë_pldt" xfId="4189" xr:uid="{00000000-0005-0000-0000-000039070000}"/>
    <cellStyle name="¥ JY" xfId="36" xr:uid="{00000000-0005-0000-0000-00003A070000}"/>
    <cellStyle name="¥ JY 2" xfId="2998" xr:uid="{00000000-0005-0000-0000-00003B070000}"/>
    <cellStyle name="¥ JY 3" xfId="1655" xr:uid="{00000000-0005-0000-0000-00003C070000}"/>
    <cellStyle name="€@¯ë_pldt" xfId="4190" xr:uid="{00000000-0005-0000-0000-00003D070000}"/>
    <cellStyle name="0" xfId="1656" xr:uid="{00000000-0005-0000-0000-00003E070000}"/>
    <cellStyle name="0 2" xfId="5376" xr:uid="{00000000-0005-0000-0000-00003F070000}"/>
    <cellStyle name="0.0" xfId="1657" xr:uid="{00000000-0005-0000-0000-000040070000}"/>
    <cellStyle name="0.0 2" xfId="5458" xr:uid="{00000000-0005-0000-0000-000041070000}"/>
    <cellStyle name="0.0 x" xfId="1658" xr:uid="{00000000-0005-0000-0000-000042070000}"/>
    <cellStyle name="0.00" xfId="1659" xr:uid="{00000000-0005-0000-0000-000043070000}"/>
    <cellStyle name="0.000" xfId="1660" xr:uid="{00000000-0005-0000-0000-000044070000}"/>
    <cellStyle name="0;0;" xfId="5354" xr:uid="{00000000-0005-0000-0000-000045070000}"/>
    <cellStyle name="000" xfId="1661" xr:uid="{00000000-0005-0000-0000-000046070000}"/>
    <cellStyle name="1" xfId="1662" xr:uid="{00000000-0005-0000-0000-000047070000}"/>
    <cellStyle name="1_03-05-31 Final OBS Reports" xfId="1663" xr:uid="{00000000-0005-0000-0000-000048070000}"/>
    <cellStyle name="1_03-05-31 Final OBS Reports_Sheet1" xfId="1664" xr:uid="{00000000-0005-0000-0000-000049070000}"/>
    <cellStyle name="1_GMACCH_Loans_OBS_033103_Final_v2" xfId="1665" xr:uid="{00000000-0005-0000-0000-00004A070000}"/>
    <cellStyle name="1_GMACCH_Loans_OBS_033103_Final_v2_Sheet1" xfId="1666" xr:uid="{00000000-0005-0000-0000-00004B070000}"/>
    <cellStyle name="1_Japan - 3Q02 Risk Rating Worksheet - 101602_Japan" xfId="1667" xr:uid="{00000000-0005-0000-0000-00004C070000}"/>
    <cellStyle name="1_Japan - 3Q02 Risk Rating Worksheet - 101602_Japan_Comparison vs. prior_Q2 2003" xfId="1668" xr:uid="{00000000-0005-0000-0000-00004D070000}"/>
    <cellStyle name="1_Japan - 3Q02 Risk Rating Worksheet - 101602_Japan_Comparison vs. prior_Q2 2003_Sheet1" xfId="1669" xr:uid="{00000000-0005-0000-0000-00004E070000}"/>
    <cellStyle name="1_Japan - 3Q02 Risk Rating Worksheet - 101602_Japan_Sheet1" xfId="1670" xr:uid="{00000000-0005-0000-0000-00004F070000}"/>
    <cellStyle name="1_Japan - 4Q2002 - Risk Rating Worksheet_final" xfId="1671" xr:uid="{00000000-0005-0000-0000-000050070000}"/>
    <cellStyle name="1_Japan - 4Q2002 - Risk Rating Worksheet_final_12.11.2002" xfId="1672" xr:uid="{00000000-0005-0000-0000-000051070000}"/>
    <cellStyle name="1_Japan - 4Q2002 - Risk Rating Worksheet_final_12.11.2002_Comparison vs. prior_Q2 2003" xfId="1673" xr:uid="{00000000-0005-0000-0000-000052070000}"/>
    <cellStyle name="1_Japan - 4Q2002 - Risk Rating Worksheet_final_12.11.2002_Comparison vs. prior_Q2 2003_Sheet1" xfId="1674" xr:uid="{00000000-0005-0000-0000-000053070000}"/>
    <cellStyle name="1_Japan - 4Q2002 - Risk Rating Worksheet_final_12.11.2002_Sheet1" xfId="1675" xr:uid="{00000000-0005-0000-0000-000054070000}"/>
    <cellStyle name="1_Japan - 4Q2002 - Risk Rating Worksheet_final_Comparison vs. prior_Q2 2003" xfId="1676" xr:uid="{00000000-0005-0000-0000-000055070000}"/>
    <cellStyle name="1_Japan - 4Q2002 - Risk Rating Worksheet_final_Comparison vs. prior_Q2 2003_Sheet1" xfId="1677" xr:uid="{00000000-0005-0000-0000-000056070000}"/>
    <cellStyle name="1_Japan - 4Q2002 - Risk Rating Worksheet_final_Sheet1" xfId="1678" xr:uid="{00000000-0005-0000-0000-000057070000}"/>
    <cellStyle name="1_Japan-1Q2003 - Risk Rating Worksheet03.06.2003F" xfId="1679" xr:uid="{00000000-0005-0000-0000-000058070000}"/>
    <cellStyle name="1_Japan-1Q2003 - Risk Rating Worksheet03.06.2003F_Comparison vs. prior_Q2 2003" xfId="1680" xr:uid="{00000000-0005-0000-0000-000059070000}"/>
    <cellStyle name="1_Japan-1Q2003 - Risk Rating Worksheet03.06.2003F_Comparison vs. prior_Q2 2003_Sheet1" xfId="1681" xr:uid="{00000000-0005-0000-0000-00005A070000}"/>
    <cellStyle name="1_Japan-1Q2003 - Risk Rating Worksheet03.06.2003F_Sheet1" xfId="1682" xr:uid="{00000000-0005-0000-0000-00005B070000}"/>
    <cellStyle name="1_SALEM" xfId="1683" xr:uid="{00000000-0005-0000-0000-00005C070000}"/>
    <cellStyle name="1_SALEM_03-05-31 Final OBS Reports" xfId="1684" xr:uid="{00000000-0005-0000-0000-00005D070000}"/>
    <cellStyle name="1_SALEM_03-05-31 Final OBS Reports_Sheet1" xfId="1685" xr:uid="{00000000-0005-0000-0000-00005E070000}"/>
    <cellStyle name="1_SALEM_GMACCH_Loans_OBS_033103_Final_v2" xfId="1686" xr:uid="{00000000-0005-0000-0000-00005F070000}"/>
    <cellStyle name="1_SALEM_GMACCH_Loans_OBS_033103_Final_v2_Sheet1" xfId="1687" xr:uid="{00000000-0005-0000-0000-000060070000}"/>
    <cellStyle name="1_SALEM_Japan - 3Q02 Risk Rating Worksheet - 101602_Japan" xfId="1688" xr:uid="{00000000-0005-0000-0000-000061070000}"/>
    <cellStyle name="1_SALEM_Japan - 3Q02 Risk Rating Worksheet - 101602_Japan_Comparison vs. prior_Q2 2003" xfId="1689" xr:uid="{00000000-0005-0000-0000-000062070000}"/>
    <cellStyle name="1_SALEM_Japan - 3Q02 Risk Rating Worksheet - 101602_Japan_Comparison vs. prior_Q2 2003_Sheet1" xfId="1690" xr:uid="{00000000-0005-0000-0000-000063070000}"/>
    <cellStyle name="1_SALEM_Japan - 3Q02 Risk Rating Worksheet - 101602_Japan_Sheet1" xfId="1691" xr:uid="{00000000-0005-0000-0000-000064070000}"/>
    <cellStyle name="1_SALEM_Japan - 4Q2002 - Risk Rating Worksheet_final" xfId="1692" xr:uid="{00000000-0005-0000-0000-000065070000}"/>
    <cellStyle name="1_SALEM_Japan - 4Q2002 - Risk Rating Worksheet_final_12.11.2002" xfId="1693" xr:uid="{00000000-0005-0000-0000-000066070000}"/>
    <cellStyle name="1_SALEM_Japan - 4Q2002 - Risk Rating Worksheet_final_12.11.2002_Comparison vs. prior_Q2 2003" xfId="1694" xr:uid="{00000000-0005-0000-0000-000067070000}"/>
    <cellStyle name="1_SALEM_Japan - 4Q2002 - Risk Rating Worksheet_final_12.11.2002_Comparison vs. prior_Q2 2003_Sheet1" xfId="1695" xr:uid="{00000000-0005-0000-0000-000068070000}"/>
    <cellStyle name="1_SALEM_Japan - 4Q2002 - Risk Rating Worksheet_final_12.11.2002_Sheet1" xfId="1696" xr:uid="{00000000-0005-0000-0000-000069070000}"/>
    <cellStyle name="1_SALEM_Japan - 4Q2002 - Risk Rating Worksheet_final_Comparison vs. prior_Q2 2003" xfId="1697" xr:uid="{00000000-0005-0000-0000-00006A070000}"/>
    <cellStyle name="1_SALEM_Japan - 4Q2002 - Risk Rating Worksheet_final_Comparison vs. prior_Q2 2003_Sheet1" xfId="1698" xr:uid="{00000000-0005-0000-0000-00006B070000}"/>
    <cellStyle name="1_SALEM_Japan - 4Q2002 - Risk Rating Worksheet_final_Sheet1" xfId="1699" xr:uid="{00000000-0005-0000-0000-00006C070000}"/>
    <cellStyle name="1_SALEM_Japan-1Q2003 - Risk Rating Worksheet03.06.2003F" xfId="1700" xr:uid="{00000000-0005-0000-0000-00006D070000}"/>
    <cellStyle name="1_SALEM_Japan-1Q2003 - Risk Rating Worksheet03.06.2003F_Comparison vs. prior_Q2 2003" xfId="1701" xr:uid="{00000000-0005-0000-0000-00006E070000}"/>
    <cellStyle name="1_SALEM_Japan-1Q2003 - Risk Rating Worksheet03.06.2003F_Comparison vs. prior_Q2 2003_Sheet1" xfId="1702" xr:uid="{00000000-0005-0000-0000-00006F070000}"/>
    <cellStyle name="1_SALEM_Japan-1Q2003 - Risk Rating Worksheet03.06.2003F_Sheet1" xfId="1703" xr:uid="{00000000-0005-0000-0000-000070070000}"/>
    <cellStyle name="1_SALEM_Sheet1" xfId="1704" xr:uid="{00000000-0005-0000-0000-000071070000}"/>
    <cellStyle name="1_SALEM_Sheet1_1" xfId="1705" xr:uid="{00000000-0005-0000-0000-000072070000}"/>
    <cellStyle name="1_SALEM_Sheet1_Sheet1" xfId="1706" xr:uid="{00000000-0005-0000-0000-000073070000}"/>
    <cellStyle name="1_SALEM_Sheet3" xfId="1707" xr:uid="{00000000-0005-0000-0000-000074070000}"/>
    <cellStyle name="1_SALEM_Sheet3_Sheet1" xfId="1708" xr:uid="{00000000-0005-0000-0000-000075070000}"/>
    <cellStyle name="1_sec8 (2)" xfId="1709" xr:uid="{00000000-0005-0000-0000-000076070000}"/>
    <cellStyle name="1_sec8 (2)_03-05-31 Final OBS Reports" xfId="1710" xr:uid="{00000000-0005-0000-0000-000077070000}"/>
    <cellStyle name="1_sec8 (2)_03-05-31 Final OBS Reports_Sheet1" xfId="1711" xr:uid="{00000000-0005-0000-0000-000078070000}"/>
    <cellStyle name="1_sec8 (2)_GMACCH_Loans_OBS_033103_Final_v2" xfId="1712" xr:uid="{00000000-0005-0000-0000-000079070000}"/>
    <cellStyle name="1_sec8 (2)_GMACCH_Loans_OBS_033103_Final_v2_Sheet1" xfId="1713" xr:uid="{00000000-0005-0000-0000-00007A070000}"/>
    <cellStyle name="1_sec8 (2)_Japan - 3Q02 Risk Rating Worksheet - 101602_Japan" xfId="1714" xr:uid="{00000000-0005-0000-0000-00007B070000}"/>
    <cellStyle name="1_sec8 (2)_Japan - 3Q02 Risk Rating Worksheet - 101602_Japan_Comparison vs. prior_Q2 2003" xfId="1715" xr:uid="{00000000-0005-0000-0000-00007C070000}"/>
    <cellStyle name="1_sec8 (2)_Japan - 3Q02 Risk Rating Worksheet - 101602_Japan_Comparison vs. prior_Q2 2003_Sheet1" xfId="1716" xr:uid="{00000000-0005-0000-0000-00007D070000}"/>
    <cellStyle name="1_sec8 (2)_Japan - 3Q02 Risk Rating Worksheet - 101602_Japan_Sheet1" xfId="1717" xr:uid="{00000000-0005-0000-0000-00007E070000}"/>
    <cellStyle name="1_sec8 (2)_Japan - 4Q2002 - Risk Rating Worksheet_final" xfId="1718" xr:uid="{00000000-0005-0000-0000-00007F070000}"/>
    <cellStyle name="1_sec8 (2)_Japan - 4Q2002 - Risk Rating Worksheet_final_12.11.2002" xfId="1719" xr:uid="{00000000-0005-0000-0000-000080070000}"/>
    <cellStyle name="1_sec8 (2)_Japan - 4Q2002 - Risk Rating Worksheet_final_12.11.2002_Comparison vs. prior_Q2 2003" xfId="1720" xr:uid="{00000000-0005-0000-0000-000081070000}"/>
    <cellStyle name="1_sec8 (2)_Japan - 4Q2002 - Risk Rating Worksheet_final_12.11.2002_Comparison vs. prior_Q2 2003_Sheet1" xfId="1721" xr:uid="{00000000-0005-0000-0000-000082070000}"/>
    <cellStyle name="1_sec8 (2)_Japan - 4Q2002 - Risk Rating Worksheet_final_12.11.2002_Sheet1" xfId="1722" xr:uid="{00000000-0005-0000-0000-000083070000}"/>
    <cellStyle name="1_sec8 (2)_Japan - 4Q2002 - Risk Rating Worksheet_final_Comparison vs. prior_Q2 2003" xfId="1723" xr:uid="{00000000-0005-0000-0000-000084070000}"/>
    <cellStyle name="1_sec8 (2)_Japan - 4Q2002 - Risk Rating Worksheet_final_Comparison vs. prior_Q2 2003_Sheet1" xfId="1724" xr:uid="{00000000-0005-0000-0000-000085070000}"/>
    <cellStyle name="1_sec8 (2)_Japan - 4Q2002 - Risk Rating Worksheet_final_Sheet1" xfId="1725" xr:uid="{00000000-0005-0000-0000-000086070000}"/>
    <cellStyle name="1_sec8 (2)_Japan-1Q2003 - Risk Rating Worksheet03.06.2003F" xfId="1726" xr:uid="{00000000-0005-0000-0000-000087070000}"/>
    <cellStyle name="1_sec8 (2)_Japan-1Q2003 - Risk Rating Worksheet03.06.2003F_Comparison vs. prior_Q2 2003" xfId="1727" xr:uid="{00000000-0005-0000-0000-000088070000}"/>
    <cellStyle name="1_sec8 (2)_Japan-1Q2003 - Risk Rating Worksheet03.06.2003F_Comparison vs. prior_Q2 2003_Sheet1" xfId="1728" xr:uid="{00000000-0005-0000-0000-000089070000}"/>
    <cellStyle name="1_sec8 (2)_Japan-1Q2003 - Risk Rating Worksheet03.06.2003F_Sheet1" xfId="1729" xr:uid="{00000000-0005-0000-0000-00008A070000}"/>
    <cellStyle name="1_sec8 (2)_Sheet1" xfId="1730" xr:uid="{00000000-0005-0000-0000-00008B070000}"/>
    <cellStyle name="1_sec8 (2)_Sheet1_1" xfId="1731" xr:uid="{00000000-0005-0000-0000-00008C070000}"/>
    <cellStyle name="1_sec8 (2)_Sheet1_Sheet1" xfId="1732" xr:uid="{00000000-0005-0000-0000-00008D070000}"/>
    <cellStyle name="1_sec8 (2)_Sheet3" xfId="1733" xr:uid="{00000000-0005-0000-0000-00008E070000}"/>
    <cellStyle name="1_sec8 (2)_Sheet3_Sheet1" xfId="1734" xr:uid="{00000000-0005-0000-0000-00008F070000}"/>
    <cellStyle name="1_Sheet1" xfId="1735" xr:uid="{00000000-0005-0000-0000-000090070000}"/>
    <cellStyle name="1_Sheet1_1" xfId="1736" xr:uid="{00000000-0005-0000-0000-000091070000}"/>
    <cellStyle name="1_Sheet1_Sheet1" xfId="1737" xr:uid="{00000000-0005-0000-0000-000092070000}"/>
    <cellStyle name="1_Sheet3" xfId="1738" xr:uid="{00000000-0005-0000-0000-000093070000}"/>
    <cellStyle name="1_Sheet3_Sheet1" xfId="1739" xr:uid="{00000000-0005-0000-0000-000094070000}"/>
    <cellStyle name="1Decimal" xfId="5459" xr:uid="{00000000-0005-0000-0000-000095070000}"/>
    <cellStyle name="2" xfId="1740" xr:uid="{00000000-0005-0000-0000-000096070000}"/>
    <cellStyle name="2_03-05-31 Final OBS Reports" xfId="1741" xr:uid="{00000000-0005-0000-0000-000097070000}"/>
    <cellStyle name="2_03-05-31 Final OBS Reports_Sheet1" xfId="1742" xr:uid="{00000000-0005-0000-0000-000098070000}"/>
    <cellStyle name="2_GMACCH_Loans_OBS_033103_Final_v2" xfId="1743" xr:uid="{00000000-0005-0000-0000-000099070000}"/>
    <cellStyle name="2_GMACCH_Loans_OBS_033103_Final_v2_Sheet1" xfId="1744" xr:uid="{00000000-0005-0000-0000-00009A070000}"/>
    <cellStyle name="2_Japan - 3Q02 Risk Rating Worksheet - 101602_Japan" xfId="1745" xr:uid="{00000000-0005-0000-0000-00009B070000}"/>
    <cellStyle name="2_Japan - 3Q02 Risk Rating Worksheet - 101602_Japan_Comparison vs. prior_Q2 2003" xfId="1746" xr:uid="{00000000-0005-0000-0000-00009C070000}"/>
    <cellStyle name="2_Japan - 3Q02 Risk Rating Worksheet - 101602_Japan_Comparison vs. prior_Q2 2003_Sheet1" xfId="1747" xr:uid="{00000000-0005-0000-0000-00009D070000}"/>
    <cellStyle name="2_Japan - 3Q02 Risk Rating Worksheet - 101602_Japan_Sheet1" xfId="1748" xr:uid="{00000000-0005-0000-0000-00009E070000}"/>
    <cellStyle name="2_Japan - 4Q2002 - Risk Rating Worksheet_final" xfId="1749" xr:uid="{00000000-0005-0000-0000-00009F070000}"/>
    <cellStyle name="2_Japan - 4Q2002 - Risk Rating Worksheet_final_12.11.2002" xfId="1750" xr:uid="{00000000-0005-0000-0000-0000A0070000}"/>
    <cellStyle name="2_Japan - 4Q2002 - Risk Rating Worksheet_final_12.11.2002_Comparison vs. prior_Q2 2003" xfId="1751" xr:uid="{00000000-0005-0000-0000-0000A1070000}"/>
    <cellStyle name="2_Japan - 4Q2002 - Risk Rating Worksheet_final_12.11.2002_Comparison vs. prior_Q2 2003_Sheet1" xfId="1752" xr:uid="{00000000-0005-0000-0000-0000A2070000}"/>
    <cellStyle name="2_Japan - 4Q2002 - Risk Rating Worksheet_final_12.11.2002_Sheet1" xfId="1753" xr:uid="{00000000-0005-0000-0000-0000A3070000}"/>
    <cellStyle name="2_Japan - 4Q2002 - Risk Rating Worksheet_final_Comparison vs. prior_Q2 2003" xfId="1754" xr:uid="{00000000-0005-0000-0000-0000A4070000}"/>
    <cellStyle name="2_Japan - 4Q2002 - Risk Rating Worksheet_final_Comparison vs. prior_Q2 2003_Sheet1" xfId="1755" xr:uid="{00000000-0005-0000-0000-0000A5070000}"/>
    <cellStyle name="2_Japan - 4Q2002 - Risk Rating Worksheet_final_Sheet1" xfId="1756" xr:uid="{00000000-0005-0000-0000-0000A6070000}"/>
    <cellStyle name="2_Japan-1Q2003 - Risk Rating Worksheet03.06.2003F" xfId="1757" xr:uid="{00000000-0005-0000-0000-0000A7070000}"/>
    <cellStyle name="2_Japan-1Q2003 - Risk Rating Worksheet03.06.2003F_Comparison vs. prior_Q2 2003" xfId="1758" xr:uid="{00000000-0005-0000-0000-0000A8070000}"/>
    <cellStyle name="2_Japan-1Q2003 - Risk Rating Worksheet03.06.2003F_Comparison vs. prior_Q2 2003_Sheet1" xfId="1759" xr:uid="{00000000-0005-0000-0000-0000A9070000}"/>
    <cellStyle name="2_Japan-1Q2003 - Risk Rating Worksheet03.06.2003F_Sheet1" xfId="1760" xr:uid="{00000000-0005-0000-0000-0000AA070000}"/>
    <cellStyle name="2_SALEM" xfId="1761" xr:uid="{00000000-0005-0000-0000-0000AB070000}"/>
    <cellStyle name="2_SALEM_03-05-31 Final OBS Reports" xfId="1762" xr:uid="{00000000-0005-0000-0000-0000AC070000}"/>
    <cellStyle name="2_SALEM_03-05-31 Final OBS Reports_Sheet1" xfId="1763" xr:uid="{00000000-0005-0000-0000-0000AD070000}"/>
    <cellStyle name="2_SALEM_GMACCH_Loans_OBS_033103_Final_v2" xfId="1764" xr:uid="{00000000-0005-0000-0000-0000AE070000}"/>
    <cellStyle name="2_SALEM_GMACCH_Loans_OBS_033103_Final_v2_Sheet1" xfId="1765" xr:uid="{00000000-0005-0000-0000-0000AF070000}"/>
    <cellStyle name="2_SALEM_Japan - 3Q02 Risk Rating Worksheet - 101602_Japan" xfId="1766" xr:uid="{00000000-0005-0000-0000-0000B0070000}"/>
    <cellStyle name="2_SALEM_Japan - 3Q02 Risk Rating Worksheet - 101602_Japan_Comparison vs. prior_Q2 2003" xfId="1767" xr:uid="{00000000-0005-0000-0000-0000B1070000}"/>
    <cellStyle name="2_SALEM_Japan - 3Q02 Risk Rating Worksheet - 101602_Japan_Comparison vs. prior_Q2 2003_Sheet1" xfId="1768" xr:uid="{00000000-0005-0000-0000-0000B2070000}"/>
    <cellStyle name="2_SALEM_Japan - 3Q02 Risk Rating Worksheet - 101602_Japan_Sheet1" xfId="1769" xr:uid="{00000000-0005-0000-0000-0000B3070000}"/>
    <cellStyle name="2_SALEM_Japan - 4Q2002 - Risk Rating Worksheet_final" xfId="1770" xr:uid="{00000000-0005-0000-0000-0000B4070000}"/>
    <cellStyle name="2_SALEM_Japan - 4Q2002 - Risk Rating Worksheet_final_12.11.2002" xfId="1771" xr:uid="{00000000-0005-0000-0000-0000B5070000}"/>
    <cellStyle name="2_SALEM_Japan - 4Q2002 - Risk Rating Worksheet_final_12.11.2002_Comparison vs. prior_Q2 2003" xfId="1772" xr:uid="{00000000-0005-0000-0000-0000B6070000}"/>
    <cellStyle name="2_SALEM_Japan - 4Q2002 - Risk Rating Worksheet_final_12.11.2002_Comparison vs. prior_Q2 2003_Sheet1" xfId="1773" xr:uid="{00000000-0005-0000-0000-0000B7070000}"/>
    <cellStyle name="2_SALEM_Japan - 4Q2002 - Risk Rating Worksheet_final_12.11.2002_Sheet1" xfId="1774" xr:uid="{00000000-0005-0000-0000-0000B8070000}"/>
    <cellStyle name="2_SALEM_Japan - 4Q2002 - Risk Rating Worksheet_final_Comparison vs. prior_Q2 2003" xfId="1775" xr:uid="{00000000-0005-0000-0000-0000B9070000}"/>
    <cellStyle name="2_SALEM_Japan - 4Q2002 - Risk Rating Worksheet_final_Comparison vs. prior_Q2 2003_Sheet1" xfId="1776" xr:uid="{00000000-0005-0000-0000-0000BA070000}"/>
    <cellStyle name="2_SALEM_Japan - 4Q2002 - Risk Rating Worksheet_final_Sheet1" xfId="1777" xr:uid="{00000000-0005-0000-0000-0000BB070000}"/>
    <cellStyle name="2_SALEM_Japan-1Q2003 - Risk Rating Worksheet03.06.2003F" xfId="1778" xr:uid="{00000000-0005-0000-0000-0000BC070000}"/>
    <cellStyle name="2_SALEM_Japan-1Q2003 - Risk Rating Worksheet03.06.2003F_Comparison vs. prior_Q2 2003" xfId="1779" xr:uid="{00000000-0005-0000-0000-0000BD070000}"/>
    <cellStyle name="2_SALEM_Japan-1Q2003 - Risk Rating Worksheet03.06.2003F_Comparison vs. prior_Q2 2003_Sheet1" xfId="1780" xr:uid="{00000000-0005-0000-0000-0000BE070000}"/>
    <cellStyle name="2_SALEM_Japan-1Q2003 - Risk Rating Worksheet03.06.2003F_Sheet1" xfId="1781" xr:uid="{00000000-0005-0000-0000-0000BF070000}"/>
    <cellStyle name="2_SALEM_Sheet1" xfId="1782" xr:uid="{00000000-0005-0000-0000-0000C0070000}"/>
    <cellStyle name="2_SALEM_Sheet1_1" xfId="1783" xr:uid="{00000000-0005-0000-0000-0000C1070000}"/>
    <cellStyle name="2_SALEM_Sheet1_Sheet1" xfId="1784" xr:uid="{00000000-0005-0000-0000-0000C2070000}"/>
    <cellStyle name="2_SALEM_Sheet3" xfId="1785" xr:uid="{00000000-0005-0000-0000-0000C3070000}"/>
    <cellStyle name="2_SALEM_Sheet3_Sheet1" xfId="1786" xr:uid="{00000000-0005-0000-0000-0000C4070000}"/>
    <cellStyle name="2_Sheet1" xfId="1787" xr:uid="{00000000-0005-0000-0000-0000C5070000}"/>
    <cellStyle name="2_Sheet1_1" xfId="1788" xr:uid="{00000000-0005-0000-0000-0000C6070000}"/>
    <cellStyle name="2_Sheet1_Sheet1" xfId="1789" xr:uid="{00000000-0005-0000-0000-0000C7070000}"/>
    <cellStyle name="2_Sheet3" xfId="1790" xr:uid="{00000000-0005-0000-0000-0000C8070000}"/>
    <cellStyle name="2_Sheet3_Sheet1" xfId="1791" xr:uid="{00000000-0005-0000-0000-0000C9070000}"/>
    <cellStyle name="20% - Accent1 2" xfId="1793" xr:uid="{00000000-0005-0000-0000-0000CA070000}"/>
    <cellStyle name="20% - Accent1 2 2" xfId="3378" xr:uid="{00000000-0005-0000-0000-0000CB070000}"/>
    <cellStyle name="20% - Accent1 2 3" xfId="3377" xr:uid="{00000000-0005-0000-0000-0000CC070000}"/>
    <cellStyle name="20% - Accent1 3" xfId="1794" xr:uid="{00000000-0005-0000-0000-0000CD070000}"/>
    <cellStyle name="20% - Accent1 4" xfId="1795" xr:uid="{00000000-0005-0000-0000-0000CE070000}"/>
    <cellStyle name="20% - Accent1 5" xfId="1796" xr:uid="{00000000-0005-0000-0000-0000CF070000}"/>
    <cellStyle name="20% - Accent1 6" xfId="1792" xr:uid="{00000000-0005-0000-0000-0000D0070000}"/>
    <cellStyle name="20% - Accent2 2" xfId="1798" xr:uid="{00000000-0005-0000-0000-0000D1070000}"/>
    <cellStyle name="20% - Accent2 2 2" xfId="3380" xr:uid="{00000000-0005-0000-0000-0000D2070000}"/>
    <cellStyle name="20% - Accent2 2 3" xfId="3379" xr:uid="{00000000-0005-0000-0000-0000D3070000}"/>
    <cellStyle name="20% - Accent2 3" xfId="1799" xr:uid="{00000000-0005-0000-0000-0000D4070000}"/>
    <cellStyle name="20% - Accent2 4" xfId="1800" xr:uid="{00000000-0005-0000-0000-0000D5070000}"/>
    <cellStyle name="20% - Accent2 5" xfId="1801" xr:uid="{00000000-0005-0000-0000-0000D6070000}"/>
    <cellStyle name="20% - Accent2 6" xfId="1797" xr:uid="{00000000-0005-0000-0000-0000D7070000}"/>
    <cellStyle name="20% - Accent3 2" xfId="1803" xr:uid="{00000000-0005-0000-0000-0000D8070000}"/>
    <cellStyle name="20% - Accent3 2 2" xfId="3382" xr:uid="{00000000-0005-0000-0000-0000D9070000}"/>
    <cellStyle name="20% - Accent3 2 3" xfId="3381" xr:uid="{00000000-0005-0000-0000-0000DA070000}"/>
    <cellStyle name="20% - Accent3 3" xfId="1804" xr:uid="{00000000-0005-0000-0000-0000DB070000}"/>
    <cellStyle name="20% - Accent3 4" xfId="1805" xr:uid="{00000000-0005-0000-0000-0000DC070000}"/>
    <cellStyle name="20% - Accent3 5" xfId="1806" xr:uid="{00000000-0005-0000-0000-0000DD070000}"/>
    <cellStyle name="20% - Accent3 6" xfId="1802" xr:uid="{00000000-0005-0000-0000-0000DE070000}"/>
    <cellStyle name="20% - Accent4 2" xfId="1808" xr:uid="{00000000-0005-0000-0000-0000DF070000}"/>
    <cellStyle name="20% - Accent4 2 2" xfId="3384" xr:uid="{00000000-0005-0000-0000-0000E0070000}"/>
    <cellStyle name="20% - Accent4 2 3" xfId="3383" xr:uid="{00000000-0005-0000-0000-0000E1070000}"/>
    <cellStyle name="20% - Accent4 3" xfId="1809" xr:uid="{00000000-0005-0000-0000-0000E2070000}"/>
    <cellStyle name="20% - Accent4 4" xfId="1810" xr:uid="{00000000-0005-0000-0000-0000E3070000}"/>
    <cellStyle name="20% - Accent4 5" xfId="1811" xr:uid="{00000000-0005-0000-0000-0000E4070000}"/>
    <cellStyle name="20% - Accent4 6" xfId="1807" xr:uid="{00000000-0005-0000-0000-0000E5070000}"/>
    <cellStyle name="20% - Accent5 2" xfId="1813" xr:uid="{00000000-0005-0000-0000-0000E6070000}"/>
    <cellStyle name="20% - Accent5 3" xfId="1814" xr:uid="{00000000-0005-0000-0000-0000E7070000}"/>
    <cellStyle name="20% - Accent5 4" xfId="1815" xr:uid="{00000000-0005-0000-0000-0000E8070000}"/>
    <cellStyle name="20% - Accent5 5" xfId="1816" xr:uid="{00000000-0005-0000-0000-0000E9070000}"/>
    <cellStyle name="20% - Accent5 6" xfId="1812" xr:uid="{00000000-0005-0000-0000-0000EA070000}"/>
    <cellStyle name="20% - Accent6 2" xfId="1818" xr:uid="{00000000-0005-0000-0000-0000EB070000}"/>
    <cellStyle name="20% - Accent6 3" xfId="1819" xr:uid="{00000000-0005-0000-0000-0000EC070000}"/>
    <cellStyle name="20% - Accent6 4" xfId="1820" xr:uid="{00000000-0005-0000-0000-0000ED070000}"/>
    <cellStyle name="20% - Accent6 5" xfId="1821" xr:uid="{00000000-0005-0000-0000-0000EE070000}"/>
    <cellStyle name="20% - Accent6 6" xfId="1817" xr:uid="{00000000-0005-0000-0000-0000EF070000}"/>
    <cellStyle name="2DecimalPercent" xfId="5460" xr:uid="{00000000-0005-0000-0000-0000F0070000}"/>
    <cellStyle name="2Decimals" xfId="5365" xr:uid="{00000000-0005-0000-0000-0000F1070000}"/>
    <cellStyle name="3" xfId="1822" xr:uid="{00000000-0005-0000-0000-0000F2070000}"/>
    <cellStyle name="3$" xfId="1823" xr:uid="{00000000-0005-0000-0000-0000F3070000}"/>
    <cellStyle name="3_03-05-31 Final OBS Reports" xfId="1824" xr:uid="{00000000-0005-0000-0000-0000F4070000}"/>
    <cellStyle name="3_03-05-31 Final OBS Reports_Sheet1" xfId="1825" xr:uid="{00000000-0005-0000-0000-0000F5070000}"/>
    <cellStyle name="3_GMACCH_Loans_OBS_033103_Final_v2" xfId="1826" xr:uid="{00000000-0005-0000-0000-0000F6070000}"/>
    <cellStyle name="3_GMACCH_Loans_OBS_033103_Final_v2_Sheet1" xfId="1827" xr:uid="{00000000-0005-0000-0000-0000F7070000}"/>
    <cellStyle name="3_Japan - 3Q02 Risk Rating Worksheet - 101602_Japan" xfId="1828" xr:uid="{00000000-0005-0000-0000-0000F8070000}"/>
    <cellStyle name="3_Japan - 3Q02 Risk Rating Worksheet - 101602_Japan_Comparison vs. prior_Q2 2003" xfId="1829" xr:uid="{00000000-0005-0000-0000-0000F9070000}"/>
    <cellStyle name="3_Japan - 3Q02 Risk Rating Worksheet - 101602_Japan_Comparison vs. prior_Q2 2003_Sheet1" xfId="1830" xr:uid="{00000000-0005-0000-0000-0000FA070000}"/>
    <cellStyle name="3_Japan - 3Q02 Risk Rating Worksheet - 101602_Japan_Sheet1" xfId="1831" xr:uid="{00000000-0005-0000-0000-0000FB070000}"/>
    <cellStyle name="3_Japan - 4Q2002 - Risk Rating Worksheet_final" xfId="1832" xr:uid="{00000000-0005-0000-0000-0000FC070000}"/>
    <cellStyle name="3_Japan - 4Q2002 - Risk Rating Worksheet_final_12.11.2002" xfId="1833" xr:uid="{00000000-0005-0000-0000-0000FD070000}"/>
    <cellStyle name="3_Japan - 4Q2002 - Risk Rating Worksheet_final_12.11.2002_Comparison vs. prior_Q2 2003" xfId="1834" xr:uid="{00000000-0005-0000-0000-0000FE070000}"/>
    <cellStyle name="3_Japan - 4Q2002 - Risk Rating Worksheet_final_12.11.2002_Comparison vs. prior_Q2 2003_Sheet1" xfId="1835" xr:uid="{00000000-0005-0000-0000-0000FF070000}"/>
    <cellStyle name="3_Japan - 4Q2002 - Risk Rating Worksheet_final_12.11.2002_Sheet1" xfId="1836" xr:uid="{00000000-0005-0000-0000-000000080000}"/>
    <cellStyle name="3_Japan - 4Q2002 - Risk Rating Worksheet_final_Comparison vs. prior_Q2 2003" xfId="1837" xr:uid="{00000000-0005-0000-0000-000001080000}"/>
    <cellStyle name="3_Japan - 4Q2002 - Risk Rating Worksheet_final_Comparison vs. prior_Q2 2003_Sheet1" xfId="1838" xr:uid="{00000000-0005-0000-0000-000002080000}"/>
    <cellStyle name="3_Japan - 4Q2002 - Risk Rating Worksheet_final_Sheet1" xfId="1839" xr:uid="{00000000-0005-0000-0000-000003080000}"/>
    <cellStyle name="3_Japan-1Q2003 - Risk Rating Worksheet03.06.2003F" xfId="1840" xr:uid="{00000000-0005-0000-0000-000004080000}"/>
    <cellStyle name="3_Japan-1Q2003 - Risk Rating Worksheet03.06.2003F_Comparison vs. prior_Q2 2003" xfId="1841" xr:uid="{00000000-0005-0000-0000-000005080000}"/>
    <cellStyle name="3_Japan-1Q2003 - Risk Rating Worksheet03.06.2003F_Comparison vs. prior_Q2 2003_Sheet1" xfId="1842" xr:uid="{00000000-0005-0000-0000-000006080000}"/>
    <cellStyle name="3_Japan-1Q2003 - Risk Rating Worksheet03.06.2003F_Sheet1" xfId="1843" xr:uid="{00000000-0005-0000-0000-000007080000}"/>
    <cellStyle name="3_Sheet1" xfId="1844" xr:uid="{00000000-0005-0000-0000-000008080000}"/>
    <cellStyle name="3_Sheet1_1" xfId="1845" xr:uid="{00000000-0005-0000-0000-000009080000}"/>
    <cellStyle name="3_Sheet1_Sheet1" xfId="1846" xr:uid="{00000000-0005-0000-0000-00000A080000}"/>
    <cellStyle name="3_Sheet3" xfId="1847" xr:uid="{00000000-0005-0000-0000-00000B080000}"/>
    <cellStyle name="3_Sheet3_Sheet1" xfId="1848" xr:uid="{00000000-0005-0000-0000-00000C080000}"/>
    <cellStyle name="³f¹ô[0]_pldt" xfId="4191" xr:uid="{00000000-0005-0000-0000-00000D080000}"/>
    <cellStyle name="³f¹ô_pldt" xfId="4192" xr:uid="{00000000-0005-0000-0000-00000E080000}"/>
    <cellStyle name="40% - Accent1 2" xfId="1850" xr:uid="{00000000-0005-0000-0000-00000F080000}"/>
    <cellStyle name="40% - Accent1 2 2" xfId="3386" xr:uid="{00000000-0005-0000-0000-000010080000}"/>
    <cellStyle name="40% - Accent1 2 3" xfId="3385" xr:uid="{00000000-0005-0000-0000-000011080000}"/>
    <cellStyle name="40% - Accent1 3" xfId="1851" xr:uid="{00000000-0005-0000-0000-000012080000}"/>
    <cellStyle name="40% - Accent1 4" xfId="1852" xr:uid="{00000000-0005-0000-0000-000013080000}"/>
    <cellStyle name="40% - Accent1 5" xfId="1853" xr:uid="{00000000-0005-0000-0000-000014080000}"/>
    <cellStyle name="40% - Accent1 6" xfId="1849" xr:uid="{00000000-0005-0000-0000-000015080000}"/>
    <cellStyle name="40% - Accent2 2" xfId="1855" xr:uid="{00000000-0005-0000-0000-000016080000}"/>
    <cellStyle name="40% - Accent2 3" xfId="1856" xr:uid="{00000000-0005-0000-0000-000017080000}"/>
    <cellStyle name="40% - Accent2 4" xfId="1857" xr:uid="{00000000-0005-0000-0000-000018080000}"/>
    <cellStyle name="40% - Accent2 5" xfId="1858" xr:uid="{00000000-0005-0000-0000-000019080000}"/>
    <cellStyle name="40% - Accent2 6" xfId="1854" xr:uid="{00000000-0005-0000-0000-00001A080000}"/>
    <cellStyle name="40% - Accent3 2" xfId="1860" xr:uid="{00000000-0005-0000-0000-00001B080000}"/>
    <cellStyle name="40% - Accent3 2 2" xfId="3388" xr:uid="{00000000-0005-0000-0000-00001C080000}"/>
    <cellStyle name="40% - Accent3 2 3" xfId="3387" xr:uid="{00000000-0005-0000-0000-00001D080000}"/>
    <cellStyle name="40% - Accent3 3" xfId="1861" xr:uid="{00000000-0005-0000-0000-00001E080000}"/>
    <cellStyle name="40% - Accent3 4" xfId="1862" xr:uid="{00000000-0005-0000-0000-00001F080000}"/>
    <cellStyle name="40% - Accent3 5" xfId="1863" xr:uid="{00000000-0005-0000-0000-000020080000}"/>
    <cellStyle name="40% - Accent3 6" xfId="1859" xr:uid="{00000000-0005-0000-0000-000021080000}"/>
    <cellStyle name="40% - Accent4 2" xfId="1865" xr:uid="{00000000-0005-0000-0000-000022080000}"/>
    <cellStyle name="40% - Accent4 2 2" xfId="3390" xr:uid="{00000000-0005-0000-0000-000023080000}"/>
    <cellStyle name="40% - Accent4 2 3" xfId="3389" xr:uid="{00000000-0005-0000-0000-000024080000}"/>
    <cellStyle name="40% - Accent4 3" xfId="1866" xr:uid="{00000000-0005-0000-0000-000025080000}"/>
    <cellStyle name="40% - Accent4 4" xfId="1867" xr:uid="{00000000-0005-0000-0000-000026080000}"/>
    <cellStyle name="40% - Accent4 5" xfId="1868" xr:uid="{00000000-0005-0000-0000-000027080000}"/>
    <cellStyle name="40% - Accent4 6" xfId="1864" xr:uid="{00000000-0005-0000-0000-000028080000}"/>
    <cellStyle name="40% - Accent5 2" xfId="1870" xr:uid="{00000000-0005-0000-0000-000029080000}"/>
    <cellStyle name="40% - Accent5 3" xfId="1871" xr:uid="{00000000-0005-0000-0000-00002A080000}"/>
    <cellStyle name="40% - Accent5 4" xfId="1872" xr:uid="{00000000-0005-0000-0000-00002B080000}"/>
    <cellStyle name="40% - Accent5 5" xfId="1873" xr:uid="{00000000-0005-0000-0000-00002C080000}"/>
    <cellStyle name="40% - Accent5 6" xfId="1869" xr:uid="{00000000-0005-0000-0000-00002D080000}"/>
    <cellStyle name="40% - Accent6 2" xfId="1875" xr:uid="{00000000-0005-0000-0000-00002E080000}"/>
    <cellStyle name="40% - Accent6 2 2" xfId="3392" xr:uid="{00000000-0005-0000-0000-00002F080000}"/>
    <cellStyle name="40% - Accent6 2 3" xfId="3391" xr:uid="{00000000-0005-0000-0000-000030080000}"/>
    <cellStyle name="40% - Accent6 3" xfId="1876" xr:uid="{00000000-0005-0000-0000-000031080000}"/>
    <cellStyle name="40% - Accent6 4" xfId="1877" xr:uid="{00000000-0005-0000-0000-000032080000}"/>
    <cellStyle name="40% - Accent6 5" xfId="1878" xr:uid="{00000000-0005-0000-0000-000033080000}"/>
    <cellStyle name="40% - Accent6 6" xfId="1874" xr:uid="{00000000-0005-0000-0000-000034080000}"/>
    <cellStyle name="60% - Accent1 2" xfId="1880" xr:uid="{00000000-0005-0000-0000-000035080000}"/>
    <cellStyle name="60% - Accent1 2 2" xfId="3394" xr:uid="{00000000-0005-0000-0000-000036080000}"/>
    <cellStyle name="60% - Accent1 2 3" xfId="3393" xr:uid="{00000000-0005-0000-0000-000037080000}"/>
    <cellStyle name="60% - Accent1 3" xfId="1881" xr:uid="{00000000-0005-0000-0000-000038080000}"/>
    <cellStyle name="60% - Accent1 4" xfId="1882" xr:uid="{00000000-0005-0000-0000-000039080000}"/>
    <cellStyle name="60% - Accent1 5" xfId="1883" xr:uid="{00000000-0005-0000-0000-00003A080000}"/>
    <cellStyle name="60% - Accent1 6" xfId="1879" xr:uid="{00000000-0005-0000-0000-00003B080000}"/>
    <cellStyle name="60% - Accent2 2" xfId="1885" xr:uid="{00000000-0005-0000-0000-00003C080000}"/>
    <cellStyle name="60% - Accent2 3" xfId="1886" xr:uid="{00000000-0005-0000-0000-00003D080000}"/>
    <cellStyle name="60% - Accent2 4" xfId="1887" xr:uid="{00000000-0005-0000-0000-00003E080000}"/>
    <cellStyle name="60% - Accent2 5" xfId="1888" xr:uid="{00000000-0005-0000-0000-00003F080000}"/>
    <cellStyle name="60% - Accent2 6" xfId="1884" xr:uid="{00000000-0005-0000-0000-000040080000}"/>
    <cellStyle name="60% - Accent3 2" xfId="1890" xr:uid="{00000000-0005-0000-0000-000041080000}"/>
    <cellStyle name="60% - Accent3 2 2" xfId="3396" xr:uid="{00000000-0005-0000-0000-000042080000}"/>
    <cellStyle name="60% - Accent3 2 3" xfId="3395" xr:uid="{00000000-0005-0000-0000-000043080000}"/>
    <cellStyle name="60% - Accent3 3" xfId="1891" xr:uid="{00000000-0005-0000-0000-000044080000}"/>
    <cellStyle name="60% - Accent3 4" xfId="1892" xr:uid="{00000000-0005-0000-0000-000045080000}"/>
    <cellStyle name="60% - Accent3 5" xfId="1893" xr:uid="{00000000-0005-0000-0000-000046080000}"/>
    <cellStyle name="60% - Accent3 6" xfId="1889" xr:uid="{00000000-0005-0000-0000-000047080000}"/>
    <cellStyle name="60% - Accent4 2" xfId="1895" xr:uid="{00000000-0005-0000-0000-000048080000}"/>
    <cellStyle name="60% - Accent4 2 2" xfId="3398" xr:uid="{00000000-0005-0000-0000-000049080000}"/>
    <cellStyle name="60% - Accent4 2 3" xfId="3397" xr:uid="{00000000-0005-0000-0000-00004A080000}"/>
    <cellStyle name="60% - Accent4 3" xfId="1896" xr:uid="{00000000-0005-0000-0000-00004B080000}"/>
    <cellStyle name="60% - Accent4 4" xfId="1897" xr:uid="{00000000-0005-0000-0000-00004C080000}"/>
    <cellStyle name="60% - Accent4 5" xfId="1898" xr:uid="{00000000-0005-0000-0000-00004D080000}"/>
    <cellStyle name="60% - Accent4 6" xfId="1894" xr:uid="{00000000-0005-0000-0000-00004E080000}"/>
    <cellStyle name="60% - Accent5 2" xfId="1900" xr:uid="{00000000-0005-0000-0000-00004F080000}"/>
    <cellStyle name="60% - Accent5 3" xfId="1901" xr:uid="{00000000-0005-0000-0000-000050080000}"/>
    <cellStyle name="60% - Accent5 4" xfId="1902" xr:uid="{00000000-0005-0000-0000-000051080000}"/>
    <cellStyle name="60% - Accent5 5" xfId="1903" xr:uid="{00000000-0005-0000-0000-000052080000}"/>
    <cellStyle name="60% - Accent5 6" xfId="1899" xr:uid="{00000000-0005-0000-0000-000053080000}"/>
    <cellStyle name="60% - Accent6 2" xfId="1905" xr:uid="{00000000-0005-0000-0000-000054080000}"/>
    <cellStyle name="60% - Accent6 2 2" xfId="3400" xr:uid="{00000000-0005-0000-0000-000055080000}"/>
    <cellStyle name="60% - Accent6 2 3" xfId="3399" xr:uid="{00000000-0005-0000-0000-000056080000}"/>
    <cellStyle name="60% - Accent6 3" xfId="1906" xr:uid="{00000000-0005-0000-0000-000057080000}"/>
    <cellStyle name="60% - Accent6 4" xfId="1907" xr:uid="{00000000-0005-0000-0000-000058080000}"/>
    <cellStyle name="60% - Accent6 5" xfId="1908" xr:uid="{00000000-0005-0000-0000-000059080000}"/>
    <cellStyle name="60% - Accent6 6" xfId="1904" xr:uid="{00000000-0005-0000-0000-00005A080000}"/>
    <cellStyle name="8pt" xfId="1909" xr:uid="{00000000-0005-0000-0000-00005B080000}"/>
    <cellStyle name="A10" xfId="1910" xr:uid="{00000000-0005-0000-0000-00005C080000}"/>
    <cellStyle name="A10 2" xfId="1911" xr:uid="{00000000-0005-0000-0000-00005D080000}"/>
    <cellStyle name="Accent1 2" xfId="1913" xr:uid="{00000000-0005-0000-0000-00005E080000}"/>
    <cellStyle name="Accent1 2 2" xfId="3402" xr:uid="{00000000-0005-0000-0000-00005F080000}"/>
    <cellStyle name="Accent1 2 3" xfId="3401" xr:uid="{00000000-0005-0000-0000-000060080000}"/>
    <cellStyle name="Accent1 3" xfId="1914" xr:uid="{00000000-0005-0000-0000-000061080000}"/>
    <cellStyle name="Accent1 4" xfId="1915" xr:uid="{00000000-0005-0000-0000-000062080000}"/>
    <cellStyle name="Accent1 5" xfId="1916" xr:uid="{00000000-0005-0000-0000-000063080000}"/>
    <cellStyle name="Accent1 6" xfId="1912" xr:uid="{00000000-0005-0000-0000-000064080000}"/>
    <cellStyle name="Accent2 2" xfId="1918" xr:uid="{00000000-0005-0000-0000-000065080000}"/>
    <cellStyle name="Accent2 2 2" xfId="3404" xr:uid="{00000000-0005-0000-0000-000066080000}"/>
    <cellStyle name="Accent2 2 3" xfId="3403" xr:uid="{00000000-0005-0000-0000-000067080000}"/>
    <cellStyle name="Accent2 3" xfId="1919" xr:uid="{00000000-0005-0000-0000-000068080000}"/>
    <cellStyle name="Accent2 4" xfId="1920" xr:uid="{00000000-0005-0000-0000-000069080000}"/>
    <cellStyle name="Accent2 5" xfId="1921" xr:uid="{00000000-0005-0000-0000-00006A080000}"/>
    <cellStyle name="Accent2 6" xfId="1917" xr:uid="{00000000-0005-0000-0000-00006B080000}"/>
    <cellStyle name="Accent3 2" xfId="1923" xr:uid="{00000000-0005-0000-0000-00006C080000}"/>
    <cellStyle name="Accent3 2 2" xfId="3406" xr:uid="{00000000-0005-0000-0000-00006D080000}"/>
    <cellStyle name="Accent3 2 3" xfId="3405" xr:uid="{00000000-0005-0000-0000-00006E080000}"/>
    <cellStyle name="Accent3 3" xfId="1924" xr:uid="{00000000-0005-0000-0000-00006F080000}"/>
    <cellStyle name="Accent3 4" xfId="1925" xr:uid="{00000000-0005-0000-0000-000070080000}"/>
    <cellStyle name="Accent3 5" xfId="1926" xr:uid="{00000000-0005-0000-0000-000071080000}"/>
    <cellStyle name="Accent3 6" xfId="1922" xr:uid="{00000000-0005-0000-0000-000072080000}"/>
    <cellStyle name="Accent4 2" xfId="1928" xr:uid="{00000000-0005-0000-0000-000073080000}"/>
    <cellStyle name="Accent4 2 2" xfId="3408" xr:uid="{00000000-0005-0000-0000-000074080000}"/>
    <cellStyle name="Accent4 2 3" xfId="3407" xr:uid="{00000000-0005-0000-0000-000075080000}"/>
    <cellStyle name="Accent4 3" xfId="1929" xr:uid="{00000000-0005-0000-0000-000076080000}"/>
    <cellStyle name="Accent4 4" xfId="1930" xr:uid="{00000000-0005-0000-0000-000077080000}"/>
    <cellStyle name="Accent4 5" xfId="1931" xr:uid="{00000000-0005-0000-0000-000078080000}"/>
    <cellStyle name="Accent4 6" xfId="1927" xr:uid="{00000000-0005-0000-0000-000079080000}"/>
    <cellStyle name="Accent5 2" xfId="1933" xr:uid="{00000000-0005-0000-0000-00007A080000}"/>
    <cellStyle name="Accent5 3" xfId="1934" xr:uid="{00000000-0005-0000-0000-00007B080000}"/>
    <cellStyle name="Accent5 4" xfId="1935" xr:uid="{00000000-0005-0000-0000-00007C080000}"/>
    <cellStyle name="Accent5 5" xfId="1936" xr:uid="{00000000-0005-0000-0000-00007D080000}"/>
    <cellStyle name="Accent5 6" xfId="1932" xr:uid="{00000000-0005-0000-0000-00007E080000}"/>
    <cellStyle name="Accent6 2" xfId="1938" xr:uid="{00000000-0005-0000-0000-00007F080000}"/>
    <cellStyle name="Accent6 3" xfId="1939" xr:uid="{00000000-0005-0000-0000-000080080000}"/>
    <cellStyle name="Accent6 4" xfId="1940" xr:uid="{00000000-0005-0000-0000-000081080000}"/>
    <cellStyle name="Accent6 5" xfId="1941" xr:uid="{00000000-0005-0000-0000-000082080000}"/>
    <cellStyle name="Accent6 6" xfId="1937" xr:uid="{00000000-0005-0000-0000-000083080000}"/>
    <cellStyle name="Acctg" xfId="5461" xr:uid="{00000000-0005-0000-0000-000084080000}"/>
    <cellStyle name="Acctg$" xfId="5462" xr:uid="{00000000-0005-0000-0000-000085080000}"/>
    <cellStyle name="Acres" xfId="1942" xr:uid="{00000000-0005-0000-0000-000086080000}"/>
    <cellStyle name="AFE" xfId="101" xr:uid="{00000000-0005-0000-0000-000087080000}"/>
    <cellStyle name="AFE 2" xfId="112" xr:uid="{00000000-0005-0000-0000-000088080000}"/>
    <cellStyle name="AFE 2 2" xfId="3036" xr:uid="{00000000-0005-0000-0000-000089080000}"/>
    <cellStyle name="AFE 2 3" xfId="1943" xr:uid="{00000000-0005-0000-0000-00008A080000}"/>
    <cellStyle name="AFE_Cash Flow for Tener 072210" xfId="1944" xr:uid="{00000000-0005-0000-0000-00008B080000}"/>
    <cellStyle name="ag" xfId="1945" xr:uid="{00000000-0005-0000-0000-00008C080000}"/>
    <cellStyle name="amount" xfId="1946" xr:uid="{00000000-0005-0000-0000-00008D080000}"/>
    <cellStyle name="amount 2" xfId="3614" xr:uid="{00000000-0005-0000-0000-00008E080000}"/>
    <cellStyle name="amount 2 2" xfId="3935" xr:uid="{00000000-0005-0000-0000-00008F080000}"/>
    <cellStyle name="AOB" xfId="1947" xr:uid="{00000000-0005-0000-0000-000090080000}"/>
    <cellStyle name="args.style" xfId="1948" xr:uid="{00000000-0005-0000-0000-000091080000}"/>
    <cellStyle name="Arial 10" xfId="1949" xr:uid="{00000000-0005-0000-0000-000092080000}"/>
    <cellStyle name="Arial 10 10" xfId="4193" xr:uid="{00000000-0005-0000-0000-000093080000}"/>
    <cellStyle name="Arial 10 11" xfId="4194" xr:uid="{00000000-0005-0000-0000-000094080000}"/>
    <cellStyle name="Arial 10 12" xfId="4195" xr:uid="{00000000-0005-0000-0000-000095080000}"/>
    <cellStyle name="Arial 10 13" xfId="4196" xr:uid="{00000000-0005-0000-0000-000096080000}"/>
    <cellStyle name="Arial 10 14" xfId="4197" xr:uid="{00000000-0005-0000-0000-000097080000}"/>
    <cellStyle name="Arial 10 15" xfId="4198" xr:uid="{00000000-0005-0000-0000-000098080000}"/>
    <cellStyle name="Arial 10 16" xfId="4199" xr:uid="{00000000-0005-0000-0000-000099080000}"/>
    <cellStyle name="Arial 10 17" xfId="4200" xr:uid="{00000000-0005-0000-0000-00009A080000}"/>
    <cellStyle name="Arial 10 18" xfId="4201" xr:uid="{00000000-0005-0000-0000-00009B080000}"/>
    <cellStyle name="Arial 10 19" xfId="4202" xr:uid="{00000000-0005-0000-0000-00009C080000}"/>
    <cellStyle name="Arial 10 2" xfId="4203" xr:uid="{00000000-0005-0000-0000-00009D080000}"/>
    <cellStyle name="Arial 10 2 2" xfId="4204" xr:uid="{00000000-0005-0000-0000-00009E080000}"/>
    <cellStyle name="Arial 10 20" xfId="4205" xr:uid="{00000000-0005-0000-0000-00009F080000}"/>
    <cellStyle name="Arial 10 21" xfId="4206" xr:uid="{00000000-0005-0000-0000-0000A0080000}"/>
    <cellStyle name="Arial 10 22" xfId="4207" xr:uid="{00000000-0005-0000-0000-0000A1080000}"/>
    <cellStyle name="Arial 10 23" xfId="4208" xr:uid="{00000000-0005-0000-0000-0000A2080000}"/>
    <cellStyle name="Arial 10 24" xfId="4209" xr:uid="{00000000-0005-0000-0000-0000A3080000}"/>
    <cellStyle name="Arial 10 25" xfId="4210" xr:uid="{00000000-0005-0000-0000-0000A4080000}"/>
    <cellStyle name="Arial 10 26" xfId="4211" xr:uid="{00000000-0005-0000-0000-0000A5080000}"/>
    <cellStyle name="Arial 10 27" xfId="4212" xr:uid="{00000000-0005-0000-0000-0000A6080000}"/>
    <cellStyle name="Arial 10 28" xfId="4213" xr:uid="{00000000-0005-0000-0000-0000A7080000}"/>
    <cellStyle name="Arial 10 29" xfId="4214" xr:uid="{00000000-0005-0000-0000-0000A8080000}"/>
    <cellStyle name="Arial 10 3" xfId="4215" xr:uid="{00000000-0005-0000-0000-0000A9080000}"/>
    <cellStyle name="Arial 10 4" xfId="4216" xr:uid="{00000000-0005-0000-0000-0000AA080000}"/>
    <cellStyle name="Arial 10 5" xfId="4217" xr:uid="{00000000-0005-0000-0000-0000AB080000}"/>
    <cellStyle name="Arial 10 6" xfId="4218" xr:uid="{00000000-0005-0000-0000-0000AC080000}"/>
    <cellStyle name="Arial 10 7" xfId="4219" xr:uid="{00000000-0005-0000-0000-0000AD080000}"/>
    <cellStyle name="Arial 10 8" xfId="4220" xr:uid="{00000000-0005-0000-0000-0000AE080000}"/>
    <cellStyle name="Arial 10 9" xfId="4221" xr:uid="{00000000-0005-0000-0000-0000AF080000}"/>
    <cellStyle name="Arial 10_NOI" xfId="4222" xr:uid="{00000000-0005-0000-0000-0000B0080000}"/>
    <cellStyle name="Arial 12" xfId="1950" xr:uid="{00000000-0005-0000-0000-0000B1080000}"/>
    <cellStyle name="Arial 12 10" xfId="4223" xr:uid="{00000000-0005-0000-0000-0000B2080000}"/>
    <cellStyle name="Arial 12 11" xfId="4224" xr:uid="{00000000-0005-0000-0000-0000B3080000}"/>
    <cellStyle name="Arial 12 12" xfId="4225" xr:uid="{00000000-0005-0000-0000-0000B4080000}"/>
    <cellStyle name="Arial 12 13" xfId="4226" xr:uid="{00000000-0005-0000-0000-0000B5080000}"/>
    <cellStyle name="Arial 12 14" xfId="4227" xr:uid="{00000000-0005-0000-0000-0000B6080000}"/>
    <cellStyle name="Arial 12 15" xfId="4228" xr:uid="{00000000-0005-0000-0000-0000B7080000}"/>
    <cellStyle name="Arial 12 16" xfId="4229" xr:uid="{00000000-0005-0000-0000-0000B8080000}"/>
    <cellStyle name="Arial 12 2" xfId="4230" xr:uid="{00000000-0005-0000-0000-0000B9080000}"/>
    <cellStyle name="Arial 12 3" xfId="4231" xr:uid="{00000000-0005-0000-0000-0000BA080000}"/>
    <cellStyle name="Arial 12 4" xfId="4232" xr:uid="{00000000-0005-0000-0000-0000BB080000}"/>
    <cellStyle name="Arial 12 5" xfId="4233" xr:uid="{00000000-0005-0000-0000-0000BC080000}"/>
    <cellStyle name="Arial 12 6" xfId="4234" xr:uid="{00000000-0005-0000-0000-0000BD080000}"/>
    <cellStyle name="Arial 12 7" xfId="4235" xr:uid="{00000000-0005-0000-0000-0000BE080000}"/>
    <cellStyle name="Arial 12 8" xfId="4236" xr:uid="{00000000-0005-0000-0000-0000BF080000}"/>
    <cellStyle name="Arial 12 9" xfId="4237" xr:uid="{00000000-0005-0000-0000-0000C0080000}"/>
    <cellStyle name="Arial 12_Riverbend_Model_07.15.11" xfId="4238" xr:uid="{00000000-0005-0000-0000-0000C1080000}"/>
    <cellStyle name="AUDITORIUM" xfId="1951" xr:uid="{00000000-0005-0000-0000-0000C2080000}"/>
    <cellStyle name="AUDITORIUM 2" xfId="1952" xr:uid="{00000000-0005-0000-0000-0000C3080000}"/>
    <cellStyle name="Bad 2" xfId="1954" xr:uid="{00000000-0005-0000-0000-0000C4080000}"/>
    <cellStyle name="Bad 2 2" xfId="3410" xr:uid="{00000000-0005-0000-0000-0000C5080000}"/>
    <cellStyle name="Bad 2 3" xfId="3409" xr:uid="{00000000-0005-0000-0000-0000C6080000}"/>
    <cellStyle name="Bad 3" xfId="1955" xr:uid="{00000000-0005-0000-0000-0000C7080000}"/>
    <cellStyle name="Bad 4" xfId="1956" xr:uid="{00000000-0005-0000-0000-0000C8080000}"/>
    <cellStyle name="Bad 5" xfId="1957" xr:uid="{00000000-0005-0000-0000-0000C9080000}"/>
    <cellStyle name="Bad 6" xfId="1953" xr:uid="{00000000-0005-0000-0000-0000CA080000}"/>
    <cellStyle name="BalanceSheet" xfId="5465" xr:uid="{00000000-0005-0000-0000-0000CB080000}"/>
    <cellStyle name="Big Head" xfId="37" xr:uid="{00000000-0005-0000-0000-0000CC080000}"/>
    <cellStyle name="Big Head 2" xfId="3562" xr:uid="{00000000-0005-0000-0000-0000CD080000}"/>
    <cellStyle name="Big Head 3" xfId="3563" xr:uid="{00000000-0005-0000-0000-0000CE080000}"/>
    <cellStyle name="Big Head 4" xfId="3107" xr:uid="{00000000-0005-0000-0000-0000CF080000}"/>
    <cellStyle name="BLACK" xfId="1958" xr:uid="{00000000-0005-0000-0000-0000D0080000}"/>
    <cellStyle name="BLACK 2" xfId="5468" xr:uid="{00000000-0005-0000-0000-0000D1080000}"/>
    <cellStyle name="Blank[,]" xfId="1959" xr:uid="{00000000-0005-0000-0000-0000D2080000}"/>
    <cellStyle name="Blank[1%]" xfId="1960" xr:uid="{00000000-0005-0000-0000-0000D3080000}"/>
    <cellStyle name="Blue" xfId="1961" xr:uid="{00000000-0005-0000-0000-0000D4080000}"/>
    <cellStyle name="blue currency" xfId="1962" xr:uid="{00000000-0005-0000-0000-0000D5080000}"/>
    <cellStyle name="BLUE date" xfId="1963" xr:uid="{00000000-0005-0000-0000-0000D6080000}"/>
    <cellStyle name="blue font" xfId="5469" xr:uid="{00000000-0005-0000-0000-0000D7080000}"/>
    <cellStyle name="blue$00" xfId="1964" xr:uid="{00000000-0005-0000-0000-0000D8080000}"/>
    <cellStyle name="BLUE_Citrix_2pgr2" xfId="1965" xr:uid="{00000000-0005-0000-0000-0000D9080000}"/>
    <cellStyle name="Body" xfId="1966" xr:uid="{00000000-0005-0000-0000-0000DA080000}"/>
    <cellStyle name="Body 2" xfId="5473" xr:uid="{00000000-0005-0000-0000-0000DB080000}"/>
    <cellStyle name="Body text" xfId="1967" xr:uid="{00000000-0005-0000-0000-0000DC080000}"/>
    <cellStyle name="Bold subhead" xfId="38" xr:uid="{00000000-0005-0000-0000-0000DD080000}"/>
    <cellStyle name="Bold subhead 2" xfId="5418" xr:uid="{00000000-0005-0000-0000-0000DE080000}"/>
    <cellStyle name="Bold subhead 3" xfId="5475" xr:uid="{00000000-0005-0000-0000-0000DF080000}"/>
    <cellStyle name="Bold/Border" xfId="39" xr:uid="{00000000-0005-0000-0000-0000E0080000}"/>
    <cellStyle name="Bold/Border 2" xfId="1968" xr:uid="{00000000-0005-0000-0000-0000E1080000}"/>
    <cellStyle name="Bold/Border 2 2" xfId="3615" xr:uid="{00000000-0005-0000-0000-0000E2080000}"/>
    <cellStyle name="Bold/Border 2 3" xfId="3789" xr:uid="{00000000-0005-0000-0000-0000E3080000}"/>
    <cellStyle name="Bold/Border 2 4" xfId="3261" xr:uid="{00000000-0005-0000-0000-0000E4080000}"/>
    <cellStyle name="Bold/Border 3" xfId="3078" xr:uid="{00000000-0005-0000-0000-0000E5080000}"/>
    <cellStyle name="Bold/Border 3 2" xfId="3900" xr:uid="{00000000-0005-0000-0000-0000E6080000}"/>
    <cellStyle name="Bold/Border 4" xfId="195" xr:uid="{00000000-0005-0000-0000-0000E7080000}"/>
    <cellStyle name="Bold/Border 5" xfId="5329" xr:uid="{00000000-0005-0000-0000-0000E8080000}"/>
    <cellStyle name="BoldItalicNoUnderline" xfId="1969" xr:uid="{00000000-0005-0000-0000-0000E9080000}"/>
    <cellStyle name="BoldSDoubUnderlineBack" xfId="1970" xr:uid="{00000000-0005-0000-0000-0000EA080000}"/>
    <cellStyle name="BoldSingUnderline" xfId="1971" xr:uid="{00000000-0005-0000-0000-0000EB080000}"/>
    <cellStyle name="BOM-DOWN" xfId="1972" xr:uid="{00000000-0005-0000-0000-0000EC080000}"/>
    <cellStyle name="Border Heavy" xfId="1973" xr:uid="{00000000-0005-0000-0000-0000ED080000}"/>
    <cellStyle name="Border Heavy 2" xfId="3765" xr:uid="{00000000-0005-0000-0000-0000EE080000}"/>
    <cellStyle name="Border Heavy 3" xfId="3263" xr:uid="{00000000-0005-0000-0000-0000EF080000}"/>
    <cellStyle name="Border Heavy 4" xfId="3151" xr:uid="{00000000-0005-0000-0000-0000F0080000}"/>
    <cellStyle name="Border Thin" xfId="1974" xr:uid="{00000000-0005-0000-0000-0000F1080000}"/>
    <cellStyle name="Borrower" xfId="5476" xr:uid="{00000000-0005-0000-0000-0000F2080000}"/>
    <cellStyle name="Bottom Border Line" xfId="1975" xr:uid="{00000000-0005-0000-0000-0000F3080000}"/>
    <cellStyle name="Bottom Border Line 2" xfId="3265" xr:uid="{00000000-0005-0000-0000-0000F4080000}"/>
    <cellStyle name="Bottom Edge" xfId="5478" xr:uid="{00000000-0005-0000-0000-0000F5080000}"/>
    <cellStyle name="Bottom Line" xfId="40" xr:uid="{00000000-0005-0000-0000-0000F6080000}"/>
    <cellStyle name="Bottom Line 2" xfId="5479" xr:uid="{00000000-0005-0000-0000-0000F7080000}"/>
    <cellStyle name="bottomHeavy" xfId="1976" xr:uid="{00000000-0005-0000-0000-0000F8080000}"/>
    <cellStyle name="bottomHeavy-w-left" xfId="1977" xr:uid="{00000000-0005-0000-0000-0000F9080000}"/>
    <cellStyle name="brad" xfId="1978" xr:uid="{00000000-0005-0000-0000-0000FA080000}"/>
    <cellStyle name="Break" xfId="1979" xr:uid="{00000000-0005-0000-0000-0000FB080000}"/>
    <cellStyle name="British Pound" xfId="1980" xr:uid="{00000000-0005-0000-0000-0000FC080000}"/>
    <cellStyle name="British Pound 2" xfId="4240" xr:uid="{00000000-0005-0000-0000-0000FD080000}"/>
    <cellStyle name="British Pound 3" xfId="4239" xr:uid="{00000000-0005-0000-0000-0000FE080000}"/>
    <cellStyle name="Bullet" xfId="41" xr:uid="{00000000-0005-0000-0000-0000FF080000}"/>
    <cellStyle name="Bullet 2" xfId="2999" xr:uid="{00000000-0005-0000-0000-000000090000}"/>
    <cellStyle name="Bullet 3" xfId="1981" xr:uid="{00000000-0005-0000-0000-000001090000}"/>
    <cellStyle name="Calc Currency (0)" xfId="1982" xr:uid="{00000000-0005-0000-0000-000002090000}"/>
    <cellStyle name="Calc Currency (0) 2" xfId="1983" xr:uid="{00000000-0005-0000-0000-000003090000}"/>
    <cellStyle name="Calc Currency (2)" xfId="1984" xr:uid="{00000000-0005-0000-0000-000004090000}"/>
    <cellStyle name="Calc Currency (2) 2" xfId="1985" xr:uid="{00000000-0005-0000-0000-000005090000}"/>
    <cellStyle name="Calc Percent (0)" xfId="1986" xr:uid="{00000000-0005-0000-0000-000006090000}"/>
    <cellStyle name="Calc Percent (0) 2" xfId="1987" xr:uid="{00000000-0005-0000-0000-000007090000}"/>
    <cellStyle name="Calc Percent (1)" xfId="1988" xr:uid="{00000000-0005-0000-0000-000008090000}"/>
    <cellStyle name="Calc Percent (1) 2" xfId="1989" xr:uid="{00000000-0005-0000-0000-000009090000}"/>
    <cellStyle name="Calc Percent (2)" xfId="1990" xr:uid="{00000000-0005-0000-0000-00000A090000}"/>
    <cellStyle name="Calc Percent (2) 2" xfId="1991" xr:uid="{00000000-0005-0000-0000-00000B090000}"/>
    <cellStyle name="Calc Units (0)" xfId="1992" xr:uid="{00000000-0005-0000-0000-00000C090000}"/>
    <cellStyle name="Calc Units (0) 2" xfId="1993" xr:uid="{00000000-0005-0000-0000-00000D090000}"/>
    <cellStyle name="Calc Units (1)" xfId="1994" xr:uid="{00000000-0005-0000-0000-00000E090000}"/>
    <cellStyle name="Calc Units (1) 2" xfId="1995" xr:uid="{00000000-0005-0000-0000-00000F090000}"/>
    <cellStyle name="Calc Units (2)" xfId="1996" xr:uid="{00000000-0005-0000-0000-000010090000}"/>
    <cellStyle name="Calc Units (2) 2" xfId="1997" xr:uid="{00000000-0005-0000-0000-000011090000}"/>
    <cellStyle name="Calculation 2" xfId="1999" xr:uid="{00000000-0005-0000-0000-000012090000}"/>
    <cellStyle name="Calculation 2 2" xfId="3412" xr:uid="{00000000-0005-0000-0000-000013090000}"/>
    <cellStyle name="Calculation 2 2 2" xfId="3696" xr:uid="{00000000-0005-0000-0000-000014090000}"/>
    <cellStyle name="Calculation 2 2 2 2" xfId="5121" xr:uid="{00000000-0005-0000-0000-000015090000}"/>
    <cellStyle name="Calculation 2 2 2 2 2" xfId="5205" xr:uid="{00000000-0005-0000-0000-000016090000}"/>
    <cellStyle name="Calculation 2 2 2 3" xfId="5162" xr:uid="{00000000-0005-0000-0000-000017090000}"/>
    <cellStyle name="Calculation 2 2 3" xfId="5082" xr:uid="{00000000-0005-0000-0000-000018090000}"/>
    <cellStyle name="Calculation 2 2 3 2" xfId="5135" xr:uid="{00000000-0005-0000-0000-000019090000}"/>
    <cellStyle name="Calculation 2 2 3 2 2" xfId="5219" xr:uid="{00000000-0005-0000-0000-00001A090000}"/>
    <cellStyle name="Calculation 2 2 3 3" xfId="5176" xr:uid="{00000000-0005-0000-0000-00001B090000}"/>
    <cellStyle name="Calculation 2 2 4" xfId="5110" xr:uid="{00000000-0005-0000-0000-00001C090000}"/>
    <cellStyle name="Calculation 2 2 4 2" xfId="5194" xr:uid="{00000000-0005-0000-0000-00001D090000}"/>
    <cellStyle name="Calculation 2 2 5" xfId="5031" xr:uid="{00000000-0005-0000-0000-00001E090000}"/>
    <cellStyle name="Calculation 2 3" xfId="3411" xr:uid="{00000000-0005-0000-0000-00001F090000}"/>
    <cellStyle name="Calculation 2 3 2" xfId="3923" xr:uid="{00000000-0005-0000-0000-000020090000}"/>
    <cellStyle name="Calculation 2 3 2 2" xfId="5127" xr:uid="{00000000-0005-0000-0000-000021090000}"/>
    <cellStyle name="Calculation 2 3 2 3" xfId="5211" xr:uid="{00000000-0005-0000-0000-000022090000}"/>
    <cellStyle name="Calculation 2 3 3" xfId="5168" xr:uid="{00000000-0005-0000-0000-000023090000}"/>
    <cellStyle name="Calculation 2 4" xfId="3697" xr:uid="{00000000-0005-0000-0000-000024090000}"/>
    <cellStyle name="Calculation 2 4 2" xfId="5123" xr:uid="{00000000-0005-0000-0000-000025090000}"/>
    <cellStyle name="Calculation 2 4 2 2" xfId="5207" xr:uid="{00000000-0005-0000-0000-000026090000}"/>
    <cellStyle name="Calculation 2 4 3" xfId="5164" xr:uid="{00000000-0005-0000-0000-000027090000}"/>
    <cellStyle name="Calculation 2 5" xfId="5109" xr:uid="{00000000-0005-0000-0000-000028090000}"/>
    <cellStyle name="Calculation 2 5 2" xfId="5193" xr:uid="{00000000-0005-0000-0000-000029090000}"/>
    <cellStyle name="Calculation 2 6" xfId="5045" xr:uid="{00000000-0005-0000-0000-00002A090000}"/>
    <cellStyle name="Calculation 3" xfId="2000" xr:uid="{00000000-0005-0000-0000-00002B090000}"/>
    <cellStyle name="Calculation 3 2" xfId="3617" xr:uid="{00000000-0005-0000-0000-00002C090000}"/>
    <cellStyle name="Calculation 3 2 2" xfId="3937" xr:uid="{00000000-0005-0000-0000-00002D090000}"/>
    <cellStyle name="Calculation 3 2 3" xfId="5122" xr:uid="{00000000-0005-0000-0000-00002E090000}"/>
    <cellStyle name="Calculation 3 2 4" xfId="5206" xr:uid="{00000000-0005-0000-0000-00002F090000}"/>
    <cellStyle name="Calculation 3 3" xfId="5163" xr:uid="{00000000-0005-0000-0000-000030090000}"/>
    <cellStyle name="Calculation 4" xfId="2001" xr:uid="{00000000-0005-0000-0000-000031090000}"/>
    <cellStyle name="Calculation 4 2" xfId="3618" xr:uid="{00000000-0005-0000-0000-000032090000}"/>
    <cellStyle name="Calculation 4 2 2" xfId="3938" xr:uid="{00000000-0005-0000-0000-000033090000}"/>
    <cellStyle name="Calculation 4 2 3" xfId="5130" xr:uid="{00000000-0005-0000-0000-000034090000}"/>
    <cellStyle name="Calculation 4 2 4" xfId="5214" xr:uid="{00000000-0005-0000-0000-000035090000}"/>
    <cellStyle name="Calculation 4 3" xfId="5073" xr:uid="{00000000-0005-0000-0000-000036090000}"/>
    <cellStyle name="Calculation 4 4" xfId="5171" xr:uid="{00000000-0005-0000-0000-000037090000}"/>
    <cellStyle name="Calculation 5" xfId="2002" xr:uid="{00000000-0005-0000-0000-000038090000}"/>
    <cellStyle name="Calculation 5 2" xfId="3619" xr:uid="{00000000-0005-0000-0000-000039090000}"/>
    <cellStyle name="Calculation 5 2 2" xfId="3939" xr:uid="{00000000-0005-0000-0000-00003A090000}"/>
    <cellStyle name="Calculation 5 2 3" xfId="5104" xr:uid="{00000000-0005-0000-0000-00003B090000}"/>
    <cellStyle name="Calculation 5 2 4" xfId="5188" xr:uid="{00000000-0005-0000-0000-00003C090000}"/>
    <cellStyle name="Calculation 5 3" xfId="5029" xr:uid="{00000000-0005-0000-0000-00003D090000}"/>
    <cellStyle name="Calculation 5 4" xfId="5035" xr:uid="{00000000-0005-0000-0000-00003E090000}"/>
    <cellStyle name="Calculation 6" xfId="1998" xr:uid="{00000000-0005-0000-0000-00003F090000}"/>
    <cellStyle name="Calculation 6 2" xfId="3616" xr:uid="{00000000-0005-0000-0000-000040090000}"/>
    <cellStyle name="Calculation 6 2 2" xfId="3936" xr:uid="{00000000-0005-0000-0000-000041090000}"/>
    <cellStyle name="Calculation 7" xfId="3351" xr:uid="{00000000-0005-0000-0000-000042090000}"/>
    <cellStyle name="Calculation 7 2" xfId="3920" xr:uid="{00000000-0005-0000-0000-000043090000}"/>
    <cellStyle name="caps 0.00" xfId="2003" xr:uid="{00000000-0005-0000-0000-000044090000}"/>
    <cellStyle name="caps 0.00 2" xfId="3875" xr:uid="{00000000-0005-0000-0000-000045090000}"/>
    <cellStyle name="capsdate" xfId="2004" xr:uid="{00000000-0005-0000-0000-000046090000}"/>
    <cellStyle name="Case" xfId="2005" xr:uid="{00000000-0005-0000-0000-000047090000}"/>
    <cellStyle name="Case 2" xfId="4242" xr:uid="{00000000-0005-0000-0000-000048090000}"/>
    <cellStyle name="Case 3" xfId="4241" xr:uid="{00000000-0005-0000-0000-000049090000}"/>
    <cellStyle name="CashFlow" xfId="5483" xr:uid="{00000000-0005-0000-0000-00004A090000}"/>
    <cellStyle name="Center Across" xfId="2006" xr:uid="{00000000-0005-0000-0000-00004B090000}"/>
    <cellStyle name="Center Across 2" xfId="3620" xr:uid="{00000000-0005-0000-0000-00004C090000}"/>
    <cellStyle name="Center Across 3" xfId="3790" xr:uid="{00000000-0005-0000-0000-00004D090000}"/>
    <cellStyle name="Center Across 4" xfId="3266" xr:uid="{00000000-0005-0000-0000-00004E090000}"/>
    <cellStyle name="Cents" xfId="5485" xr:uid="{00000000-0005-0000-0000-00004F090000}"/>
    <cellStyle name="Check Cell 2" xfId="2008" xr:uid="{00000000-0005-0000-0000-000050090000}"/>
    <cellStyle name="Check Cell 3" xfId="2009" xr:uid="{00000000-0005-0000-0000-000051090000}"/>
    <cellStyle name="Check Cell 4" xfId="2010" xr:uid="{00000000-0005-0000-0000-000052090000}"/>
    <cellStyle name="Check Cell 5" xfId="2011" xr:uid="{00000000-0005-0000-0000-000053090000}"/>
    <cellStyle name="Check Cell 6" xfId="2007" xr:uid="{00000000-0005-0000-0000-000054090000}"/>
    <cellStyle name="Classic" xfId="2012" xr:uid="{00000000-0005-0000-0000-000055090000}"/>
    <cellStyle name="colheadleft" xfId="2013" xr:uid="{00000000-0005-0000-0000-000056090000}"/>
    <cellStyle name="colheadleft 2" xfId="5486" xr:uid="{00000000-0005-0000-0000-000057090000}"/>
    <cellStyle name="colheadleft 3" xfId="5340" xr:uid="{00000000-0005-0000-0000-000058090000}"/>
    <cellStyle name="colheadright" xfId="2014" xr:uid="{00000000-0005-0000-0000-000059090000}"/>
    <cellStyle name="colheadright 2" xfId="3621" xr:uid="{00000000-0005-0000-0000-00005A090000}"/>
    <cellStyle name="colheadright 3" xfId="3791" xr:uid="{00000000-0005-0000-0000-00005B090000}"/>
    <cellStyle name="colheadright 4" xfId="3267" xr:uid="{00000000-0005-0000-0000-00005C090000}"/>
    <cellStyle name="colheadright 5" xfId="5487" xr:uid="{00000000-0005-0000-0000-00005D090000}"/>
    <cellStyle name="colheadright 6" xfId="5467" xr:uid="{00000000-0005-0000-0000-00005E090000}"/>
    <cellStyle name="Column Heading" xfId="2015" xr:uid="{00000000-0005-0000-0000-00005F090000}"/>
    <cellStyle name="Column_Title" xfId="5847" xr:uid="{00000000-0005-0000-0000-000060090000}"/>
    <cellStyle name="ColumnNumber" xfId="5351" xr:uid="{00000000-0005-0000-0000-000061090000}"/>
    <cellStyle name="Comma" xfId="1" builtinId="3"/>
    <cellStyle name="Comma  - Style1" xfId="42" xr:uid="{00000000-0005-0000-0000-000063090000}"/>
    <cellStyle name="Comma  - Style1 2" xfId="3000" xr:uid="{00000000-0005-0000-0000-000064090000}"/>
    <cellStyle name="Comma  - Style1 3" xfId="2017" xr:uid="{00000000-0005-0000-0000-000065090000}"/>
    <cellStyle name="Comma  - Style1 4" xfId="5489" xr:uid="{00000000-0005-0000-0000-000066090000}"/>
    <cellStyle name="Comma  - Style2" xfId="43" xr:uid="{00000000-0005-0000-0000-000067090000}"/>
    <cellStyle name="Comma  - Style2 2" xfId="3001" xr:uid="{00000000-0005-0000-0000-000068090000}"/>
    <cellStyle name="Comma  - Style2 3" xfId="2018" xr:uid="{00000000-0005-0000-0000-000069090000}"/>
    <cellStyle name="Comma  - Style2 4" xfId="5407" xr:uid="{00000000-0005-0000-0000-00006A090000}"/>
    <cellStyle name="Comma  - Style3" xfId="44" xr:uid="{00000000-0005-0000-0000-00006B090000}"/>
    <cellStyle name="Comma  - Style3 2" xfId="3002" xr:uid="{00000000-0005-0000-0000-00006C090000}"/>
    <cellStyle name="Comma  - Style3 3" xfId="2019" xr:uid="{00000000-0005-0000-0000-00006D090000}"/>
    <cellStyle name="Comma  - Style3 4" xfId="5490" xr:uid="{00000000-0005-0000-0000-00006E090000}"/>
    <cellStyle name="Comma  - Style4" xfId="45" xr:uid="{00000000-0005-0000-0000-00006F090000}"/>
    <cellStyle name="Comma  - Style4 2" xfId="3003" xr:uid="{00000000-0005-0000-0000-000070090000}"/>
    <cellStyle name="Comma  - Style4 3" xfId="2020" xr:uid="{00000000-0005-0000-0000-000071090000}"/>
    <cellStyle name="Comma  - Style4 4" xfId="5492" xr:uid="{00000000-0005-0000-0000-000072090000}"/>
    <cellStyle name="Comma  - Style5" xfId="46" xr:uid="{00000000-0005-0000-0000-000073090000}"/>
    <cellStyle name="Comma  - Style5 2" xfId="3004" xr:uid="{00000000-0005-0000-0000-000074090000}"/>
    <cellStyle name="Comma  - Style5 3" xfId="2021" xr:uid="{00000000-0005-0000-0000-000075090000}"/>
    <cellStyle name="Comma  - Style5 4" xfId="5495" xr:uid="{00000000-0005-0000-0000-000076090000}"/>
    <cellStyle name="Comma  - Style6" xfId="47" xr:uid="{00000000-0005-0000-0000-000077090000}"/>
    <cellStyle name="Comma  - Style6 2" xfId="3005" xr:uid="{00000000-0005-0000-0000-000078090000}"/>
    <cellStyle name="Comma  - Style6 3" xfId="2022" xr:uid="{00000000-0005-0000-0000-000079090000}"/>
    <cellStyle name="Comma  - Style6 4" xfId="5496" xr:uid="{00000000-0005-0000-0000-00007A090000}"/>
    <cellStyle name="Comma  - Style7" xfId="48" xr:uid="{00000000-0005-0000-0000-00007B090000}"/>
    <cellStyle name="Comma  - Style7 2" xfId="3006" xr:uid="{00000000-0005-0000-0000-00007C090000}"/>
    <cellStyle name="Comma  - Style7 3" xfId="2023" xr:uid="{00000000-0005-0000-0000-00007D090000}"/>
    <cellStyle name="Comma  - Style7 4" xfId="5500" xr:uid="{00000000-0005-0000-0000-00007E090000}"/>
    <cellStyle name="Comma  - Style8" xfId="49" xr:uid="{00000000-0005-0000-0000-00007F090000}"/>
    <cellStyle name="Comma  - Style8 2" xfId="3007" xr:uid="{00000000-0005-0000-0000-000080090000}"/>
    <cellStyle name="Comma  - Style8 3" xfId="2024" xr:uid="{00000000-0005-0000-0000-000081090000}"/>
    <cellStyle name="Comma  - Style8 4" xfId="5502" xr:uid="{00000000-0005-0000-0000-000082090000}"/>
    <cellStyle name="Comma [   0.00]" xfId="2025" xr:uid="{00000000-0005-0000-0000-000083090000}"/>
    <cellStyle name="Comma [   0]" xfId="2026" xr:uid="{00000000-0005-0000-0000-000084090000}"/>
    <cellStyle name="Comma [0] 2" xfId="126" xr:uid="{00000000-0005-0000-0000-000085090000}"/>
    <cellStyle name="Comma [0] 3" xfId="4874" xr:uid="{00000000-0005-0000-0000-000086090000}"/>
    <cellStyle name="Comma [00]" xfId="2027" xr:uid="{00000000-0005-0000-0000-000087090000}"/>
    <cellStyle name="Comma [00] 2" xfId="2028" xr:uid="{00000000-0005-0000-0000-000088090000}"/>
    <cellStyle name="Comma [1]" xfId="2029" xr:uid="{00000000-0005-0000-0000-000089090000}"/>
    <cellStyle name="Comma 0" xfId="2030" xr:uid="{00000000-0005-0000-0000-00008A090000}"/>
    <cellStyle name="Comma 10" xfId="2031" xr:uid="{00000000-0005-0000-0000-00008B090000}"/>
    <cellStyle name="Comma 10 2" xfId="2032" xr:uid="{00000000-0005-0000-0000-00008C090000}"/>
    <cellStyle name="Comma 10 2 2" xfId="5505" xr:uid="{00000000-0005-0000-0000-00008D090000}"/>
    <cellStyle name="Comma 10 2 3" xfId="5494" xr:uid="{00000000-0005-0000-0000-00008E090000}"/>
    <cellStyle name="Comma 10 3" xfId="5498" xr:uid="{00000000-0005-0000-0000-00008F090000}"/>
    <cellStyle name="Comma 10 4" xfId="5499" xr:uid="{00000000-0005-0000-0000-000090090000}"/>
    <cellStyle name="Comma 10 5" xfId="5501" xr:uid="{00000000-0005-0000-0000-000091090000}"/>
    <cellStyle name="Comma 11" xfId="2033" xr:uid="{00000000-0005-0000-0000-000092090000}"/>
    <cellStyle name="Comma 11 2" xfId="2034" xr:uid="{00000000-0005-0000-0000-000093090000}"/>
    <cellStyle name="Comma 12" xfId="2035" xr:uid="{00000000-0005-0000-0000-000094090000}"/>
    <cellStyle name="Comma 12 2" xfId="2036" xr:uid="{00000000-0005-0000-0000-000095090000}"/>
    <cellStyle name="Comma 13" xfId="2016" xr:uid="{00000000-0005-0000-0000-000096090000}"/>
    <cellStyle name="Comma 13 2" xfId="3622" xr:uid="{00000000-0005-0000-0000-000097090000}"/>
    <cellStyle name="Comma 13 3" xfId="3534" xr:uid="{00000000-0005-0000-0000-000098090000}"/>
    <cellStyle name="Comma 14" xfId="2967" xr:uid="{00000000-0005-0000-0000-000099090000}"/>
    <cellStyle name="Comma 14 2" xfId="4243" xr:uid="{00000000-0005-0000-0000-00009A090000}"/>
    <cellStyle name="Comma 15" xfId="2965" xr:uid="{00000000-0005-0000-0000-00009B090000}"/>
    <cellStyle name="Comma 16" xfId="2966" xr:uid="{00000000-0005-0000-0000-00009C090000}"/>
    <cellStyle name="Comma 16 2" xfId="5509" xr:uid="{00000000-0005-0000-0000-00009D090000}"/>
    <cellStyle name="Comma 16 3" xfId="5481" xr:uid="{00000000-0005-0000-0000-00009E090000}"/>
    <cellStyle name="Comma 17" xfId="2964" xr:uid="{00000000-0005-0000-0000-00009F090000}"/>
    <cellStyle name="Comma 17 2" xfId="5512" xr:uid="{00000000-0005-0000-0000-0000A0090000}"/>
    <cellStyle name="Comma 17 3" xfId="5385" xr:uid="{00000000-0005-0000-0000-0000A1090000}"/>
    <cellStyle name="Comma 18" xfId="2980" xr:uid="{00000000-0005-0000-0000-0000A2090000}"/>
    <cellStyle name="Comma 18 2" xfId="5514" xr:uid="{00000000-0005-0000-0000-0000A3090000}"/>
    <cellStyle name="Comma 19" xfId="2983" xr:uid="{00000000-0005-0000-0000-0000A4090000}"/>
    <cellStyle name="Comma 19 2" xfId="5517" xr:uid="{00000000-0005-0000-0000-0000A5090000}"/>
    <cellStyle name="Comma 2" xfId="5" xr:uid="{00000000-0005-0000-0000-0000A6090000}"/>
    <cellStyle name="Comma 2 10" xfId="4244" xr:uid="{00000000-0005-0000-0000-0000A7090000}"/>
    <cellStyle name="Comma 2 11" xfId="4245" xr:uid="{00000000-0005-0000-0000-0000A8090000}"/>
    <cellStyle name="Comma 2 12" xfId="4246" xr:uid="{00000000-0005-0000-0000-0000A9090000}"/>
    <cellStyle name="Comma 2 13" xfId="4247" xr:uid="{00000000-0005-0000-0000-0000AA090000}"/>
    <cellStyle name="Comma 2 14" xfId="4248" xr:uid="{00000000-0005-0000-0000-0000AB090000}"/>
    <cellStyle name="Comma 2 15" xfId="4249" xr:uid="{00000000-0005-0000-0000-0000AC090000}"/>
    <cellStyle name="Comma 2 16" xfId="4250" xr:uid="{00000000-0005-0000-0000-0000AD090000}"/>
    <cellStyle name="Comma 2 17" xfId="4251" xr:uid="{00000000-0005-0000-0000-0000AE090000}"/>
    <cellStyle name="Comma 2 18" xfId="4252" xr:uid="{00000000-0005-0000-0000-0000AF090000}"/>
    <cellStyle name="Comma 2 19" xfId="4253" xr:uid="{00000000-0005-0000-0000-0000B0090000}"/>
    <cellStyle name="Comma 2 2" xfId="127" xr:uid="{00000000-0005-0000-0000-0000B1090000}"/>
    <cellStyle name="Comma 2 2 2" xfId="2038" xr:uid="{00000000-0005-0000-0000-0000B2090000}"/>
    <cellStyle name="Comma 2 2 2 2" xfId="5519" xr:uid="{00000000-0005-0000-0000-0000B3090000}"/>
    <cellStyle name="Comma 2 2 2 3" xfId="5518" xr:uid="{00000000-0005-0000-0000-0000B4090000}"/>
    <cellStyle name="Comma 2 2 3" xfId="3045" xr:uid="{00000000-0005-0000-0000-0000B5090000}"/>
    <cellStyle name="Comma 2 2 3 2" xfId="3730" xr:uid="{00000000-0005-0000-0000-0000B6090000}"/>
    <cellStyle name="Comma 2 2 3 3" xfId="3414" xr:uid="{00000000-0005-0000-0000-0000B7090000}"/>
    <cellStyle name="Comma 2 2 4" xfId="2037" xr:uid="{00000000-0005-0000-0000-0000B8090000}"/>
    <cellStyle name="Comma 2 2 4 2" xfId="5093" xr:uid="{00000000-0005-0000-0000-0000B9090000}"/>
    <cellStyle name="Comma 2 2 5" xfId="3594" xr:uid="{00000000-0005-0000-0000-0000BA090000}"/>
    <cellStyle name="Comma 2 2 5 2" xfId="4254" xr:uid="{00000000-0005-0000-0000-0000BB090000}"/>
    <cellStyle name="Comma 2 2 6" xfId="3413" xr:uid="{00000000-0005-0000-0000-0000BC090000}"/>
    <cellStyle name="Comma 2 2 6 2" xfId="4255" xr:uid="{00000000-0005-0000-0000-0000BD090000}"/>
    <cellStyle name="Comma 2 2 7" xfId="4842" xr:uid="{00000000-0005-0000-0000-0000BE090000}"/>
    <cellStyle name="Comma 2 2 8" xfId="4936" xr:uid="{00000000-0005-0000-0000-0000BF090000}"/>
    <cellStyle name="Comma 2 20" xfId="4256" xr:uid="{00000000-0005-0000-0000-0000C0090000}"/>
    <cellStyle name="Comma 2 21" xfId="4257" xr:uid="{00000000-0005-0000-0000-0000C1090000}"/>
    <cellStyle name="Comma 2 22" xfId="4258" xr:uid="{00000000-0005-0000-0000-0000C2090000}"/>
    <cellStyle name="Comma 2 23" xfId="4259" xr:uid="{00000000-0005-0000-0000-0000C3090000}"/>
    <cellStyle name="Comma 2 24" xfId="4260" xr:uid="{00000000-0005-0000-0000-0000C4090000}"/>
    <cellStyle name="Comma 2 25" xfId="4261" xr:uid="{00000000-0005-0000-0000-0000C5090000}"/>
    <cellStyle name="Comma 2 26" xfId="4262" xr:uid="{00000000-0005-0000-0000-0000C6090000}"/>
    <cellStyle name="Comma 2 27" xfId="4263" xr:uid="{00000000-0005-0000-0000-0000C7090000}"/>
    <cellStyle name="Comma 2 28" xfId="4264" xr:uid="{00000000-0005-0000-0000-0000C8090000}"/>
    <cellStyle name="Comma 2 29" xfId="4265" xr:uid="{00000000-0005-0000-0000-0000C9090000}"/>
    <cellStyle name="Comma 2 3" xfId="119" xr:uid="{00000000-0005-0000-0000-0000CA090000}"/>
    <cellStyle name="Comma 2 3 2" xfId="2040" xr:uid="{00000000-0005-0000-0000-0000CB090000}"/>
    <cellStyle name="Comma 2 3 2 2" xfId="5522" xr:uid="{00000000-0005-0000-0000-0000CC090000}"/>
    <cellStyle name="Comma 2 3 2 3" xfId="5520" xr:uid="{00000000-0005-0000-0000-0000CD090000}"/>
    <cellStyle name="Comma 2 3 3" xfId="3039" xr:uid="{00000000-0005-0000-0000-0000CE090000}"/>
    <cellStyle name="Comma 2 3 3 2" xfId="5523" xr:uid="{00000000-0005-0000-0000-0000CF090000}"/>
    <cellStyle name="Comma 2 3 4" xfId="2039" xr:uid="{00000000-0005-0000-0000-0000D0090000}"/>
    <cellStyle name="Comma 2 3 5" xfId="5092" xr:uid="{00000000-0005-0000-0000-0000D1090000}"/>
    <cellStyle name="Comma 2 3 6" xfId="5504" xr:uid="{00000000-0005-0000-0000-0000D2090000}"/>
    <cellStyle name="Comma 2 30" xfId="4841" xr:uid="{00000000-0005-0000-0000-0000D3090000}"/>
    <cellStyle name="Comma 2 31" xfId="4935" xr:uid="{00000000-0005-0000-0000-0000D4090000}"/>
    <cellStyle name="Comma 2 32" xfId="25" xr:uid="{00000000-0005-0000-0000-0000D5090000}"/>
    <cellStyle name="Comma 2 4" xfId="50" xr:uid="{00000000-0005-0000-0000-0000D6090000}"/>
    <cellStyle name="Comma 2 4 2" xfId="2042" xr:uid="{00000000-0005-0000-0000-0000D7090000}"/>
    <cellStyle name="Comma 2 4 2 2" xfId="5525" xr:uid="{00000000-0005-0000-0000-0000D8090000}"/>
    <cellStyle name="Comma 2 4 3" xfId="2041" xr:uid="{00000000-0005-0000-0000-0000D9090000}"/>
    <cellStyle name="Comma 2 4 4" xfId="5524" xr:uid="{00000000-0005-0000-0000-0000DA090000}"/>
    <cellStyle name="Comma 2 5" xfId="2043" xr:uid="{00000000-0005-0000-0000-0000DB090000}"/>
    <cellStyle name="Comma 2 5 2" xfId="2044" xr:uid="{00000000-0005-0000-0000-0000DC090000}"/>
    <cellStyle name="Comma 2 5 3" xfId="5526" xr:uid="{00000000-0005-0000-0000-0000DD090000}"/>
    <cellStyle name="Comma 2 6" xfId="2045" xr:uid="{00000000-0005-0000-0000-0000DE090000}"/>
    <cellStyle name="Comma 2 6 2" xfId="2046" xr:uid="{00000000-0005-0000-0000-0000DF090000}"/>
    <cellStyle name="Comma 2 6 3" xfId="5528" xr:uid="{00000000-0005-0000-0000-0000E0090000}"/>
    <cellStyle name="Comma 2 7" xfId="2047" xr:uid="{00000000-0005-0000-0000-0000E1090000}"/>
    <cellStyle name="Comma 2 7 2" xfId="2048" xr:uid="{00000000-0005-0000-0000-0000E2090000}"/>
    <cellStyle name="Comma 2 8" xfId="2049" xr:uid="{00000000-0005-0000-0000-0000E3090000}"/>
    <cellStyle name="Comma 2 8 2" xfId="2050" xr:uid="{00000000-0005-0000-0000-0000E4090000}"/>
    <cellStyle name="Comma 2 9" xfId="3008" xr:uid="{00000000-0005-0000-0000-0000E5090000}"/>
    <cellStyle name="Comma 2 9 2" xfId="4266" xr:uid="{00000000-0005-0000-0000-0000E6090000}"/>
    <cellStyle name="Comma 2_111_Washington_9-14-10_loan_size_base_on_$55_rents_$40MMland_-_new_model_10am - changes v1" xfId="2051" xr:uid="{00000000-0005-0000-0000-0000E7090000}"/>
    <cellStyle name="Comma 20" xfId="2987" xr:uid="{00000000-0005-0000-0000-0000E8090000}"/>
    <cellStyle name="Comma 20 2" xfId="5790" xr:uid="{00000000-0005-0000-0000-0000E9090000}"/>
    <cellStyle name="Comma 21" xfId="2994" xr:uid="{00000000-0005-0000-0000-0000EA090000}"/>
    <cellStyle name="Comma 22" xfId="241" xr:uid="{00000000-0005-0000-0000-0000EB090000}"/>
    <cellStyle name="Comma 23" xfId="3059" xr:uid="{00000000-0005-0000-0000-0000EC090000}"/>
    <cellStyle name="Comma 24" xfId="3070" xr:uid="{00000000-0005-0000-0000-0000ED090000}"/>
    <cellStyle name="Comma 25" xfId="3062" xr:uid="{00000000-0005-0000-0000-0000EE090000}"/>
    <cellStyle name="Comma 26" xfId="3352" xr:uid="{00000000-0005-0000-0000-0000EF090000}"/>
    <cellStyle name="Comma 27" xfId="3709" xr:uid="{00000000-0005-0000-0000-0000F0090000}"/>
    <cellStyle name="Comma 28" xfId="3775" xr:uid="{00000000-0005-0000-0000-0000F1090000}"/>
    <cellStyle name="Comma 29" xfId="3375" xr:uid="{00000000-0005-0000-0000-0000F2090000}"/>
    <cellStyle name="Comma 3" xfId="20" xr:uid="{00000000-0005-0000-0000-0000F3090000}"/>
    <cellStyle name="Comma 3 10" xfId="4267" xr:uid="{00000000-0005-0000-0000-0000F4090000}"/>
    <cellStyle name="Comma 3 10 2" xfId="4268" xr:uid="{00000000-0005-0000-0000-0000F5090000}"/>
    <cellStyle name="Comma 3 10 3" xfId="4269" xr:uid="{00000000-0005-0000-0000-0000F6090000}"/>
    <cellStyle name="Comma 3 10 3 2" xfId="4270" xr:uid="{00000000-0005-0000-0000-0000F7090000}"/>
    <cellStyle name="Comma 3 10 3 2 2" xfId="215" xr:uid="{00000000-0005-0000-0000-0000F8090000}"/>
    <cellStyle name="Comma 3 10 3 2 3" xfId="4271" xr:uid="{00000000-0005-0000-0000-0000F9090000}"/>
    <cellStyle name="Comma 3 10 3 2 4" xfId="4272" xr:uid="{00000000-0005-0000-0000-0000FA090000}"/>
    <cellStyle name="Comma 3 10 3 3" xfId="4273" xr:uid="{00000000-0005-0000-0000-0000FB090000}"/>
    <cellStyle name="Comma 3 10 4" xfId="4274" xr:uid="{00000000-0005-0000-0000-0000FC090000}"/>
    <cellStyle name="Comma 3 11" xfId="4275" xr:uid="{00000000-0005-0000-0000-0000FD090000}"/>
    <cellStyle name="Comma 3 11 2" xfId="4276" xr:uid="{00000000-0005-0000-0000-0000FE090000}"/>
    <cellStyle name="Comma 3 11 2 2" xfId="4277" xr:uid="{00000000-0005-0000-0000-0000FF090000}"/>
    <cellStyle name="Comma 3 11 2 3" xfId="4278" xr:uid="{00000000-0005-0000-0000-0000000A0000}"/>
    <cellStyle name="Comma 3 2" xfId="122" xr:uid="{00000000-0005-0000-0000-0000010A0000}"/>
    <cellStyle name="Comma 3 2 2" xfId="138" xr:uid="{00000000-0005-0000-0000-0000020A0000}"/>
    <cellStyle name="Comma 3 2 2 2" xfId="3052" xr:uid="{00000000-0005-0000-0000-0000030A0000}"/>
    <cellStyle name="Comma 3 2 2 2 2" xfId="3734" xr:uid="{00000000-0005-0000-0000-0000040A0000}"/>
    <cellStyle name="Comma 3 2 2 2 3" xfId="3807" xr:uid="{00000000-0005-0000-0000-0000050A0000}"/>
    <cellStyle name="Comma 3 2 2 2 4" xfId="3893" xr:uid="{00000000-0005-0000-0000-0000060A0000}"/>
    <cellStyle name="Comma 3 2 2 2 5" xfId="3323" xr:uid="{00000000-0005-0000-0000-0000070A0000}"/>
    <cellStyle name="Comma 3 2 2 3" xfId="3080" xr:uid="{00000000-0005-0000-0000-0000080A0000}"/>
    <cellStyle name="Comma 3 2 2 3 2" xfId="3745" xr:uid="{00000000-0005-0000-0000-0000090A0000}"/>
    <cellStyle name="Comma 3 2 2 3 3" xfId="3815" xr:uid="{00000000-0005-0000-0000-00000A0A0000}"/>
    <cellStyle name="Comma 3 2 2 3 4" xfId="3902" xr:uid="{00000000-0005-0000-0000-00000B0A0000}"/>
    <cellStyle name="Comma 3 2 2 3 5" xfId="3335" xr:uid="{00000000-0005-0000-0000-00000C0A0000}"/>
    <cellStyle name="Comma 3 2 2 4" xfId="3600" xr:uid="{00000000-0005-0000-0000-00000D0A0000}"/>
    <cellStyle name="Comma 3 2 2 5" xfId="3786" xr:uid="{00000000-0005-0000-0000-00000E0A0000}"/>
    <cellStyle name="Comma 3 2 2 6" xfId="3867" xr:uid="{00000000-0005-0000-0000-00000F0A0000}"/>
    <cellStyle name="Comma 3 2 2 7" xfId="3119" xr:uid="{00000000-0005-0000-0000-0000100A0000}"/>
    <cellStyle name="Comma 3 2 2 8" xfId="235" xr:uid="{00000000-0005-0000-0000-0000110A0000}"/>
    <cellStyle name="Comma 3 2 2 9" xfId="4279" xr:uid="{00000000-0005-0000-0000-0000120A0000}"/>
    <cellStyle name="Comma 3 2 3" xfId="3041" xr:uid="{00000000-0005-0000-0000-0000130A0000}"/>
    <cellStyle name="Comma 3 2 3 2" xfId="3728" xr:uid="{00000000-0005-0000-0000-0000140A0000}"/>
    <cellStyle name="Comma 3 2 3 3" xfId="3805" xr:uid="{00000000-0005-0000-0000-0000150A0000}"/>
    <cellStyle name="Comma 3 2 3 4" xfId="3891" xr:uid="{00000000-0005-0000-0000-0000160A0000}"/>
    <cellStyle name="Comma 3 2 3 5" xfId="3321" xr:uid="{00000000-0005-0000-0000-0000170A0000}"/>
    <cellStyle name="Comma 3 2 3 6" xfId="4280" xr:uid="{00000000-0005-0000-0000-0000180A0000}"/>
    <cellStyle name="Comma 3 2 4" xfId="2052" xr:uid="{00000000-0005-0000-0000-0000190A0000}"/>
    <cellStyle name="Comma 3 2 5" xfId="3076" xr:uid="{00000000-0005-0000-0000-00001A0A0000}"/>
    <cellStyle name="Comma 3 2 5 2" xfId="3743" xr:uid="{00000000-0005-0000-0000-00001B0A0000}"/>
    <cellStyle name="Comma 3 2 5 3" xfId="3813" xr:uid="{00000000-0005-0000-0000-00001C0A0000}"/>
    <cellStyle name="Comma 3 2 5 4" xfId="3899" xr:uid="{00000000-0005-0000-0000-00001D0A0000}"/>
    <cellStyle name="Comma 3 2 5 5" xfId="3333" xr:uid="{00000000-0005-0000-0000-00001E0A0000}"/>
    <cellStyle name="Comma 3 2 6" xfId="3591" xr:uid="{00000000-0005-0000-0000-00001F0A0000}"/>
    <cellStyle name="Comma 3 2 6 2" xfId="3865" xr:uid="{00000000-0005-0000-0000-0000200A0000}"/>
    <cellStyle name="Comma 3 2 7" xfId="3784" xr:uid="{00000000-0005-0000-0000-0000210A0000}"/>
    <cellStyle name="Comma 3 2 8" xfId="3117" xr:uid="{00000000-0005-0000-0000-0000220A0000}"/>
    <cellStyle name="Comma 3 2 9" xfId="228" xr:uid="{00000000-0005-0000-0000-0000230A0000}"/>
    <cellStyle name="Comma 3 3" xfId="3415" xr:uid="{00000000-0005-0000-0000-0000240A0000}"/>
    <cellStyle name="Comma 3 3 2" xfId="4281" xr:uid="{00000000-0005-0000-0000-0000250A0000}"/>
    <cellStyle name="Comma 3 3 2 2" xfId="5445" xr:uid="{00000000-0005-0000-0000-0000260A0000}"/>
    <cellStyle name="Comma 3 3 2 3" xfId="5370" xr:uid="{00000000-0005-0000-0000-0000270A0000}"/>
    <cellStyle name="Comma 3 3 3" xfId="5357" xr:uid="{00000000-0005-0000-0000-0000280A0000}"/>
    <cellStyle name="Comma 3 3 4" xfId="5530" xr:uid="{00000000-0005-0000-0000-0000290A0000}"/>
    <cellStyle name="Comma 3 4" xfId="4282" xr:uid="{00000000-0005-0000-0000-00002A0A0000}"/>
    <cellStyle name="Comma 3 4 2" xfId="4283" xr:uid="{00000000-0005-0000-0000-00002B0A0000}"/>
    <cellStyle name="Comma 3 4 2 2" xfId="4284" xr:uid="{00000000-0005-0000-0000-00002C0A0000}"/>
    <cellStyle name="Comma 3 4 2 3" xfId="4285" xr:uid="{00000000-0005-0000-0000-00002D0A0000}"/>
    <cellStyle name="Comma 3 4 2 4" xfId="5470" xr:uid="{00000000-0005-0000-0000-00002E0A0000}"/>
    <cellStyle name="Comma 3 4 3" xfId="4286" xr:uid="{00000000-0005-0000-0000-00002F0A0000}"/>
    <cellStyle name="Comma 3 4 4" xfId="5366" xr:uid="{00000000-0005-0000-0000-0000300A0000}"/>
    <cellStyle name="Comma 3 5" xfId="4287" xr:uid="{00000000-0005-0000-0000-0000310A0000}"/>
    <cellStyle name="Comma 3 5 2" xfId="4288" xr:uid="{00000000-0005-0000-0000-0000320A0000}"/>
    <cellStyle name="Comma 3 5 3" xfId="5367" xr:uid="{00000000-0005-0000-0000-0000330A0000}"/>
    <cellStyle name="Comma 3 6" xfId="4289" xr:uid="{00000000-0005-0000-0000-0000340A0000}"/>
    <cellStyle name="Comma 3 6 2" xfId="4290" xr:uid="{00000000-0005-0000-0000-0000350A0000}"/>
    <cellStyle name="Comma 3 7" xfId="4291" xr:uid="{00000000-0005-0000-0000-0000360A0000}"/>
    <cellStyle name="Comma 3 8" xfId="4292" xr:uid="{00000000-0005-0000-0000-0000370A0000}"/>
    <cellStyle name="Comma 3 9" xfId="4293" xr:uid="{00000000-0005-0000-0000-0000380A0000}"/>
    <cellStyle name="Comma 30" xfId="3655" xr:uid="{00000000-0005-0000-0000-0000390A0000}"/>
    <cellStyle name="Comma 31" xfId="3779" xr:uid="{00000000-0005-0000-0000-00003A0A0000}"/>
    <cellStyle name="Comma 32" xfId="3830" xr:uid="{00000000-0005-0000-0000-00003B0A0000}"/>
    <cellStyle name="Comma 33" xfId="3886" xr:uid="{00000000-0005-0000-0000-00003C0A0000}"/>
    <cellStyle name="Comma 34" xfId="3872" xr:uid="{00000000-0005-0000-0000-00003D0A0000}"/>
    <cellStyle name="Comma 35" xfId="3104" xr:uid="{00000000-0005-0000-0000-00003E0A0000}"/>
    <cellStyle name="Comma 36" xfId="3317" xr:uid="{00000000-0005-0000-0000-00003F0A0000}"/>
    <cellStyle name="Comma 37" xfId="3918" xr:uid="{00000000-0005-0000-0000-0000400A0000}"/>
    <cellStyle name="Comma 38" xfId="183" xr:uid="{00000000-0005-0000-0000-0000410A0000}"/>
    <cellStyle name="Comma 39" xfId="4873" xr:uid="{00000000-0005-0000-0000-0000420A0000}"/>
    <cellStyle name="Comma 4" xfId="51" xr:uid="{00000000-0005-0000-0000-0000430A0000}"/>
    <cellStyle name="Comma 4 10" xfId="4294" xr:uid="{00000000-0005-0000-0000-0000440A0000}"/>
    <cellStyle name="Comma 4 2" xfId="128" xr:uid="{00000000-0005-0000-0000-0000450A0000}"/>
    <cellStyle name="Comma 4 2 2" xfId="3547" xr:uid="{00000000-0005-0000-0000-0000460A0000}"/>
    <cellStyle name="Comma 4 2 2 2" xfId="3850" xr:uid="{00000000-0005-0000-0000-0000470A0000}"/>
    <cellStyle name="Comma 4 2 2 3" xfId="4296" xr:uid="{00000000-0005-0000-0000-0000480A0000}"/>
    <cellStyle name="Comma 4 2 2 4" xfId="5066" xr:uid="{00000000-0005-0000-0000-0000490A0000}"/>
    <cellStyle name="Comma 4 2 3" xfId="3595" xr:uid="{00000000-0005-0000-0000-00004A0A0000}"/>
    <cellStyle name="Comma 4 2 3 2" xfId="5531" xr:uid="{00000000-0005-0000-0000-00004B0A0000}"/>
    <cellStyle name="Comma 4 2 4" xfId="3416" xr:uid="{00000000-0005-0000-0000-00004C0A0000}"/>
    <cellStyle name="Comma 4 2 5" xfId="3835" xr:uid="{00000000-0005-0000-0000-00004D0A0000}"/>
    <cellStyle name="Comma 4 2 6" xfId="4295" xr:uid="{00000000-0005-0000-0000-00004E0A0000}"/>
    <cellStyle name="Comma 4 2 7" xfId="5039" xr:uid="{00000000-0005-0000-0000-00004F0A0000}"/>
    <cellStyle name="Comma 4 3" xfId="3009" xr:uid="{00000000-0005-0000-0000-0000500A0000}"/>
    <cellStyle name="Comma 4 3 2" xfId="3548" xr:uid="{00000000-0005-0000-0000-0000510A0000}"/>
    <cellStyle name="Comma 4 3 2 2" xfId="3851" xr:uid="{00000000-0005-0000-0000-0000520A0000}"/>
    <cellStyle name="Comma 4 3 2 3" xfId="5067" xr:uid="{00000000-0005-0000-0000-0000530A0000}"/>
    <cellStyle name="Comma 4 3 3" xfId="3720" xr:uid="{00000000-0005-0000-0000-0000540A0000}"/>
    <cellStyle name="Comma 4 3 4" xfId="3417" xr:uid="{00000000-0005-0000-0000-0000550A0000}"/>
    <cellStyle name="Comma 4 3 5" xfId="3836" xr:uid="{00000000-0005-0000-0000-0000560A0000}"/>
    <cellStyle name="Comma 4 3 6" xfId="4297" xr:uid="{00000000-0005-0000-0000-0000570A0000}"/>
    <cellStyle name="Comma 4 3 7" xfId="5040" xr:uid="{00000000-0005-0000-0000-0000580A0000}"/>
    <cellStyle name="Comma 4 4" xfId="2053" xr:uid="{00000000-0005-0000-0000-0000590A0000}"/>
    <cellStyle name="Comma 4 4 2" xfId="3549" xr:uid="{00000000-0005-0000-0000-00005A0A0000}"/>
    <cellStyle name="Comma 4 4 2 2" xfId="3852" xr:uid="{00000000-0005-0000-0000-00005B0A0000}"/>
    <cellStyle name="Comma 4 4 2 3" xfId="5068" xr:uid="{00000000-0005-0000-0000-00005C0A0000}"/>
    <cellStyle name="Comma 4 4 3" xfId="3623" xr:uid="{00000000-0005-0000-0000-00005D0A0000}"/>
    <cellStyle name="Comma 4 4 4" xfId="3418" xr:uid="{00000000-0005-0000-0000-00005E0A0000}"/>
    <cellStyle name="Comma 4 4 5" xfId="3837" xr:uid="{00000000-0005-0000-0000-00005F0A0000}"/>
    <cellStyle name="Comma 4 4 6" xfId="5041" xr:uid="{00000000-0005-0000-0000-0000600A0000}"/>
    <cellStyle name="Comma 4 5" xfId="3419" xr:uid="{00000000-0005-0000-0000-0000610A0000}"/>
    <cellStyle name="Comma 4 5 2" xfId="3550" xr:uid="{00000000-0005-0000-0000-0000620A0000}"/>
    <cellStyle name="Comma 4 5 2 2" xfId="3853" xr:uid="{00000000-0005-0000-0000-0000630A0000}"/>
    <cellStyle name="Comma 4 5 2 3" xfId="5069" xr:uid="{00000000-0005-0000-0000-0000640A0000}"/>
    <cellStyle name="Comma 4 5 3" xfId="3838" xr:uid="{00000000-0005-0000-0000-0000650A0000}"/>
    <cellStyle name="Comma 4 5 4" xfId="4298" xr:uid="{00000000-0005-0000-0000-0000660A0000}"/>
    <cellStyle name="Comma 4 5 5" xfId="5042" xr:uid="{00000000-0005-0000-0000-0000670A0000}"/>
    <cellStyle name="Comma 4 6" xfId="3420" xr:uid="{00000000-0005-0000-0000-0000680A0000}"/>
    <cellStyle name="Comma 4 6 2" xfId="3551" xr:uid="{00000000-0005-0000-0000-0000690A0000}"/>
    <cellStyle name="Comma 4 6 2 2" xfId="3854" xr:uid="{00000000-0005-0000-0000-00006A0A0000}"/>
    <cellStyle name="Comma 4 6 2 3" xfId="5070" xr:uid="{00000000-0005-0000-0000-00006B0A0000}"/>
    <cellStyle name="Comma 4 6 3" xfId="3839" xr:uid="{00000000-0005-0000-0000-00006C0A0000}"/>
    <cellStyle name="Comma 4 6 4" xfId="4299" xr:uid="{00000000-0005-0000-0000-00006D0A0000}"/>
    <cellStyle name="Comma 4 6 5" xfId="5043" xr:uid="{00000000-0005-0000-0000-00006E0A0000}"/>
    <cellStyle name="Comma 4 7" xfId="3538" xr:uid="{00000000-0005-0000-0000-00006F0A0000}"/>
    <cellStyle name="Comma 4 7 2" xfId="4300" xr:uid="{00000000-0005-0000-0000-0000700A0000}"/>
    <cellStyle name="Comma 4 8" xfId="3564" xr:uid="{00000000-0005-0000-0000-0000710A0000}"/>
    <cellStyle name="Comma 4 8 2" xfId="4301" xr:uid="{00000000-0005-0000-0000-0000720A0000}"/>
    <cellStyle name="Comma 4 9" xfId="4302" xr:uid="{00000000-0005-0000-0000-0000730A0000}"/>
    <cellStyle name="Comma 40" xfId="4882" xr:uid="{00000000-0005-0000-0000-0000740A0000}"/>
    <cellStyle name="Comma 41" xfId="4887" xr:uid="{00000000-0005-0000-0000-0000750A0000}"/>
    <cellStyle name="Comma 42" xfId="4911" xr:uid="{00000000-0005-0000-0000-0000760A0000}"/>
    <cellStyle name="Comma 43" xfId="4934" xr:uid="{00000000-0005-0000-0000-0000770A0000}"/>
    <cellStyle name="Comma 44" xfId="4956" xr:uid="{00000000-0005-0000-0000-0000780A0000}"/>
    <cellStyle name="Comma 45" xfId="4961" xr:uid="{00000000-0005-0000-0000-0000790A0000}"/>
    <cellStyle name="Comma 46" xfId="4962" xr:uid="{00000000-0005-0000-0000-00007A0A0000}"/>
    <cellStyle name="Comma 47" xfId="4965" xr:uid="{00000000-0005-0000-0000-00007B0A0000}"/>
    <cellStyle name="Comma 48" xfId="4988" xr:uid="{00000000-0005-0000-0000-00007C0A0000}"/>
    <cellStyle name="Comma 49" xfId="4992" xr:uid="{00000000-0005-0000-0000-00007D0A0000}"/>
    <cellStyle name="Comma 5" xfId="52" xr:uid="{00000000-0005-0000-0000-00007E0A0000}"/>
    <cellStyle name="Comma 5 10" xfId="4303" xr:uid="{00000000-0005-0000-0000-00007F0A0000}"/>
    <cellStyle name="Comma 5 10 2" xfId="4304" xr:uid="{00000000-0005-0000-0000-0000800A0000}"/>
    <cellStyle name="Comma 5 2" xfId="3010" xr:uid="{00000000-0005-0000-0000-0000810A0000}"/>
    <cellStyle name="Comma 5 2 2" xfId="3552" xr:uid="{00000000-0005-0000-0000-0000820A0000}"/>
    <cellStyle name="Comma 5 2 2 2" xfId="3855" xr:uid="{00000000-0005-0000-0000-0000830A0000}"/>
    <cellStyle name="Comma 5 2 2 3" xfId="4306" xr:uid="{00000000-0005-0000-0000-0000840A0000}"/>
    <cellStyle name="Comma 5 2 2 4" xfId="5071" xr:uid="{00000000-0005-0000-0000-0000850A0000}"/>
    <cellStyle name="Comma 5 2 3" xfId="3721" xr:uid="{00000000-0005-0000-0000-0000860A0000}"/>
    <cellStyle name="Comma 5 2 3 2" xfId="5534" xr:uid="{00000000-0005-0000-0000-0000870A0000}"/>
    <cellStyle name="Comma 5 2 4" xfId="3421" xr:uid="{00000000-0005-0000-0000-0000880A0000}"/>
    <cellStyle name="Comma 5 2 5" xfId="3840" xr:uid="{00000000-0005-0000-0000-0000890A0000}"/>
    <cellStyle name="Comma 5 2 6" xfId="4305" xr:uid="{00000000-0005-0000-0000-00008A0A0000}"/>
    <cellStyle name="Comma 5 2 7" xfId="5044" xr:uid="{00000000-0005-0000-0000-00008B0A0000}"/>
    <cellStyle name="Comma 5 3" xfId="2054" xr:uid="{00000000-0005-0000-0000-00008C0A0000}"/>
    <cellStyle name="Comma 5 3 2" xfId="3624" xr:uid="{00000000-0005-0000-0000-00008D0A0000}"/>
    <cellStyle name="Comma 5 3 2 2" xfId="4307" xr:uid="{00000000-0005-0000-0000-00008E0A0000}"/>
    <cellStyle name="Comma 5 3 2 3" xfId="5536" xr:uid="{00000000-0005-0000-0000-00008F0A0000}"/>
    <cellStyle name="Comma 5 3 3" xfId="3539" xr:uid="{00000000-0005-0000-0000-0000900A0000}"/>
    <cellStyle name="Comma 5 3 4" xfId="5535" xr:uid="{00000000-0005-0000-0000-0000910A0000}"/>
    <cellStyle name="Comma 5 4" xfId="3565" xr:uid="{00000000-0005-0000-0000-0000920A0000}"/>
    <cellStyle name="Comma 5 4 2" xfId="4308" xr:uid="{00000000-0005-0000-0000-0000930A0000}"/>
    <cellStyle name="Comma 5 4 3" xfId="5353" xr:uid="{00000000-0005-0000-0000-0000940A0000}"/>
    <cellStyle name="Comma 5 5" xfId="3353" xr:uid="{00000000-0005-0000-0000-0000950A0000}"/>
    <cellStyle name="Comma 5 5 2" xfId="4309" xr:uid="{00000000-0005-0000-0000-0000960A0000}"/>
    <cellStyle name="Comma 5 6" xfId="4310" xr:uid="{00000000-0005-0000-0000-0000970A0000}"/>
    <cellStyle name="Comma 5 7" xfId="4311" xr:uid="{00000000-0005-0000-0000-0000980A0000}"/>
    <cellStyle name="Comma 5 8" xfId="4312" xr:uid="{00000000-0005-0000-0000-0000990A0000}"/>
    <cellStyle name="Comma 5 9" xfId="4313" xr:uid="{00000000-0005-0000-0000-00009A0A0000}"/>
    <cellStyle name="Comma 50" xfId="4996" xr:uid="{00000000-0005-0000-0000-00009B0A0000}"/>
    <cellStyle name="Comma 51" xfId="4999" xr:uid="{00000000-0005-0000-0000-00009C0A0000}"/>
    <cellStyle name="Comma 52" xfId="5022" xr:uid="{00000000-0005-0000-0000-00009D0A0000}"/>
    <cellStyle name="Comma 53" xfId="5056" xr:uid="{00000000-0005-0000-0000-00009E0A0000}"/>
    <cellStyle name="Comma 54" xfId="5230" xr:uid="{00000000-0005-0000-0000-00009F0A0000}"/>
    <cellStyle name="Comma 55" xfId="5254" xr:uid="{00000000-0005-0000-0000-0000A00A0000}"/>
    <cellStyle name="Comma 56" xfId="5259" xr:uid="{00000000-0005-0000-0000-0000A10A0000}"/>
    <cellStyle name="Comma 57" xfId="5285" xr:uid="{00000000-0005-0000-0000-0000A20A0000}"/>
    <cellStyle name="Comma 58" xfId="5308" xr:uid="{00000000-0005-0000-0000-0000A30A0000}"/>
    <cellStyle name="Comma 59" xfId="13" xr:uid="{00000000-0005-0000-0000-0000A40A0000}"/>
    <cellStyle name="Comma 6" xfId="108" xr:uid="{00000000-0005-0000-0000-0000A50A0000}"/>
    <cellStyle name="Comma 6 2" xfId="115" xr:uid="{00000000-0005-0000-0000-0000A60A0000}"/>
    <cellStyle name="Comma 6 2 2" xfId="5539" xr:uid="{00000000-0005-0000-0000-0000A70A0000}"/>
    <cellStyle name="Comma 6 2 3" xfId="5538" xr:uid="{00000000-0005-0000-0000-0000A80A0000}"/>
    <cellStyle name="Comma 6 3" xfId="3033" xr:uid="{00000000-0005-0000-0000-0000A90A0000}"/>
    <cellStyle name="Comma 6 3 2" xfId="5540" xr:uid="{00000000-0005-0000-0000-0000AA0A0000}"/>
    <cellStyle name="Comma 6 4" xfId="2055" xr:uid="{00000000-0005-0000-0000-0000AB0A0000}"/>
    <cellStyle name="Comma 6 5" xfId="5537" xr:uid="{00000000-0005-0000-0000-0000AC0A0000}"/>
    <cellStyle name="Comma 60" xfId="5315" xr:uid="{00000000-0005-0000-0000-0000AD0A0000}"/>
    <cellStyle name="Comma 61" xfId="5319" xr:uid="{00000000-0005-0000-0000-0000AE0A0000}"/>
    <cellStyle name="Comma 62" xfId="5333" xr:uid="{00000000-0005-0000-0000-0000AF0A0000}"/>
    <cellStyle name="Comma 63" xfId="5769" xr:uid="{00000000-0005-0000-0000-0000B00A0000}"/>
    <cellStyle name="Comma 64" xfId="5840" xr:uid="{00000000-0005-0000-0000-0000B10A0000}"/>
    <cellStyle name="Comma 65" xfId="5843" xr:uid="{00000000-0005-0000-0000-0000B20A0000}"/>
    <cellStyle name="Comma 7" xfId="139" xr:uid="{00000000-0005-0000-0000-0000B30A0000}"/>
    <cellStyle name="Comma 7 2" xfId="3601" xr:uid="{00000000-0005-0000-0000-0000B40A0000}"/>
    <cellStyle name="Comma 7 2 2" xfId="4314" xr:uid="{00000000-0005-0000-0000-0000B50A0000}"/>
    <cellStyle name="Comma 7 2 2 2" xfId="5373" xr:uid="{00000000-0005-0000-0000-0000B60A0000}"/>
    <cellStyle name="Comma 7 2 3" xfId="5437" xr:uid="{00000000-0005-0000-0000-0000B70A0000}"/>
    <cellStyle name="Comma 7 3" xfId="3374" xr:uid="{00000000-0005-0000-0000-0000B80A0000}"/>
    <cellStyle name="Comma 7 3 2" xfId="4316" xr:uid="{00000000-0005-0000-0000-0000B90A0000}"/>
    <cellStyle name="Comma 7 3 2 2" xfId="4317" xr:uid="{00000000-0005-0000-0000-0000BA0A0000}"/>
    <cellStyle name="Comma 7 3 3" xfId="4318" xr:uid="{00000000-0005-0000-0000-0000BB0A0000}"/>
    <cellStyle name="Comma 7 3 4" xfId="4319" xr:uid="{00000000-0005-0000-0000-0000BC0A0000}"/>
    <cellStyle name="Comma 7 3 5" xfId="4315" xr:uid="{00000000-0005-0000-0000-0000BD0A0000}"/>
    <cellStyle name="Comma 7 3 6" xfId="5542" xr:uid="{00000000-0005-0000-0000-0000BE0A0000}"/>
    <cellStyle name="Comma 7 4" xfId="4320" xr:uid="{00000000-0005-0000-0000-0000BF0A0000}"/>
    <cellStyle name="Comma 7 4 2" xfId="4321" xr:uid="{00000000-0005-0000-0000-0000C00A0000}"/>
    <cellStyle name="Comma 7 4 3" xfId="4322" xr:uid="{00000000-0005-0000-0000-0000C10A0000}"/>
    <cellStyle name="Comma 7 5" xfId="4323" xr:uid="{00000000-0005-0000-0000-0000C20A0000}"/>
    <cellStyle name="Comma 7 5 2" xfId="4324" xr:uid="{00000000-0005-0000-0000-0000C30A0000}"/>
    <cellStyle name="Comma 7 5 3" xfId="4325" xr:uid="{00000000-0005-0000-0000-0000C40A0000}"/>
    <cellStyle name="Comma 7 6" xfId="4326" xr:uid="{00000000-0005-0000-0000-0000C50A0000}"/>
    <cellStyle name="Comma 7 6 2" xfId="4327" xr:uid="{00000000-0005-0000-0000-0000C60A0000}"/>
    <cellStyle name="Comma 7 6 3" xfId="4328" xr:uid="{00000000-0005-0000-0000-0000C70A0000}"/>
    <cellStyle name="Comma 7 6 3 2" xfId="4329" xr:uid="{00000000-0005-0000-0000-0000C80A0000}"/>
    <cellStyle name="Comma 7 6 3 3" xfId="4330" xr:uid="{00000000-0005-0000-0000-0000C90A0000}"/>
    <cellStyle name="Comma 7 7" xfId="4331" xr:uid="{00000000-0005-0000-0000-0000CA0A0000}"/>
    <cellStyle name="Comma 7 8" xfId="5541" xr:uid="{00000000-0005-0000-0000-0000CB0A0000}"/>
    <cellStyle name="Comma 8" xfId="147" xr:uid="{00000000-0005-0000-0000-0000CC0A0000}"/>
    <cellStyle name="Comma 8 2" xfId="3057" xr:uid="{00000000-0005-0000-0000-0000CD0A0000}"/>
    <cellStyle name="Comma 8 2 2" xfId="3736" xr:uid="{00000000-0005-0000-0000-0000CE0A0000}"/>
    <cellStyle name="Comma 8 2 3" xfId="3102" xr:uid="{00000000-0005-0000-0000-0000CF0A0000}"/>
    <cellStyle name="Comma 8 3" xfId="2056" xr:uid="{00000000-0005-0000-0000-0000D00A0000}"/>
    <cellStyle name="Comma 8 3 2" xfId="4333" xr:uid="{00000000-0005-0000-0000-0000D10A0000}"/>
    <cellStyle name="Comma 8 3 3" xfId="4332" xr:uid="{00000000-0005-0000-0000-0000D20A0000}"/>
    <cellStyle name="Comma 8 4" xfId="3607" xr:uid="{00000000-0005-0000-0000-0000D30A0000}"/>
    <cellStyle name="Comma 8 5" xfId="5543" xr:uid="{00000000-0005-0000-0000-0000D40A0000}"/>
    <cellStyle name="Comma 9" xfId="162" xr:uid="{00000000-0005-0000-0000-0000D50A0000}"/>
    <cellStyle name="Comma 9 2" xfId="2057" xr:uid="{00000000-0005-0000-0000-0000D60A0000}"/>
    <cellStyle name="Comma 9 2 2" xfId="4335" xr:uid="{00000000-0005-0000-0000-0000D70A0000}"/>
    <cellStyle name="Comma 9 2 2 2" xfId="4336" xr:uid="{00000000-0005-0000-0000-0000D80A0000}"/>
    <cellStyle name="Comma 9 2 2 3" xfId="5544" xr:uid="{00000000-0005-0000-0000-0000D90A0000}"/>
    <cellStyle name="Comma 9 2 3" xfId="4337" xr:uid="{00000000-0005-0000-0000-0000DA0A0000}"/>
    <cellStyle name="Comma 9 2 4" xfId="4338" xr:uid="{00000000-0005-0000-0000-0000DB0A0000}"/>
    <cellStyle name="Comma 9 2 5" xfId="4334" xr:uid="{00000000-0005-0000-0000-0000DC0A0000}"/>
    <cellStyle name="Comma 9 2 6" xfId="5482" xr:uid="{00000000-0005-0000-0000-0000DD0A0000}"/>
    <cellStyle name="Comma 9 3" xfId="4339" xr:uid="{00000000-0005-0000-0000-0000DE0A0000}"/>
    <cellStyle name="Comma 9 3 2" xfId="4340" xr:uid="{00000000-0005-0000-0000-0000DF0A0000}"/>
    <cellStyle name="Comma 9 3 3" xfId="4341" xr:uid="{00000000-0005-0000-0000-0000E00A0000}"/>
    <cellStyle name="Comma 9 3 4" xfId="5545" xr:uid="{00000000-0005-0000-0000-0000E10A0000}"/>
    <cellStyle name="Comma 9 4" xfId="4342" xr:uid="{00000000-0005-0000-0000-0000E20A0000}"/>
    <cellStyle name="Comma 9 4 2" xfId="4343" xr:uid="{00000000-0005-0000-0000-0000E30A0000}"/>
    <cellStyle name="Comma 9 4 3" xfId="4344" xr:uid="{00000000-0005-0000-0000-0000E40A0000}"/>
    <cellStyle name="Comma 9 5" xfId="4345" xr:uid="{00000000-0005-0000-0000-0000E50A0000}"/>
    <cellStyle name="Comma 9 6" xfId="4346" xr:uid="{00000000-0005-0000-0000-0000E60A0000}"/>
    <cellStyle name="Comma 9 7" xfId="4347" xr:uid="{00000000-0005-0000-0000-0000E70A0000}"/>
    <cellStyle name="Comma 9 8" xfId="4348" xr:uid="{00000000-0005-0000-0000-0000E80A0000}"/>
    <cellStyle name="Comma 9 9" xfId="5471" xr:uid="{00000000-0005-0000-0000-0000E90A0000}"/>
    <cellStyle name="Comma Cents" xfId="5414" xr:uid="{00000000-0005-0000-0000-0000EA0A0000}"/>
    <cellStyle name="Comma0" xfId="53" xr:uid="{00000000-0005-0000-0000-0000EB0A0000}"/>
    <cellStyle name="Comma0 - Modelo1" xfId="5547" xr:uid="{00000000-0005-0000-0000-0000EC0A0000}"/>
    <cellStyle name="Comma0 - Style1" xfId="5548" xr:uid="{00000000-0005-0000-0000-0000ED0A0000}"/>
    <cellStyle name="Comma0 - Style4" xfId="2059" xr:uid="{00000000-0005-0000-0000-0000EE0A0000}"/>
    <cellStyle name="Comma0 - Style5" xfId="2060" xr:uid="{00000000-0005-0000-0000-0000EF0A0000}"/>
    <cellStyle name="Comma0 - Style5 2" xfId="5395" xr:uid="{00000000-0005-0000-0000-0000F00A0000}"/>
    <cellStyle name="Comma0 10" xfId="4349" xr:uid="{00000000-0005-0000-0000-0000F10A0000}"/>
    <cellStyle name="Comma0 11" xfId="5546" xr:uid="{00000000-0005-0000-0000-0000F20A0000}"/>
    <cellStyle name="Comma0 12" xfId="5792" xr:uid="{00000000-0005-0000-0000-0000F30A0000}"/>
    <cellStyle name="Comma0 2" xfId="3011" xr:uid="{00000000-0005-0000-0000-0000F40A0000}"/>
    <cellStyle name="Comma0 2 2" xfId="4350" xr:uid="{00000000-0005-0000-0000-0000F50A0000}"/>
    <cellStyle name="Comma0 3" xfId="2058" xr:uid="{00000000-0005-0000-0000-0000F60A0000}"/>
    <cellStyle name="Comma0 3 2" xfId="4351" xr:uid="{00000000-0005-0000-0000-0000F70A0000}"/>
    <cellStyle name="Comma0 4" xfId="4352" xr:uid="{00000000-0005-0000-0000-0000F80A0000}"/>
    <cellStyle name="Comma0 5" xfId="4353" xr:uid="{00000000-0005-0000-0000-0000F90A0000}"/>
    <cellStyle name="Comma0 6" xfId="4354" xr:uid="{00000000-0005-0000-0000-0000FA0A0000}"/>
    <cellStyle name="Comma0 7" xfId="4355" xr:uid="{00000000-0005-0000-0000-0000FB0A0000}"/>
    <cellStyle name="Comma0 8" xfId="4356" xr:uid="{00000000-0005-0000-0000-0000FC0A0000}"/>
    <cellStyle name="Comma0 9" xfId="4357" xr:uid="{00000000-0005-0000-0000-0000FD0A0000}"/>
    <cellStyle name="Comma0_111_Washington_9-14-10_loan_size_base_on_$55_rents_$40MMland_-_new_model_10am - changes v1" xfId="2061" xr:uid="{00000000-0005-0000-0000-0000FE0A0000}"/>
    <cellStyle name="Comma1 - Modelo2" xfId="5550" xr:uid="{00000000-0005-0000-0000-0000FF0A0000}"/>
    <cellStyle name="Comma1 - Style1" xfId="2062" xr:uid="{00000000-0005-0000-0000-0000000B0000}"/>
    <cellStyle name="Comma1 - Style1 2" xfId="5551" xr:uid="{00000000-0005-0000-0000-0000010B0000}"/>
    <cellStyle name="Comma1 - Style2" xfId="5552" xr:uid="{00000000-0005-0000-0000-0000020B0000}"/>
    <cellStyle name="CommaFixed" xfId="2063" xr:uid="{00000000-0005-0000-0000-0000030B0000}"/>
    <cellStyle name="Command" xfId="54" xr:uid="{00000000-0005-0000-0000-0000040B0000}"/>
    <cellStyle name="Command 2" xfId="4878" xr:uid="{00000000-0005-0000-0000-0000050B0000}"/>
    <cellStyle name="Command 3" xfId="5554" xr:uid="{00000000-0005-0000-0000-0000060B0000}"/>
    <cellStyle name="CommaNoDec" xfId="2064" xr:uid="{00000000-0005-0000-0000-0000070B0000}"/>
    <cellStyle name="CommaNoDecTot" xfId="2065" xr:uid="{00000000-0005-0000-0000-0000080B0000}"/>
    <cellStyle name="commas" xfId="2066" xr:uid="{00000000-0005-0000-0000-0000090B0000}"/>
    <cellStyle name="CommaTotTop" xfId="2067" xr:uid="{00000000-0005-0000-0000-00000A0B0000}"/>
    <cellStyle name="CommaTotTopNoDec" xfId="2068" xr:uid="{00000000-0005-0000-0000-00000B0B0000}"/>
    <cellStyle name="company" xfId="55" xr:uid="{00000000-0005-0000-0000-00000C0B0000}"/>
    <cellStyle name="company 2" xfId="3561" xr:uid="{00000000-0005-0000-0000-00000D0B0000}"/>
    <cellStyle name="company 3" xfId="3566" xr:uid="{00000000-0005-0000-0000-00000E0B0000}"/>
    <cellStyle name="company 4" xfId="3108" xr:uid="{00000000-0005-0000-0000-00000F0B0000}"/>
    <cellStyle name="company 5" xfId="4877" xr:uid="{00000000-0005-0000-0000-0000100B0000}"/>
    <cellStyle name="company 6" xfId="5149" xr:uid="{00000000-0005-0000-0000-0000110B0000}"/>
    <cellStyle name="company 7" xfId="5556" xr:uid="{00000000-0005-0000-0000-0000120B0000}"/>
    <cellStyle name="Component" xfId="2069" xr:uid="{00000000-0005-0000-0000-0000130B0000}"/>
    <cellStyle name="Component 2" xfId="3268" xr:uid="{00000000-0005-0000-0000-0000140B0000}"/>
    <cellStyle name="Component 3" xfId="3150" xr:uid="{00000000-0005-0000-0000-0000150B0000}"/>
    <cellStyle name="Copied" xfId="2070" xr:uid="{00000000-0005-0000-0000-0000160B0000}"/>
    <cellStyle name="COST1" xfId="2071" xr:uid="{00000000-0005-0000-0000-0000170B0000}"/>
    <cellStyle name="Curren - Style2" xfId="2072" xr:uid="{00000000-0005-0000-0000-0000180B0000}"/>
    <cellStyle name="Curren - Style2 2" xfId="5557" xr:uid="{00000000-0005-0000-0000-0000190B0000}"/>
    <cellStyle name="Curren - Style5" xfId="2073" xr:uid="{00000000-0005-0000-0000-00001A0B0000}"/>
    <cellStyle name="Currency" xfId="2" builtinId="4"/>
    <cellStyle name="Currency (3)" xfId="2075" xr:uid="{00000000-0005-0000-0000-00001C0B0000}"/>
    <cellStyle name="Currency (Rounded)" xfId="56" xr:uid="{00000000-0005-0000-0000-00001D0B0000}"/>
    <cellStyle name="Currency [$     0.00]" xfId="2076" xr:uid="{00000000-0005-0000-0000-00001E0B0000}"/>
    <cellStyle name="Currency [$     0]" xfId="2077" xr:uid="{00000000-0005-0000-0000-00001F0B0000}"/>
    <cellStyle name="Currency [00]" xfId="2078" xr:uid="{00000000-0005-0000-0000-0000200B0000}"/>
    <cellStyle name="Currency [00] 2" xfId="2079" xr:uid="{00000000-0005-0000-0000-0000210B0000}"/>
    <cellStyle name="Currency [2]" xfId="2080" xr:uid="{00000000-0005-0000-0000-0000220B0000}"/>
    <cellStyle name="Currency 0" xfId="2081" xr:uid="{00000000-0005-0000-0000-0000230B0000}"/>
    <cellStyle name="Currency 0.0" xfId="2082" xr:uid="{00000000-0005-0000-0000-0000240B0000}"/>
    <cellStyle name="Currency 0.0 2" xfId="3876" xr:uid="{00000000-0005-0000-0000-0000250B0000}"/>
    <cellStyle name="Currency 10" xfId="2083" xr:uid="{00000000-0005-0000-0000-0000260B0000}"/>
    <cellStyle name="Currency 10 2" xfId="3625" xr:uid="{00000000-0005-0000-0000-0000270B0000}"/>
    <cellStyle name="Currency 10 2 2" xfId="5429" xr:uid="{00000000-0005-0000-0000-0000280B0000}"/>
    <cellStyle name="Currency 10 2 3" xfId="5561" xr:uid="{00000000-0005-0000-0000-0000290B0000}"/>
    <cellStyle name="Currency 10 3" xfId="3355" xr:uid="{00000000-0005-0000-0000-00002A0B0000}"/>
    <cellStyle name="Currency 10 3 2" xfId="5563" xr:uid="{00000000-0005-0000-0000-00002B0B0000}"/>
    <cellStyle name="Currency 10 4" xfId="5424" xr:uid="{00000000-0005-0000-0000-00002C0B0000}"/>
    <cellStyle name="Currency 10 5" xfId="5566" xr:uid="{00000000-0005-0000-0000-00002D0B0000}"/>
    <cellStyle name="Currency 10 6" xfId="5560" xr:uid="{00000000-0005-0000-0000-00002E0B0000}"/>
    <cellStyle name="Currency 11" xfId="148" xr:uid="{00000000-0005-0000-0000-00002F0B0000}"/>
    <cellStyle name="Currency 11 2" xfId="3083" xr:uid="{00000000-0005-0000-0000-0000300B0000}"/>
    <cellStyle name="Currency 11 3" xfId="3626" xr:uid="{00000000-0005-0000-0000-0000310B0000}"/>
    <cellStyle name="Currency 11 4" xfId="2084" xr:uid="{00000000-0005-0000-0000-0000320B0000}"/>
    <cellStyle name="Currency 12" xfId="2085" xr:uid="{00000000-0005-0000-0000-0000330B0000}"/>
    <cellStyle name="Currency 12 2" xfId="3627" xr:uid="{00000000-0005-0000-0000-0000340B0000}"/>
    <cellStyle name="Currency 12 3" xfId="3532" xr:uid="{00000000-0005-0000-0000-0000350B0000}"/>
    <cellStyle name="Currency 13" xfId="2086" xr:uid="{00000000-0005-0000-0000-0000360B0000}"/>
    <cellStyle name="Currency 13 2" xfId="2087" xr:uid="{00000000-0005-0000-0000-0000370B0000}"/>
    <cellStyle name="Currency 14" xfId="2074" xr:uid="{00000000-0005-0000-0000-0000380B0000}"/>
    <cellStyle name="Currency 15" xfId="2969" xr:uid="{00000000-0005-0000-0000-0000390B0000}"/>
    <cellStyle name="Currency 16" xfId="2963" xr:uid="{00000000-0005-0000-0000-00003A0B0000}"/>
    <cellStyle name="Currency 16 2" xfId="5569" xr:uid="{00000000-0005-0000-0000-00003B0B0000}"/>
    <cellStyle name="Currency 16 3" xfId="5567" xr:uid="{00000000-0005-0000-0000-00003C0B0000}"/>
    <cellStyle name="Currency 17" xfId="2968" xr:uid="{00000000-0005-0000-0000-00003D0B0000}"/>
    <cellStyle name="Currency 17 2" xfId="5456" xr:uid="{00000000-0005-0000-0000-00003E0B0000}"/>
    <cellStyle name="Currency 17 3" xfId="5570" xr:uid="{00000000-0005-0000-0000-00003F0B0000}"/>
    <cellStyle name="Currency 18" xfId="2962" xr:uid="{00000000-0005-0000-0000-0000400B0000}"/>
    <cellStyle name="Currency 18 2" xfId="5572" xr:uid="{00000000-0005-0000-0000-0000410B0000}"/>
    <cellStyle name="Currency 19" xfId="2981" xr:uid="{00000000-0005-0000-0000-0000420B0000}"/>
    <cellStyle name="Currency 19 2" xfId="5343" xr:uid="{00000000-0005-0000-0000-0000430B0000}"/>
    <cellStyle name="Currency 2" xfId="26" xr:uid="{00000000-0005-0000-0000-0000440B0000}"/>
    <cellStyle name="Currency 2 10" xfId="4843" xr:uid="{00000000-0005-0000-0000-0000450B0000}"/>
    <cellStyle name="Currency 2 11" xfId="5575" xr:uid="{00000000-0005-0000-0000-0000460B0000}"/>
    <cellStyle name="Currency 2 2" xfId="124" xr:uid="{00000000-0005-0000-0000-0000470B0000}"/>
    <cellStyle name="Currency 2 2 2" xfId="3043" xr:uid="{00000000-0005-0000-0000-0000480B0000}"/>
    <cellStyle name="Currency 2 2 2 2" xfId="3729" xr:uid="{00000000-0005-0000-0000-0000490B0000}"/>
    <cellStyle name="Currency 2 2 2 2 2" xfId="5416" xr:uid="{00000000-0005-0000-0000-00004A0B0000}"/>
    <cellStyle name="Currency 2 2 2 3" xfId="3422" xr:uid="{00000000-0005-0000-0000-00004B0B0000}"/>
    <cellStyle name="Currency 2 2 2 4" xfId="5474" xr:uid="{00000000-0005-0000-0000-00004C0B0000}"/>
    <cellStyle name="Currency 2 2 3" xfId="2088" xr:uid="{00000000-0005-0000-0000-00004D0B0000}"/>
    <cellStyle name="Currency 2 2 3 2" xfId="3628" xr:uid="{00000000-0005-0000-0000-00004E0B0000}"/>
    <cellStyle name="Currency 2 2 3 3" xfId="3423" xr:uid="{00000000-0005-0000-0000-00004F0B0000}"/>
    <cellStyle name="Currency 2 2 3 4" xfId="5577" xr:uid="{00000000-0005-0000-0000-0000500B0000}"/>
    <cellStyle name="Currency 2 2 4" xfId="3592" xr:uid="{00000000-0005-0000-0000-0000510B0000}"/>
    <cellStyle name="Currency 2 2 4 2" xfId="4358" xr:uid="{00000000-0005-0000-0000-0000520B0000}"/>
    <cellStyle name="Currency 2 2 5" xfId="3357" xr:uid="{00000000-0005-0000-0000-0000530B0000}"/>
    <cellStyle name="Currency 2 2 6" xfId="4359" xr:uid="{00000000-0005-0000-0000-0000540B0000}"/>
    <cellStyle name="Currency 2 2 7" xfId="5576" xr:uid="{00000000-0005-0000-0000-0000550B0000}"/>
    <cellStyle name="Currency 2 3" xfId="2089" xr:uid="{00000000-0005-0000-0000-0000560B0000}"/>
    <cellStyle name="Currency 2 3 2" xfId="3629" xr:uid="{00000000-0005-0000-0000-0000570B0000}"/>
    <cellStyle name="Currency 2 3 2 2" xfId="4361" xr:uid="{00000000-0005-0000-0000-0000580B0000}"/>
    <cellStyle name="Currency 2 3 2 3" xfId="5578" xr:uid="{00000000-0005-0000-0000-0000590B0000}"/>
    <cellStyle name="Currency 2 3 3" xfId="3358" xr:uid="{00000000-0005-0000-0000-00005A0B0000}"/>
    <cellStyle name="Currency 2 3 4" xfId="4360" xr:uid="{00000000-0005-0000-0000-00005B0B0000}"/>
    <cellStyle name="Currency 2 3 5" xfId="5466" xr:uid="{00000000-0005-0000-0000-00005C0B0000}"/>
    <cellStyle name="Currency 2 4" xfId="2090" xr:uid="{00000000-0005-0000-0000-00005D0B0000}"/>
    <cellStyle name="Currency 2 4 2" xfId="3630" xr:uid="{00000000-0005-0000-0000-00005E0B0000}"/>
    <cellStyle name="Currency 2 4 2 2" xfId="4363" xr:uid="{00000000-0005-0000-0000-00005F0B0000}"/>
    <cellStyle name="Currency 2 4 3" xfId="3424" xr:uid="{00000000-0005-0000-0000-0000600B0000}"/>
    <cellStyle name="Currency 2 4 4" xfId="4362" xr:uid="{00000000-0005-0000-0000-0000610B0000}"/>
    <cellStyle name="Currency 2 4 5" xfId="5579" xr:uid="{00000000-0005-0000-0000-0000620B0000}"/>
    <cellStyle name="Currency 2 5" xfId="2091" xr:uid="{00000000-0005-0000-0000-0000630B0000}"/>
    <cellStyle name="Currency 2 5 2" xfId="4364" xr:uid="{00000000-0005-0000-0000-0000640B0000}"/>
    <cellStyle name="Currency 2 5 3" xfId="5030" xr:uid="{00000000-0005-0000-0000-0000650B0000}"/>
    <cellStyle name="Currency 2 6" xfId="3356" xr:uid="{00000000-0005-0000-0000-0000660B0000}"/>
    <cellStyle name="Currency 2 6 2" xfId="4365" xr:uid="{00000000-0005-0000-0000-0000670B0000}"/>
    <cellStyle name="Currency 2 6 3" xfId="5094" xr:uid="{00000000-0005-0000-0000-0000680B0000}"/>
    <cellStyle name="Currency 2 7" xfId="4366" xr:uid="{00000000-0005-0000-0000-0000690B0000}"/>
    <cellStyle name="Currency 2 8" xfId="4367" xr:uid="{00000000-0005-0000-0000-00006A0B0000}"/>
    <cellStyle name="Currency 2 9" xfId="4368" xr:uid="{00000000-0005-0000-0000-00006B0B0000}"/>
    <cellStyle name="Currency 2_111_Washington_9-14-10_loan_size_base_on_$55_rents_$40MMland_-_new_model_10am - changes v1" xfId="2092" xr:uid="{00000000-0005-0000-0000-00006C0B0000}"/>
    <cellStyle name="Currency 20" xfId="2982" xr:uid="{00000000-0005-0000-0000-00006D0B0000}"/>
    <cellStyle name="Currency 20 2" xfId="5527" xr:uid="{00000000-0005-0000-0000-00006E0B0000}"/>
    <cellStyle name="Currency 21" xfId="2986" xr:uid="{00000000-0005-0000-0000-00006F0B0000}"/>
    <cellStyle name="Currency 21 2" xfId="5568" xr:uid="{00000000-0005-0000-0000-0000700B0000}"/>
    <cellStyle name="Currency 22" xfId="2995" xr:uid="{00000000-0005-0000-0000-0000710B0000}"/>
    <cellStyle name="Currency 22 2" xfId="5571" xr:uid="{00000000-0005-0000-0000-0000720B0000}"/>
    <cellStyle name="Currency 23" xfId="242" xr:uid="{00000000-0005-0000-0000-0000730B0000}"/>
    <cellStyle name="Currency 23 2" xfId="5573" xr:uid="{00000000-0005-0000-0000-0000740B0000}"/>
    <cellStyle name="Currency 24" xfId="3060" xr:uid="{00000000-0005-0000-0000-0000750B0000}"/>
    <cellStyle name="Currency 24 2" xfId="5344" xr:uid="{00000000-0005-0000-0000-0000760B0000}"/>
    <cellStyle name="Currency 25" xfId="3069" xr:uid="{00000000-0005-0000-0000-0000770B0000}"/>
    <cellStyle name="Currency 25 2" xfId="5791" xr:uid="{00000000-0005-0000-0000-0000780B0000}"/>
    <cellStyle name="Currency 26" xfId="3077" xr:uid="{00000000-0005-0000-0000-0000790B0000}"/>
    <cellStyle name="Currency 27" xfId="3354" xr:uid="{00000000-0005-0000-0000-00007A0B0000}"/>
    <cellStyle name="Currency 28" xfId="3708" xr:uid="{00000000-0005-0000-0000-00007B0B0000}"/>
    <cellStyle name="Currency 29" xfId="3774" xr:uid="{00000000-0005-0000-0000-00007C0B0000}"/>
    <cellStyle name="Currency 3" xfId="21" xr:uid="{00000000-0005-0000-0000-00007D0B0000}"/>
    <cellStyle name="Currency 3 10" xfId="4844" xr:uid="{00000000-0005-0000-0000-00007E0B0000}"/>
    <cellStyle name="Currency 3 11" xfId="4940" xr:uid="{00000000-0005-0000-0000-00007F0B0000}"/>
    <cellStyle name="Currency 3 2" xfId="57" xr:uid="{00000000-0005-0000-0000-0000800B0000}"/>
    <cellStyle name="Currency 3 2 2" xfId="3012" xr:uid="{00000000-0005-0000-0000-0000810B0000}"/>
    <cellStyle name="Currency 3 2 2 2" xfId="4370" xr:uid="{00000000-0005-0000-0000-0000820B0000}"/>
    <cellStyle name="Currency 3 2 2 3" xfId="5582" xr:uid="{00000000-0005-0000-0000-0000830B0000}"/>
    <cellStyle name="Currency 3 2 3" xfId="2094" xr:uid="{00000000-0005-0000-0000-0000840B0000}"/>
    <cellStyle name="Currency 3 2 4" xfId="3567" xr:uid="{00000000-0005-0000-0000-0000850B0000}"/>
    <cellStyle name="Currency 3 2 5" xfId="3425" xr:uid="{00000000-0005-0000-0000-0000860B0000}"/>
    <cellStyle name="Currency 3 2 6" xfId="4369" xr:uid="{00000000-0005-0000-0000-0000870B0000}"/>
    <cellStyle name="Currency 3 2 7" xfId="5428" xr:uid="{00000000-0005-0000-0000-0000880B0000}"/>
    <cellStyle name="Currency 3 3" xfId="129" xr:uid="{00000000-0005-0000-0000-0000890B0000}"/>
    <cellStyle name="Currency 3 3 2" xfId="3046" xr:uid="{00000000-0005-0000-0000-00008A0B0000}"/>
    <cellStyle name="Currency 3 3 2 2" xfId="4372" xr:uid="{00000000-0005-0000-0000-00008B0B0000}"/>
    <cellStyle name="Currency 3 3 3" xfId="2093" xr:uid="{00000000-0005-0000-0000-00008C0B0000}"/>
    <cellStyle name="Currency 3 3 4" xfId="3596" xr:uid="{00000000-0005-0000-0000-00008D0B0000}"/>
    <cellStyle name="Currency 3 3 5" xfId="3536" xr:uid="{00000000-0005-0000-0000-00008E0B0000}"/>
    <cellStyle name="Currency 3 3 6" xfId="4371" xr:uid="{00000000-0005-0000-0000-00008F0B0000}"/>
    <cellStyle name="Currency 3 3 7" xfId="5565" xr:uid="{00000000-0005-0000-0000-0000900B0000}"/>
    <cellStyle name="Currency 3 4" xfId="4373" xr:uid="{00000000-0005-0000-0000-0000910B0000}"/>
    <cellStyle name="Currency 3 5" xfId="4374" xr:uid="{00000000-0005-0000-0000-0000920B0000}"/>
    <cellStyle name="Currency 3 6" xfId="4375" xr:uid="{00000000-0005-0000-0000-0000930B0000}"/>
    <cellStyle name="Currency 3 7" xfId="4376" xr:uid="{00000000-0005-0000-0000-0000940B0000}"/>
    <cellStyle name="Currency 3 8" xfId="4377" xr:uid="{00000000-0005-0000-0000-0000950B0000}"/>
    <cellStyle name="Currency 3 9" xfId="4378" xr:uid="{00000000-0005-0000-0000-0000960B0000}"/>
    <cellStyle name="Currency 30" xfId="3778" xr:uid="{00000000-0005-0000-0000-0000970B0000}"/>
    <cellStyle name="Currency 31" xfId="3780" xr:uid="{00000000-0005-0000-0000-0000980B0000}"/>
    <cellStyle name="Currency 32" xfId="3831" xr:uid="{00000000-0005-0000-0000-0000990B0000}"/>
    <cellStyle name="Currency 33" xfId="3849" xr:uid="{00000000-0005-0000-0000-00009A0B0000}"/>
    <cellStyle name="Currency 34" xfId="3873" xr:uid="{00000000-0005-0000-0000-00009B0B0000}"/>
    <cellStyle name="Currency 35" xfId="3105" xr:uid="{00000000-0005-0000-0000-00009C0B0000}"/>
    <cellStyle name="Currency 36" xfId="3316" xr:uid="{00000000-0005-0000-0000-00009D0B0000}"/>
    <cellStyle name="Currency 37" xfId="3917" xr:uid="{00000000-0005-0000-0000-00009E0B0000}"/>
    <cellStyle name="Currency 38" xfId="184" xr:uid="{00000000-0005-0000-0000-00009F0B0000}"/>
    <cellStyle name="Currency 39" xfId="4875" xr:uid="{00000000-0005-0000-0000-0000A00B0000}"/>
    <cellStyle name="Currency 4" xfId="58" xr:uid="{00000000-0005-0000-0000-0000A10B0000}"/>
    <cellStyle name="Currency 4 10" xfId="4380" xr:uid="{00000000-0005-0000-0000-0000A20B0000}"/>
    <cellStyle name="Currency 4 11" xfId="4381" xr:uid="{00000000-0005-0000-0000-0000A30B0000}"/>
    <cellStyle name="Currency 4 11 2" xfId="4382" xr:uid="{00000000-0005-0000-0000-0000A40B0000}"/>
    <cellStyle name="Currency 4 11 3" xfId="4383" xr:uid="{00000000-0005-0000-0000-0000A50B0000}"/>
    <cellStyle name="Currency 4 12" xfId="4379" xr:uid="{00000000-0005-0000-0000-0000A60B0000}"/>
    <cellStyle name="Currency 4 13" xfId="5258" xr:uid="{00000000-0005-0000-0000-0000A70B0000}"/>
    <cellStyle name="Currency 4 14" xfId="5283" xr:uid="{00000000-0005-0000-0000-0000A80B0000}"/>
    <cellStyle name="Currency 4 15" xfId="5313" xr:uid="{00000000-0005-0000-0000-0000A90B0000}"/>
    <cellStyle name="Currency 4 16" xfId="5562" xr:uid="{00000000-0005-0000-0000-0000AA0B0000}"/>
    <cellStyle name="Currency 4 2" xfId="2096" xr:uid="{00000000-0005-0000-0000-0000AB0B0000}"/>
    <cellStyle name="Currency 4 2 2" xfId="4385" xr:uid="{00000000-0005-0000-0000-0000AC0B0000}"/>
    <cellStyle name="Currency 4 2 2 2" xfId="4386" xr:uid="{00000000-0005-0000-0000-0000AD0B0000}"/>
    <cellStyle name="Currency 4 2 3" xfId="4387" xr:uid="{00000000-0005-0000-0000-0000AE0B0000}"/>
    <cellStyle name="Currency 4 2 4" xfId="4384" xr:uid="{00000000-0005-0000-0000-0000AF0B0000}"/>
    <cellStyle name="Currency 4 2 5" xfId="5583" xr:uid="{00000000-0005-0000-0000-0000B00B0000}"/>
    <cellStyle name="Currency 4 3" xfId="3013" xr:uid="{00000000-0005-0000-0000-0000B10B0000}"/>
    <cellStyle name="Currency 4 3 2" xfId="4388" xr:uid="{00000000-0005-0000-0000-0000B20B0000}"/>
    <cellStyle name="Currency 4 4" xfId="2095" xr:uid="{00000000-0005-0000-0000-0000B30B0000}"/>
    <cellStyle name="Currency 4 4 2" xfId="4389" xr:uid="{00000000-0005-0000-0000-0000B40B0000}"/>
    <cellStyle name="Currency 4 5" xfId="3568" xr:uid="{00000000-0005-0000-0000-0000B50B0000}"/>
    <cellStyle name="Currency 4 5 2" xfId="4390" xr:uid="{00000000-0005-0000-0000-0000B60B0000}"/>
    <cellStyle name="Currency 4 6" xfId="3359" xr:uid="{00000000-0005-0000-0000-0000B70B0000}"/>
    <cellStyle name="Currency 4 6 2" xfId="4391" xr:uid="{00000000-0005-0000-0000-0000B80B0000}"/>
    <cellStyle name="Currency 4 7" xfId="4392" xr:uid="{00000000-0005-0000-0000-0000B90B0000}"/>
    <cellStyle name="Currency 4 8" xfId="4393" xr:uid="{00000000-0005-0000-0000-0000BA0B0000}"/>
    <cellStyle name="Currency 4 9" xfId="4394" xr:uid="{00000000-0005-0000-0000-0000BB0B0000}"/>
    <cellStyle name="Currency 4 9 2" xfId="4395" xr:uid="{00000000-0005-0000-0000-0000BC0B0000}"/>
    <cellStyle name="Currency 4 9 3" xfId="4396" xr:uid="{00000000-0005-0000-0000-0000BD0B0000}"/>
    <cellStyle name="Currency 40" xfId="4883" xr:uid="{00000000-0005-0000-0000-0000BE0B0000}"/>
    <cellStyle name="Currency 41" xfId="4888" xr:uid="{00000000-0005-0000-0000-0000BF0B0000}"/>
    <cellStyle name="Currency 42" xfId="4912" xr:uid="{00000000-0005-0000-0000-0000C00B0000}"/>
    <cellStyle name="Currency 43" xfId="4938" xr:uid="{00000000-0005-0000-0000-0000C10B0000}"/>
    <cellStyle name="Currency 44" xfId="4951" xr:uid="{00000000-0005-0000-0000-0000C20B0000}"/>
    <cellStyle name="Currency 45" xfId="4957" xr:uid="{00000000-0005-0000-0000-0000C30B0000}"/>
    <cellStyle name="Currency 46" xfId="4952" xr:uid="{00000000-0005-0000-0000-0000C40B0000}"/>
    <cellStyle name="Currency 47" xfId="4966" xr:uid="{00000000-0005-0000-0000-0000C50B0000}"/>
    <cellStyle name="Currency 48" xfId="4989" xr:uid="{00000000-0005-0000-0000-0000C60B0000}"/>
    <cellStyle name="Currency 49" xfId="4991" xr:uid="{00000000-0005-0000-0000-0000C70B0000}"/>
    <cellStyle name="Currency 5" xfId="99" xr:uid="{00000000-0005-0000-0000-0000C80B0000}"/>
    <cellStyle name="Currency 5 2" xfId="3031" xr:uid="{00000000-0005-0000-0000-0000C90B0000}"/>
    <cellStyle name="Currency 5 2 2" xfId="3726" xr:uid="{00000000-0005-0000-0000-0000CA0B0000}"/>
    <cellStyle name="Currency 5 2 2 2" xfId="5585" xr:uid="{00000000-0005-0000-0000-0000CB0B0000}"/>
    <cellStyle name="Currency 5 2 3" xfId="3540" xr:uid="{00000000-0005-0000-0000-0000CC0B0000}"/>
    <cellStyle name="Currency 5 2 4" xfId="4397" xr:uid="{00000000-0005-0000-0000-0000CD0B0000}"/>
    <cellStyle name="Currency 5 2 5" xfId="5581" xr:uid="{00000000-0005-0000-0000-0000CE0B0000}"/>
    <cellStyle name="Currency 5 3" xfId="2097" xr:uid="{00000000-0005-0000-0000-0000CF0B0000}"/>
    <cellStyle name="Currency 5 3 2" xfId="5587" xr:uid="{00000000-0005-0000-0000-0000D00B0000}"/>
    <cellStyle name="Currency 5 4" xfId="3584" xr:uid="{00000000-0005-0000-0000-0000D10B0000}"/>
    <cellStyle name="Currency 5 5" xfId="3360" xr:uid="{00000000-0005-0000-0000-0000D20B0000}"/>
    <cellStyle name="Currency 5 6" xfId="5426" xr:uid="{00000000-0005-0000-0000-0000D30B0000}"/>
    <cellStyle name="Currency 50" xfId="4997" xr:uid="{00000000-0005-0000-0000-0000D40B0000}"/>
    <cellStyle name="Currency 51" xfId="5000" xr:uid="{00000000-0005-0000-0000-0000D50B0000}"/>
    <cellStyle name="Currency 52" xfId="5102" xr:uid="{00000000-0005-0000-0000-0000D60B0000}"/>
    <cellStyle name="Currency 53" xfId="5187" xr:uid="{00000000-0005-0000-0000-0000D70B0000}"/>
    <cellStyle name="Currency 54" xfId="5151" xr:uid="{00000000-0005-0000-0000-0000D80B0000}"/>
    <cellStyle name="Currency 55" xfId="5186" xr:uid="{00000000-0005-0000-0000-0000D90B0000}"/>
    <cellStyle name="Currency 56" xfId="5231" xr:uid="{00000000-0005-0000-0000-0000DA0B0000}"/>
    <cellStyle name="Currency 57" xfId="5233" xr:uid="{00000000-0005-0000-0000-0000DB0B0000}"/>
    <cellStyle name="Currency 58" xfId="5260" xr:uid="{00000000-0005-0000-0000-0000DC0B0000}"/>
    <cellStyle name="Currency 59" xfId="5286" xr:uid="{00000000-0005-0000-0000-0000DD0B0000}"/>
    <cellStyle name="Currency 6" xfId="109" xr:uid="{00000000-0005-0000-0000-0000DE0B0000}"/>
    <cellStyle name="Currency 6 2" xfId="116" xr:uid="{00000000-0005-0000-0000-0000DF0B0000}"/>
    <cellStyle name="Currency 6 3" xfId="3034" xr:uid="{00000000-0005-0000-0000-0000E00B0000}"/>
    <cellStyle name="Currency 6 4" xfId="2098" xr:uid="{00000000-0005-0000-0000-0000E10B0000}"/>
    <cellStyle name="Currency 6 5" xfId="3586" xr:uid="{00000000-0005-0000-0000-0000E20B0000}"/>
    <cellStyle name="Currency 6 6" xfId="3361" xr:uid="{00000000-0005-0000-0000-0000E30B0000}"/>
    <cellStyle name="Currency 60" xfId="5287" xr:uid="{00000000-0005-0000-0000-0000E40B0000}"/>
    <cellStyle name="Currency 61" xfId="14" xr:uid="{00000000-0005-0000-0000-0000E50B0000}"/>
    <cellStyle name="Currency 62" xfId="5316" xr:uid="{00000000-0005-0000-0000-0000E60B0000}"/>
    <cellStyle name="Currency 63" xfId="5320" xr:uid="{00000000-0005-0000-0000-0000E70B0000}"/>
    <cellStyle name="Currency 64" xfId="5326" xr:uid="{00000000-0005-0000-0000-0000E80B0000}"/>
    <cellStyle name="Currency 65" xfId="5776" xr:uid="{00000000-0005-0000-0000-0000E90B0000}"/>
    <cellStyle name="Currency 66" xfId="5838" xr:uid="{00000000-0005-0000-0000-0000EA0B0000}"/>
    <cellStyle name="Currency 67" xfId="5845" xr:uid="{00000000-0005-0000-0000-0000EB0B0000}"/>
    <cellStyle name="Currency 7" xfId="140" xr:uid="{00000000-0005-0000-0000-0000EC0B0000}"/>
    <cellStyle name="Currency 7 2" xfId="3541" xr:uid="{00000000-0005-0000-0000-0000ED0B0000}"/>
    <cellStyle name="Currency 7 2 2" xfId="4398" xr:uid="{00000000-0005-0000-0000-0000EE0B0000}"/>
    <cellStyle name="Currency 7 3" xfId="3602" xr:uid="{00000000-0005-0000-0000-0000EF0B0000}"/>
    <cellStyle name="Currency 7 4" xfId="3362" xr:uid="{00000000-0005-0000-0000-0000F00B0000}"/>
    <cellStyle name="Currency 8" xfId="163" xr:uid="{00000000-0005-0000-0000-0000F10B0000}"/>
    <cellStyle name="Currency 8 2" xfId="3631" xr:uid="{00000000-0005-0000-0000-0000F20B0000}"/>
    <cellStyle name="Currency 8 3" xfId="3363" xr:uid="{00000000-0005-0000-0000-0000F30B0000}"/>
    <cellStyle name="Currency 9" xfId="2099" xr:uid="{00000000-0005-0000-0000-0000F40B0000}"/>
    <cellStyle name="Currency 9 2" xfId="3542" xr:uid="{00000000-0005-0000-0000-0000F50B0000}"/>
    <cellStyle name="Currency 9 2 2" xfId="5589" xr:uid="{00000000-0005-0000-0000-0000F60B0000}"/>
    <cellStyle name="Currency 9 3" xfId="3632" xr:uid="{00000000-0005-0000-0000-0000F70B0000}"/>
    <cellStyle name="Currency 9 4" xfId="3364" xr:uid="{00000000-0005-0000-0000-0000F80B0000}"/>
    <cellStyle name="Currency 9 5" xfId="5588" xr:uid="{00000000-0005-0000-0000-0000F90B0000}"/>
    <cellStyle name="Currency0" xfId="59" xr:uid="{00000000-0005-0000-0000-0000FA0B0000}"/>
    <cellStyle name="Currency0 10" xfId="4399" xr:uid="{00000000-0005-0000-0000-0000FB0B0000}"/>
    <cellStyle name="Currency0 2" xfId="3014" xr:uid="{00000000-0005-0000-0000-0000FC0B0000}"/>
    <cellStyle name="Currency0 2 2" xfId="4400" xr:uid="{00000000-0005-0000-0000-0000FD0B0000}"/>
    <cellStyle name="Currency0 3" xfId="2100" xr:uid="{00000000-0005-0000-0000-0000FE0B0000}"/>
    <cellStyle name="Currency0 3 2" xfId="4401" xr:uid="{00000000-0005-0000-0000-0000FF0B0000}"/>
    <cellStyle name="Currency0 4" xfId="4402" xr:uid="{00000000-0005-0000-0000-0000000C0000}"/>
    <cellStyle name="Currency0 5" xfId="4403" xr:uid="{00000000-0005-0000-0000-0000010C0000}"/>
    <cellStyle name="Currency0 6" xfId="4404" xr:uid="{00000000-0005-0000-0000-0000020C0000}"/>
    <cellStyle name="Currency0 7" xfId="4405" xr:uid="{00000000-0005-0000-0000-0000030C0000}"/>
    <cellStyle name="Currency0 8" xfId="4406" xr:uid="{00000000-0005-0000-0000-0000040C0000}"/>
    <cellStyle name="Currency0 9" xfId="4407" xr:uid="{00000000-0005-0000-0000-0000050C0000}"/>
    <cellStyle name="Currency1" xfId="2101" xr:uid="{00000000-0005-0000-0000-0000060C0000}"/>
    <cellStyle name="CurrencyTotTop[" xfId="2102" xr:uid="{00000000-0005-0000-0000-0000070C0000}"/>
    <cellStyle name="Cŵrrency ś0]" xfId="2103" xr:uid="{00000000-0005-0000-0000-0000080C0000}"/>
    <cellStyle name="Dash" xfId="2104" xr:uid="{00000000-0005-0000-0000-0000090C0000}"/>
    <cellStyle name="Dash 2" xfId="5430" xr:uid="{00000000-0005-0000-0000-00000A0C0000}"/>
    <cellStyle name="Date" xfId="60" xr:uid="{00000000-0005-0000-0000-00000B0C0000}"/>
    <cellStyle name="Date - Style2" xfId="5592" xr:uid="{00000000-0005-0000-0000-00000C0C0000}"/>
    <cellStyle name="Date [mm-d-yyyy]" xfId="5413" xr:uid="{00000000-0005-0000-0000-00000D0C0000}"/>
    <cellStyle name="DATE 10" xfId="2106" xr:uid="{00000000-0005-0000-0000-00000E0C0000}"/>
    <cellStyle name="Date 11" xfId="3015" xr:uid="{00000000-0005-0000-0000-00000F0C0000}"/>
    <cellStyle name="Date 12" xfId="2105" xr:uid="{00000000-0005-0000-0000-0000100C0000}"/>
    <cellStyle name="Date 13" xfId="4408" xr:uid="{00000000-0005-0000-0000-0000110C0000}"/>
    <cellStyle name="date 14" xfId="5590" xr:uid="{00000000-0005-0000-0000-0000120C0000}"/>
    <cellStyle name="date 15" xfId="5798" xr:uid="{00000000-0005-0000-0000-0000130C0000}"/>
    <cellStyle name="Date 2" xfId="2107" xr:uid="{00000000-0005-0000-0000-0000140C0000}"/>
    <cellStyle name="Date 2 2" xfId="2108" xr:uid="{00000000-0005-0000-0000-0000150C0000}"/>
    <cellStyle name="Date 2 2 2" xfId="4410" xr:uid="{00000000-0005-0000-0000-0000160C0000}"/>
    <cellStyle name="Date 2 3" xfId="4411" xr:uid="{00000000-0005-0000-0000-0000170C0000}"/>
    <cellStyle name="Date 2 4" xfId="4409" xr:uid="{00000000-0005-0000-0000-0000180C0000}"/>
    <cellStyle name="Date 3" xfId="2109" xr:uid="{00000000-0005-0000-0000-0000190C0000}"/>
    <cellStyle name="Date 3 2" xfId="2110" xr:uid="{00000000-0005-0000-0000-00001A0C0000}"/>
    <cellStyle name="Date 3 2 2" xfId="4413" xr:uid="{00000000-0005-0000-0000-00001B0C0000}"/>
    <cellStyle name="Date 3 3" xfId="4414" xr:uid="{00000000-0005-0000-0000-00001C0C0000}"/>
    <cellStyle name="Date 3 4" xfId="4412" xr:uid="{00000000-0005-0000-0000-00001D0C0000}"/>
    <cellStyle name="DATE 4" xfId="2111" xr:uid="{00000000-0005-0000-0000-00001E0C0000}"/>
    <cellStyle name="Date 4 2" xfId="4416" xr:uid="{00000000-0005-0000-0000-00001F0C0000}"/>
    <cellStyle name="Date 4 3" xfId="4417" xr:uid="{00000000-0005-0000-0000-0000200C0000}"/>
    <cellStyle name="Date 4 4" xfId="4415" xr:uid="{00000000-0005-0000-0000-0000210C0000}"/>
    <cellStyle name="DATE 5" xfId="2112" xr:uid="{00000000-0005-0000-0000-0000220C0000}"/>
    <cellStyle name="Date 5 2" xfId="4419" xr:uid="{00000000-0005-0000-0000-0000230C0000}"/>
    <cellStyle name="Date 5 3" xfId="4420" xr:uid="{00000000-0005-0000-0000-0000240C0000}"/>
    <cellStyle name="Date 5 4" xfId="4418" xr:uid="{00000000-0005-0000-0000-0000250C0000}"/>
    <cellStyle name="DATE 6" xfId="2113" xr:uid="{00000000-0005-0000-0000-0000260C0000}"/>
    <cellStyle name="Date 6 2" xfId="4421" xr:uid="{00000000-0005-0000-0000-0000270C0000}"/>
    <cellStyle name="DATE 7" xfId="2114" xr:uid="{00000000-0005-0000-0000-0000280C0000}"/>
    <cellStyle name="Date 7 2" xfId="4422" xr:uid="{00000000-0005-0000-0000-0000290C0000}"/>
    <cellStyle name="DATE 8" xfId="2115" xr:uid="{00000000-0005-0000-0000-00002A0C0000}"/>
    <cellStyle name="Date 8 2" xfId="4423" xr:uid="{00000000-0005-0000-0000-00002B0C0000}"/>
    <cellStyle name="DATE 9" xfId="2116" xr:uid="{00000000-0005-0000-0000-00002C0C0000}"/>
    <cellStyle name="Date 9 2" xfId="4424" xr:uid="{00000000-0005-0000-0000-00002D0C0000}"/>
    <cellStyle name="Date Aligned" xfId="2117" xr:uid="{00000000-0005-0000-0000-00002E0C0000}"/>
    <cellStyle name="date month-year" xfId="2118" xr:uid="{00000000-0005-0000-0000-00002F0C0000}"/>
    <cellStyle name="Date Short" xfId="2119" xr:uid="{00000000-0005-0000-0000-0000300C0000}"/>
    <cellStyle name="Date_0. Portfolio Consolidated" xfId="5594" xr:uid="{00000000-0005-0000-0000-0000310C0000}"/>
    <cellStyle name="Date1" xfId="2120" xr:uid="{00000000-0005-0000-0000-0000320C0000}"/>
    <cellStyle name="Dates" xfId="5497" xr:uid="{00000000-0005-0000-0000-0000330C0000}"/>
    <cellStyle name="DateYear" xfId="5595" xr:uid="{00000000-0005-0000-0000-0000340C0000}"/>
    <cellStyle name="DblLineDollarAcct" xfId="5596" xr:uid="{00000000-0005-0000-0000-0000350C0000}"/>
    <cellStyle name="DblLinePercent" xfId="5597" xr:uid="{00000000-0005-0000-0000-0000360C0000}"/>
    <cellStyle name="decimal 0" xfId="2121" xr:uid="{00000000-0005-0000-0000-0000370C0000}"/>
    <cellStyle name="decimal 1" xfId="2122" xr:uid="{00000000-0005-0000-0000-0000380C0000}"/>
    <cellStyle name="decimal 2" xfId="2123" xr:uid="{00000000-0005-0000-0000-0000390C0000}"/>
    <cellStyle name="Dev Fee" xfId="2124" xr:uid="{00000000-0005-0000-0000-00003A0C0000}"/>
    <cellStyle name="Dev Fee 2" xfId="3877" xr:uid="{00000000-0005-0000-0000-00003B0C0000}"/>
    <cellStyle name="DEV PTR" xfId="2125" xr:uid="{00000000-0005-0000-0000-00003C0C0000}"/>
    <cellStyle name="DEV PTR 2" xfId="3269" xr:uid="{00000000-0005-0000-0000-00003D0C0000}"/>
    <cellStyle name="Dex Doub Line" xfId="2126" xr:uid="{00000000-0005-0000-0000-00003E0C0000}"/>
    <cellStyle name="Dex Doub Line 2" xfId="3633" xr:uid="{00000000-0005-0000-0000-00003F0C0000}"/>
    <cellStyle name="Dex Doub Line 2 2" xfId="3940" xr:uid="{00000000-0005-0000-0000-0000400C0000}"/>
    <cellStyle name="Dex Doub Line 3" xfId="3270" xr:uid="{00000000-0005-0000-0000-0000410C0000}"/>
    <cellStyle name="Dex Doub Line 4" xfId="3149" xr:uid="{00000000-0005-0000-0000-0000420C0000}"/>
    <cellStyle name="Dezimal [0]_Compiling Utility Macros" xfId="102" xr:uid="{00000000-0005-0000-0000-0000430C0000}"/>
    <cellStyle name="Dezimal_Compiling Utility Macros" xfId="103" xr:uid="{00000000-0005-0000-0000-0000440C0000}"/>
    <cellStyle name="Dia" xfId="5600" xr:uid="{00000000-0005-0000-0000-0000450C0000}"/>
    <cellStyle name="Dollar" xfId="5602" xr:uid="{00000000-0005-0000-0000-0000460C0000}"/>
    <cellStyle name="Dollar1" xfId="2127" xr:uid="{00000000-0005-0000-0000-0000470C0000}"/>
    <cellStyle name="Dollar1Blue" xfId="2128" xr:uid="{00000000-0005-0000-0000-0000480C0000}"/>
    <cellStyle name="Dollar2" xfId="2129" xr:uid="{00000000-0005-0000-0000-0000490C0000}"/>
    <cellStyle name="DollarAccounting" xfId="5603" xr:uid="{00000000-0005-0000-0000-00004A0C0000}"/>
    <cellStyle name="Dollars/sqft" xfId="2130" xr:uid="{00000000-0005-0000-0000-00004B0C0000}"/>
    <cellStyle name="DollarWhole" xfId="5604" xr:uid="{00000000-0005-0000-0000-00004C0C0000}"/>
    <cellStyle name="dotted" xfId="2131" xr:uid="{00000000-0005-0000-0000-00004D0C0000}"/>
    <cellStyle name="dotted 2" xfId="3634" xr:uid="{00000000-0005-0000-0000-00004E0C0000}"/>
    <cellStyle name="dotted 3" xfId="3792" xr:uid="{00000000-0005-0000-0000-00004F0C0000}"/>
    <cellStyle name="dotted 4" xfId="3271" xr:uid="{00000000-0005-0000-0000-0000500C0000}"/>
    <cellStyle name="Dotted Line" xfId="2132" xr:uid="{00000000-0005-0000-0000-0000510C0000}"/>
    <cellStyle name="Double Accounting" xfId="2133" xr:uid="{00000000-0005-0000-0000-0000520C0000}"/>
    <cellStyle name="Double Accounting 2" xfId="4425" xr:uid="{00000000-0005-0000-0000-0000530C0000}"/>
    <cellStyle name="DownLoad" xfId="2134" xr:uid="{00000000-0005-0000-0000-0000540C0000}"/>
    <cellStyle name="dp*Accent" xfId="2135" xr:uid="{00000000-0005-0000-0000-0000550C0000}"/>
    <cellStyle name="dp*ChartSubTitle" xfId="2136" xr:uid="{00000000-0005-0000-0000-0000560C0000}"/>
    <cellStyle name="dp*ChartTitle" xfId="2137" xr:uid="{00000000-0005-0000-0000-0000570C0000}"/>
    <cellStyle name="dp*ColumnHeading1" xfId="2138" xr:uid="{00000000-0005-0000-0000-0000580C0000}"/>
    <cellStyle name="dp*ColumnHeading1 2" xfId="3272" xr:uid="{00000000-0005-0000-0000-0000590C0000}"/>
    <cellStyle name="dp*ColumnHeading2" xfId="2139" xr:uid="{00000000-0005-0000-0000-00005A0C0000}"/>
    <cellStyle name="dp*ColumnHeadingDate" xfId="2140" xr:uid="{00000000-0005-0000-0000-00005B0C0000}"/>
    <cellStyle name="dp*FiscalDate" xfId="2141" xr:uid="{00000000-0005-0000-0000-00005C0C0000}"/>
    <cellStyle name="dp*Footnote" xfId="2142" xr:uid="{00000000-0005-0000-0000-00005D0C0000}"/>
    <cellStyle name="dp*Information" xfId="2143" xr:uid="{00000000-0005-0000-0000-00005E0C0000}"/>
    <cellStyle name="dp*LabelItalics" xfId="2144" xr:uid="{00000000-0005-0000-0000-00005F0C0000}"/>
    <cellStyle name="dp*LabelItalicsLineAbove" xfId="2145" xr:uid="{00000000-0005-0000-0000-0000600C0000}"/>
    <cellStyle name="dp*LabelLine" xfId="2146" xr:uid="{00000000-0005-0000-0000-0000610C0000}"/>
    <cellStyle name="dp*Labels" xfId="2147" xr:uid="{00000000-0005-0000-0000-0000620C0000}"/>
    <cellStyle name="dp*Normal" xfId="2148" xr:uid="{00000000-0005-0000-0000-0000630C0000}"/>
    <cellStyle name="dp*NormalCurrency1Dec." xfId="2149" xr:uid="{00000000-0005-0000-0000-0000640C0000}"/>
    <cellStyle name="dp*NormalCurrency2Dec." xfId="2150" xr:uid="{00000000-0005-0000-0000-0000650C0000}"/>
    <cellStyle name="dp*Number%Italics" xfId="2151" xr:uid="{00000000-0005-0000-0000-0000660C0000}"/>
    <cellStyle name="dp*Number%ItalicsLineAbove" xfId="2152" xr:uid="{00000000-0005-0000-0000-0000670C0000}"/>
    <cellStyle name="dp*Number%ItalicsLineAbove 2" xfId="3635" xr:uid="{00000000-0005-0000-0000-0000680C0000}"/>
    <cellStyle name="dp*Number%ItalicsLineAbove 3" xfId="3793" xr:uid="{00000000-0005-0000-0000-0000690C0000}"/>
    <cellStyle name="dp*Number%ItalicsLineAbove 3 2" xfId="3981" xr:uid="{00000000-0005-0000-0000-00006A0C0000}"/>
    <cellStyle name="dp*NumberCurrencyLine" xfId="2153" xr:uid="{00000000-0005-0000-0000-00006B0C0000}"/>
    <cellStyle name="dp*NumberGeneral" xfId="2154" xr:uid="{00000000-0005-0000-0000-00006C0C0000}"/>
    <cellStyle name="dp*NumberGeneral2Dec." xfId="2155" xr:uid="{00000000-0005-0000-0000-00006D0C0000}"/>
    <cellStyle name="dp*NumberLine" xfId="2156" xr:uid="{00000000-0005-0000-0000-00006E0C0000}"/>
    <cellStyle name="dp*NumberLine 2" xfId="3636" xr:uid="{00000000-0005-0000-0000-00006F0C0000}"/>
    <cellStyle name="dp*NumberLine 3" xfId="3794" xr:uid="{00000000-0005-0000-0000-0000700C0000}"/>
    <cellStyle name="dp*NumberLine 4" xfId="3273" xr:uid="{00000000-0005-0000-0000-0000710C0000}"/>
    <cellStyle name="dp*NumberLineEPS" xfId="2157" xr:uid="{00000000-0005-0000-0000-0000720C0000}"/>
    <cellStyle name="dp*NumberLineEPS 2" xfId="3637" xr:uid="{00000000-0005-0000-0000-0000730C0000}"/>
    <cellStyle name="dp*NumberLineEPS 3" xfId="3795" xr:uid="{00000000-0005-0000-0000-0000740C0000}"/>
    <cellStyle name="dp*NumberLineEPS 4" xfId="3274" xr:uid="{00000000-0005-0000-0000-0000750C0000}"/>
    <cellStyle name="dp*NumberSpecial" xfId="2158" xr:uid="{00000000-0005-0000-0000-0000760C0000}"/>
    <cellStyle name="dp*RatioX" xfId="2159" xr:uid="{00000000-0005-0000-0000-0000770C0000}"/>
    <cellStyle name="dp*SeriesName" xfId="2160" xr:uid="{00000000-0005-0000-0000-0000780C0000}"/>
    <cellStyle name="dp*SheetSubTitle" xfId="2161" xr:uid="{00000000-0005-0000-0000-0000790C0000}"/>
    <cellStyle name="dp*SheetSubTitle 2" xfId="3638" xr:uid="{00000000-0005-0000-0000-00007A0C0000}"/>
    <cellStyle name="dp*SheetSubTitle 3" xfId="3796" xr:uid="{00000000-0005-0000-0000-00007B0C0000}"/>
    <cellStyle name="dp*SheetSubTitle 4" xfId="3275" xr:uid="{00000000-0005-0000-0000-00007C0C0000}"/>
    <cellStyle name="dp*SheetTitle" xfId="2162" xr:uid="{00000000-0005-0000-0000-00007D0C0000}"/>
    <cellStyle name="dp*SubTitle" xfId="2163" xr:uid="{00000000-0005-0000-0000-00007E0C0000}"/>
    <cellStyle name="dp*ThickLineAbove" xfId="2164" xr:uid="{00000000-0005-0000-0000-00007F0C0000}"/>
    <cellStyle name="dp*ThickLineBelow" xfId="2165" xr:uid="{00000000-0005-0000-0000-0000800C0000}"/>
    <cellStyle name="dp*ThinLineAbove" xfId="2166" xr:uid="{00000000-0005-0000-0000-0000810C0000}"/>
    <cellStyle name="dp*ThinLineAbove 2" xfId="3639" xr:uid="{00000000-0005-0000-0000-0000820C0000}"/>
    <cellStyle name="dp*ThinLineAbove 3" xfId="3797" xr:uid="{00000000-0005-0000-0000-0000830C0000}"/>
    <cellStyle name="dp*ThinLineAbove 3 2" xfId="3982" xr:uid="{00000000-0005-0000-0000-0000840C0000}"/>
    <cellStyle name="dp*ThinLineBelow" xfId="2167" xr:uid="{00000000-0005-0000-0000-0000850C0000}"/>
    <cellStyle name="dp*XAxisTitle" xfId="2168" xr:uid="{00000000-0005-0000-0000-0000860C0000}"/>
    <cellStyle name="dp*Y2AxisTitle" xfId="2169" xr:uid="{00000000-0005-0000-0000-0000870C0000}"/>
    <cellStyle name="dp*YAxisTitle" xfId="2170" xr:uid="{00000000-0005-0000-0000-0000880C0000}"/>
    <cellStyle name="Driver" xfId="2171" xr:uid="{00000000-0005-0000-0000-0000890C0000}"/>
    <cellStyle name="Driver 2" xfId="5457" xr:uid="{00000000-0005-0000-0000-00008A0C0000}"/>
    <cellStyle name="Driver Lable" xfId="5605" xr:uid="{00000000-0005-0000-0000-00008B0C0000}"/>
    <cellStyle name="Driver_4Q01 Tower Comps (4-3-02)" xfId="5488" xr:uid="{00000000-0005-0000-0000-00008C0C0000}"/>
    <cellStyle name="drop down" xfId="61" xr:uid="{00000000-0005-0000-0000-00008D0C0000}"/>
    <cellStyle name="DSYSPROJ" xfId="2172" xr:uid="{00000000-0005-0000-0000-00008E0C0000}"/>
    <cellStyle name="Dziesietny [0]_Arkusz1" xfId="2173" xr:uid="{00000000-0005-0000-0000-00008F0C0000}"/>
    <cellStyle name="Dziesietny_Arkusz1" xfId="2174" xr:uid="{00000000-0005-0000-0000-0000900C0000}"/>
    <cellStyle name="Encabez1" xfId="5606" xr:uid="{00000000-0005-0000-0000-0000910C0000}"/>
    <cellStyle name="Encabez2" xfId="5608" xr:uid="{00000000-0005-0000-0000-0000920C0000}"/>
    <cellStyle name="Enter Currency (0)" xfId="2175" xr:uid="{00000000-0005-0000-0000-0000930C0000}"/>
    <cellStyle name="Enter Currency (0) 2" xfId="2176" xr:uid="{00000000-0005-0000-0000-0000940C0000}"/>
    <cellStyle name="Enter Currency (2)" xfId="2177" xr:uid="{00000000-0005-0000-0000-0000950C0000}"/>
    <cellStyle name="Enter Currency (2) 2" xfId="2178" xr:uid="{00000000-0005-0000-0000-0000960C0000}"/>
    <cellStyle name="Enter Units (0)" xfId="2179" xr:uid="{00000000-0005-0000-0000-0000970C0000}"/>
    <cellStyle name="Enter Units (0) 2" xfId="2180" xr:uid="{00000000-0005-0000-0000-0000980C0000}"/>
    <cellStyle name="Enter Units (1)" xfId="2181" xr:uid="{00000000-0005-0000-0000-0000990C0000}"/>
    <cellStyle name="Enter Units (1) 2" xfId="2182" xr:uid="{00000000-0005-0000-0000-00009A0C0000}"/>
    <cellStyle name="Enter Units (2)" xfId="2183" xr:uid="{00000000-0005-0000-0000-00009B0C0000}"/>
    <cellStyle name="Enter Units (2) 2" xfId="2184" xr:uid="{00000000-0005-0000-0000-00009C0C0000}"/>
    <cellStyle name="Entered" xfId="2185" xr:uid="{00000000-0005-0000-0000-00009D0C0000}"/>
    <cellStyle name="EQUITY" xfId="2186" xr:uid="{00000000-0005-0000-0000-00009E0C0000}"/>
    <cellStyle name="Euro" xfId="62" xr:uid="{00000000-0005-0000-0000-00009F0C0000}"/>
    <cellStyle name="Euro 2" xfId="130" xr:uid="{00000000-0005-0000-0000-0000A00C0000}"/>
    <cellStyle name="Euro 2 2" xfId="5611" xr:uid="{00000000-0005-0000-0000-0000A10C0000}"/>
    <cellStyle name="Euro 3" xfId="5610" xr:uid="{00000000-0005-0000-0000-0000A20C0000}"/>
    <cellStyle name="EvenBodyShade" xfId="2187" xr:uid="{00000000-0005-0000-0000-0000A30C0000}"/>
    <cellStyle name="EXHIBITION HALL" xfId="2188" xr:uid="{00000000-0005-0000-0000-0000A40C0000}"/>
    <cellStyle name="EXHIBITION HALL 2" xfId="2189" xr:uid="{00000000-0005-0000-0000-0000A50C0000}"/>
    <cellStyle name="existing con in m" xfId="2190" xr:uid="{00000000-0005-0000-0000-0000A60C0000}"/>
    <cellStyle name="EXISTING CONF" xfId="2191" xr:uid="{00000000-0005-0000-0000-0000A70C0000}"/>
    <cellStyle name="Explanatory Text 2" xfId="2193" xr:uid="{00000000-0005-0000-0000-0000A80C0000}"/>
    <cellStyle name="Explanatory Text 3" xfId="2194" xr:uid="{00000000-0005-0000-0000-0000A90C0000}"/>
    <cellStyle name="Explanatory Text 4" xfId="2195" xr:uid="{00000000-0005-0000-0000-0000AA0C0000}"/>
    <cellStyle name="Explanatory Text 5" xfId="2196" xr:uid="{00000000-0005-0000-0000-0000AB0C0000}"/>
    <cellStyle name="Explanatory Text 6" xfId="2192" xr:uid="{00000000-0005-0000-0000-0000AC0C0000}"/>
    <cellStyle name="EY House" xfId="2197" xr:uid="{00000000-0005-0000-0000-0000AD0C0000}"/>
    <cellStyle name="F&amp;B" xfId="2198" xr:uid="{00000000-0005-0000-0000-0000AE0C0000}"/>
    <cellStyle name="F&amp;B 2" xfId="2199" xr:uid="{00000000-0005-0000-0000-0000AF0C0000}"/>
    <cellStyle name="F2" xfId="2200" xr:uid="{00000000-0005-0000-0000-0000B00C0000}"/>
    <cellStyle name="F2 2" xfId="5375" xr:uid="{00000000-0005-0000-0000-0000B10C0000}"/>
    <cellStyle name="F3" xfId="2201" xr:uid="{00000000-0005-0000-0000-0000B20C0000}"/>
    <cellStyle name="F3 2" xfId="5377" xr:uid="{00000000-0005-0000-0000-0000B30C0000}"/>
    <cellStyle name="F4" xfId="2202" xr:uid="{00000000-0005-0000-0000-0000B40C0000}"/>
    <cellStyle name="F4 2" xfId="5599" xr:uid="{00000000-0005-0000-0000-0000B50C0000}"/>
    <cellStyle name="F5" xfId="2203" xr:uid="{00000000-0005-0000-0000-0000B60C0000}"/>
    <cellStyle name="F5 2" xfId="5400" xr:uid="{00000000-0005-0000-0000-0000B70C0000}"/>
    <cellStyle name="F6" xfId="2204" xr:uid="{00000000-0005-0000-0000-0000B80C0000}"/>
    <cellStyle name="F6 2" xfId="5612" xr:uid="{00000000-0005-0000-0000-0000B90C0000}"/>
    <cellStyle name="F7" xfId="2205" xr:uid="{00000000-0005-0000-0000-0000BA0C0000}"/>
    <cellStyle name="F7 2" xfId="5454" xr:uid="{00000000-0005-0000-0000-0000BB0C0000}"/>
    <cellStyle name="F8" xfId="2206" xr:uid="{00000000-0005-0000-0000-0000BC0C0000}"/>
    <cellStyle name="F8 2" xfId="5613" xr:uid="{00000000-0005-0000-0000-0000BD0C0000}"/>
    <cellStyle name="Fijo" xfId="5614" xr:uid="{00000000-0005-0000-0000-0000BE0C0000}"/>
    <cellStyle name="FIN PTR" xfId="2207" xr:uid="{00000000-0005-0000-0000-0000BF0C0000}"/>
    <cellStyle name="Financiero" xfId="5477" xr:uid="{00000000-0005-0000-0000-0000C00C0000}"/>
    <cellStyle name="Fixed" xfId="63" xr:uid="{00000000-0005-0000-0000-0000C10C0000}"/>
    <cellStyle name="Fixed 10" xfId="4426" xr:uid="{00000000-0005-0000-0000-0000C20C0000}"/>
    <cellStyle name="Fixed 11" xfId="5615" xr:uid="{00000000-0005-0000-0000-0000C30C0000}"/>
    <cellStyle name="Fixed 2" xfId="3016" xr:uid="{00000000-0005-0000-0000-0000C40C0000}"/>
    <cellStyle name="Fixed 2 2" xfId="4427" xr:uid="{00000000-0005-0000-0000-0000C50C0000}"/>
    <cellStyle name="Fixed 2 3" xfId="5598" xr:uid="{00000000-0005-0000-0000-0000C60C0000}"/>
    <cellStyle name="Fixed 3" xfId="2208" xr:uid="{00000000-0005-0000-0000-0000C70C0000}"/>
    <cellStyle name="Fixed 3 2" xfId="4428" xr:uid="{00000000-0005-0000-0000-0000C80C0000}"/>
    <cellStyle name="Fixed 4" xfId="4429" xr:uid="{00000000-0005-0000-0000-0000C90C0000}"/>
    <cellStyle name="Fixed 5" xfId="4430" xr:uid="{00000000-0005-0000-0000-0000CA0C0000}"/>
    <cellStyle name="Fixed 6" xfId="4431" xr:uid="{00000000-0005-0000-0000-0000CB0C0000}"/>
    <cellStyle name="Fixed 7" xfId="4432" xr:uid="{00000000-0005-0000-0000-0000CC0C0000}"/>
    <cellStyle name="Fixed 8" xfId="4433" xr:uid="{00000000-0005-0000-0000-0000CD0C0000}"/>
    <cellStyle name="Fixed 9" xfId="4434" xr:uid="{00000000-0005-0000-0000-0000CE0C0000}"/>
    <cellStyle name="Fixed3 - Style3" xfId="5584" xr:uid="{00000000-0005-0000-0000-0000CF0C0000}"/>
    <cellStyle name="Fixed4 - Style4" xfId="2209" xr:uid="{00000000-0005-0000-0000-0000D00C0000}"/>
    <cellStyle name="Footnote" xfId="2210" xr:uid="{00000000-0005-0000-0000-0000D10C0000}"/>
    <cellStyle name="Footnote 2" xfId="5607" xr:uid="{00000000-0005-0000-0000-0000D20C0000}"/>
    <cellStyle name="Footnote 3" xfId="5799" xr:uid="{00000000-0005-0000-0000-0000D30C0000}"/>
    <cellStyle name="FORMULA" xfId="2211" xr:uid="{00000000-0005-0000-0000-0000D40C0000}"/>
    <cellStyle name="FORMULA 2" xfId="5591" xr:uid="{00000000-0005-0000-0000-0000D50C0000}"/>
    <cellStyle name="funky" xfId="64" xr:uid="{00000000-0005-0000-0000-0000D60C0000}"/>
    <cellStyle name="funky 2" xfId="5450" xr:uid="{00000000-0005-0000-0000-0000D70C0000}"/>
    <cellStyle name="General" xfId="5616" xr:uid="{00000000-0005-0000-0000-0000D80C0000}"/>
    <cellStyle name="GerBOM1" xfId="2212" xr:uid="{00000000-0005-0000-0000-0000D90C0000}"/>
    <cellStyle name="Good 2" xfId="2214" xr:uid="{00000000-0005-0000-0000-0000DA0C0000}"/>
    <cellStyle name="Good 3" xfId="2215" xr:uid="{00000000-0005-0000-0000-0000DB0C0000}"/>
    <cellStyle name="Good 4" xfId="2216" xr:uid="{00000000-0005-0000-0000-0000DC0C0000}"/>
    <cellStyle name="Good 5" xfId="2217" xr:uid="{00000000-0005-0000-0000-0000DD0C0000}"/>
    <cellStyle name="Good 6" xfId="2213" xr:uid="{00000000-0005-0000-0000-0000DE0C0000}"/>
    <cellStyle name="GP" xfId="2218" xr:uid="{00000000-0005-0000-0000-0000DF0C0000}"/>
    <cellStyle name="Grey" xfId="65" xr:uid="{00000000-0005-0000-0000-0000E00C0000}"/>
    <cellStyle name="Grey 2" xfId="5618" xr:uid="{00000000-0005-0000-0000-0000E10C0000}"/>
    <cellStyle name="Grey 3" xfId="5463" xr:uid="{00000000-0005-0000-0000-0000E20C0000}"/>
    <cellStyle name="GrowthRate" xfId="5491" xr:uid="{00000000-0005-0000-0000-0000E30C0000}"/>
    <cellStyle name="Hard Percent" xfId="2219" xr:uid="{00000000-0005-0000-0000-0000E40C0000}"/>
    <cellStyle name="Head 1" xfId="2220" xr:uid="{00000000-0005-0000-0000-0000E50C0000}"/>
    <cellStyle name="head1" xfId="2221" xr:uid="{00000000-0005-0000-0000-0000E60C0000}"/>
    <cellStyle name="head1 2" xfId="5338" xr:uid="{00000000-0005-0000-0000-0000E70C0000}"/>
    <cellStyle name="head2" xfId="2222" xr:uid="{00000000-0005-0000-0000-0000E80C0000}"/>
    <cellStyle name="head2 2" xfId="5619" xr:uid="{00000000-0005-0000-0000-0000E90C0000}"/>
    <cellStyle name="Header" xfId="66" xr:uid="{00000000-0005-0000-0000-0000EA0C0000}"/>
    <cellStyle name="Header 1" xfId="67" xr:uid="{00000000-0005-0000-0000-0000EB0C0000}"/>
    <cellStyle name="Header 1 2" xfId="3613" xr:uid="{00000000-0005-0000-0000-0000EC0C0000}"/>
    <cellStyle name="Header 1 3" xfId="3109" xr:uid="{00000000-0005-0000-0000-0000ED0C0000}"/>
    <cellStyle name="Header 1 4" xfId="3314" xr:uid="{00000000-0005-0000-0000-0000EE0C0000}"/>
    <cellStyle name="Header 2" xfId="68" xr:uid="{00000000-0005-0000-0000-0000EF0C0000}"/>
    <cellStyle name="Header 3" xfId="3017" xr:uid="{00000000-0005-0000-0000-0000F00C0000}"/>
    <cellStyle name="header 4" xfId="2223" xr:uid="{00000000-0005-0000-0000-0000F10C0000}"/>
    <cellStyle name="header 4 2" xfId="3878" xr:uid="{00000000-0005-0000-0000-0000F20C0000}"/>
    <cellStyle name="HEADER 5" xfId="4435" xr:uid="{00000000-0005-0000-0000-0000F30C0000}"/>
    <cellStyle name="Header Total" xfId="2224" xr:uid="{00000000-0005-0000-0000-0000F40C0000}"/>
    <cellStyle name="header_88 Richardson 80-20 1-31-12 Invest Memo" xfId="2225" xr:uid="{00000000-0005-0000-0000-0000F50C0000}"/>
    <cellStyle name="Header1" xfId="69" xr:uid="{00000000-0005-0000-0000-0000F60C0000}"/>
    <cellStyle name="Header1 2" xfId="3018" xr:uid="{00000000-0005-0000-0000-0000F70C0000}"/>
    <cellStyle name="Header1 2 2" xfId="5622" xr:uid="{00000000-0005-0000-0000-0000F80C0000}"/>
    <cellStyle name="Header1 3" xfId="2226" xr:uid="{00000000-0005-0000-0000-0000F90C0000}"/>
    <cellStyle name="Header1 3 2" xfId="3766" xr:uid="{00000000-0005-0000-0000-0000FA0C0000}"/>
    <cellStyle name="Header1 3 3" xfId="3276" xr:uid="{00000000-0005-0000-0000-0000FB0C0000}"/>
    <cellStyle name="Header1 3 4" xfId="3148" xr:uid="{00000000-0005-0000-0000-0000FC0C0000}"/>
    <cellStyle name="Header1 3 5" xfId="5404" xr:uid="{00000000-0005-0000-0000-0000FD0C0000}"/>
    <cellStyle name="Header1 4" xfId="5621" xr:uid="{00000000-0005-0000-0000-0000FE0C0000}"/>
    <cellStyle name="Header2" xfId="70" xr:uid="{00000000-0005-0000-0000-0000FF0C0000}"/>
    <cellStyle name="Header2 2" xfId="3019" xr:uid="{00000000-0005-0000-0000-0000000D0000}"/>
    <cellStyle name="Header2 2 2" xfId="3722" xr:uid="{00000000-0005-0000-0000-0000010D0000}"/>
    <cellStyle name="Header2 2 2 2" xfId="3970" xr:uid="{00000000-0005-0000-0000-0000020D0000}"/>
    <cellStyle name="Header2 2 3" xfId="5624" xr:uid="{00000000-0005-0000-0000-0000030D0000}"/>
    <cellStyle name="Header2 3" xfId="2227" xr:uid="{00000000-0005-0000-0000-0000040D0000}"/>
    <cellStyle name="Header2 3 2" xfId="5625" xr:uid="{00000000-0005-0000-0000-0000050D0000}"/>
    <cellStyle name="Header2 4" xfId="3067" xr:uid="{00000000-0005-0000-0000-0000060D0000}"/>
    <cellStyle name="Header2 4 2" xfId="3739" xr:uid="{00000000-0005-0000-0000-0000070D0000}"/>
    <cellStyle name="Header2 4 2 2" xfId="3974" xr:uid="{00000000-0005-0000-0000-0000080D0000}"/>
    <cellStyle name="Header2 4 3" xfId="3328" xr:uid="{00000000-0005-0000-0000-0000090D0000}"/>
    <cellStyle name="Header2 5" xfId="3097" xr:uid="{00000000-0005-0000-0000-00000A0D0000}"/>
    <cellStyle name="Header2 5 2" xfId="3756" xr:uid="{00000000-0005-0000-0000-00000B0D0000}"/>
    <cellStyle name="Header2 5 2 2" xfId="3977" xr:uid="{00000000-0005-0000-0000-00000C0D0000}"/>
    <cellStyle name="Header2 5 3" xfId="3346" xr:uid="{00000000-0005-0000-0000-00000D0D0000}"/>
    <cellStyle name="Header2 6" xfId="3569" xr:uid="{00000000-0005-0000-0000-00000E0D0000}"/>
    <cellStyle name="Header2 6 2" xfId="3930" xr:uid="{00000000-0005-0000-0000-00000F0D0000}"/>
    <cellStyle name="Header2 7" xfId="216" xr:uid="{00000000-0005-0000-0000-0000100D0000}"/>
    <cellStyle name="Header2 8" xfId="5623" xr:uid="{00000000-0005-0000-0000-0000110D0000}"/>
    <cellStyle name="Header3" xfId="2228" xr:uid="{00000000-0005-0000-0000-0000120D0000}"/>
    <cellStyle name="Header3 2" xfId="3767" xr:uid="{00000000-0005-0000-0000-0000130D0000}"/>
    <cellStyle name="Header3 3" xfId="3277" xr:uid="{00000000-0005-0000-0000-0000140D0000}"/>
    <cellStyle name="Header3 4" xfId="3147" xr:uid="{00000000-0005-0000-0000-0000150D0000}"/>
    <cellStyle name="Header4" xfId="2229" xr:uid="{00000000-0005-0000-0000-0000160D0000}"/>
    <cellStyle name="Heading" xfId="2230" xr:uid="{00000000-0005-0000-0000-0000170D0000}"/>
    <cellStyle name="Heading 1 2" xfId="2232" xr:uid="{00000000-0005-0000-0000-0000180D0000}"/>
    <cellStyle name="Heading 1 2 2" xfId="3427" xr:uid="{00000000-0005-0000-0000-0000190D0000}"/>
    <cellStyle name="Heading 1 2 3" xfId="3640" xr:uid="{00000000-0005-0000-0000-00001A0D0000}"/>
    <cellStyle name="Heading 1 2 4" xfId="3426" xr:uid="{00000000-0005-0000-0000-00001B0D0000}"/>
    <cellStyle name="Heading 1 3" xfId="2233" xr:uid="{00000000-0005-0000-0000-00001C0D0000}"/>
    <cellStyle name="Heading 1 3 2" xfId="5032" xr:uid="{00000000-0005-0000-0000-00001D0D0000}"/>
    <cellStyle name="Heading 1 4" xfId="2234" xr:uid="{00000000-0005-0000-0000-00001E0D0000}"/>
    <cellStyle name="Heading 1 5" xfId="2235" xr:uid="{00000000-0005-0000-0000-00001F0D0000}"/>
    <cellStyle name="Heading 1 6" xfId="2231" xr:uid="{00000000-0005-0000-0000-0000200D0000}"/>
    <cellStyle name="Heading 2 2" xfId="2237" xr:uid="{00000000-0005-0000-0000-0000210D0000}"/>
    <cellStyle name="Heading 2 2 2" xfId="3429" xr:uid="{00000000-0005-0000-0000-0000220D0000}"/>
    <cellStyle name="Heading 2 2 3" xfId="3641" xr:uid="{00000000-0005-0000-0000-0000230D0000}"/>
    <cellStyle name="Heading 2 2 4" xfId="3428" xr:uid="{00000000-0005-0000-0000-0000240D0000}"/>
    <cellStyle name="Heading 2 3" xfId="2238" xr:uid="{00000000-0005-0000-0000-0000250D0000}"/>
    <cellStyle name="Heading 2 3 2" xfId="5033" xr:uid="{00000000-0005-0000-0000-0000260D0000}"/>
    <cellStyle name="Heading 2 4" xfId="2239" xr:uid="{00000000-0005-0000-0000-0000270D0000}"/>
    <cellStyle name="Heading 2 5" xfId="2240" xr:uid="{00000000-0005-0000-0000-0000280D0000}"/>
    <cellStyle name="Heading 2 6" xfId="2236" xr:uid="{00000000-0005-0000-0000-0000290D0000}"/>
    <cellStyle name="Heading 3 2" xfId="2242" xr:uid="{00000000-0005-0000-0000-00002A0D0000}"/>
    <cellStyle name="Heading 3 2 2" xfId="3431" xr:uid="{00000000-0005-0000-0000-00002B0D0000}"/>
    <cellStyle name="Heading 3 2 2 2" xfId="3925" xr:uid="{00000000-0005-0000-0000-00002C0D0000}"/>
    <cellStyle name="Heading 3 2 3" xfId="3430" xr:uid="{00000000-0005-0000-0000-00002D0D0000}"/>
    <cellStyle name="Heading 3 2 3 2" xfId="3924" xr:uid="{00000000-0005-0000-0000-00002E0D0000}"/>
    <cellStyle name="Heading 3 2 4" xfId="3279" xr:uid="{00000000-0005-0000-0000-00002F0D0000}"/>
    <cellStyle name="Heading 3 3" xfId="2243" xr:uid="{00000000-0005-0000-0000-0000300D0000}"/>
    <cellStyle name="Heading 3 3 2" xfId="3280" xr:uid="{00000000-0005-0000-0000-0000310D0000}"/>
    <cellStyle name="Heading 3 4" xfId="2244" xr:uid="{00000000-0005-0000-0000-0000320D0000}"/>
    <cellStyle name="Heading 3 4 2" xfId="3281" xr:uid="{00000000-0005-0000-0000-0000330D0000}"/>
    <cellStyle name="Heading 3 5" xfId="2245" xr:uid="{00000000-0005-0000-0000-0000340D0000}"/>
    <cellStyle name="Heading 3 5 2" xfId="3282" xr:uid="{00000000-0005-0000-0000-0000350D0000}"/>
    <cellStyle name="Heading 3 6" xfId="2241" xr:uid="{00000000-0005-0000-0000-0000360D0000}"/>
    <cellStyle name="Heading 3 6 2" xfId="3278" xr:uid="{00000000-0005-0000-0000-0000370D0000}"/>
    <cellStyle name="Heading 4 2" xfId="2247" xr:uid="{00000000-0005-0000-0000-0000380D0000}"/>
    <cellStyle name="Heading 4 2 2" xfId="3433" xr:uid="{00000000-0005-0000-0000-0000390D0000}"/>
    <cellStyle name="Heading 4 2 3" xfId="3432" xr:uid="{00000000-0005-0000-0000-00003A0D0000}"/>
    <cellStyle name="Heading 4 3" xfId="2248" xr:uid="{00000000-0005-0000-0000-00003B0D0000}"/>
    <cellStyle name="Heading 4 4" xfId="2249" xr:uid="{00000000-0005-0000-0000-00003C0D0000}"/>
    <cellStyle name="Heading 4 5" xfId="2250" xr:uid="{00000000-0005-0000-0000-00003D0D0000}"/>
    <cellStyle name="Heading 4 6" xfId="2246" xr:uid="{00000000-0005-0000-0000-00003E0D0000}"/>
    <cellStyle name="Heading 5" xfId="5324" xr:uid="{00000000-0005-0000-0000-00003F0D0000}"/>
    <cellStyle name="Heading Left" xfId="2251" xr:uid="{00000000-0005-0000-0000-0000400D0000}"/>
    <cellStyle name="Heading Right" xfId="2252" xr:uid="{00000000-0005-0000-0000-0000410D0000}"/>
    <cellStyle name="Heading1" xfId="71" xr:uid="{00000000-0005-0000-0000-0000420D0000}"/>
    <cellStyle name="Heading1 2" xfId="3612" xr:uid="{00000000-0005-0000-0000-0000430D0000}"/>
    <cellStyle name="Heading1 3" xfId="3570" xr:uid="{00000000-0005-0000-0000-0000440D0000}"/>
    <cellStyle name="Heading1 4" xfId="3110" xr:uid="{00000000-0005-0000-0000-0000450D0000}"/>
    <cellStyle name="Heading1 5" xfId="4436" xr:uid="{00000000-0005-0000-0000-0000460D0000}"/>
    <cellStyle name="Heading2" xfId="72" xr:uid="{00000000-0005-0000-0000-0000470D0000}"/>
    <cellStyle name="Heading2 2" xfId="4437" xr:uid="{00000000-0005-0000-0000-0000480D0000}"/>
    <cellStyle name="Heading3" xfId="73" xr:uid="{00000000-0005-0000-0000-0000490D0000}"/>
    <cellStyle name="HeadingBorderBot" xfId="5464" xr:uid="{00000000-0005-0000-0000-00004A0D0000}"/>
    <cellStyle name="HeadingBorderBot 2" xfId="5533" xr:uid="{00000000-0005-0000-0000-00004B0D0000}"/>
    <cellStyle name="HeadingBorderTop" xfId="5626" xr:uid="{00000000-0005-0000-0000-00004C0D0000}"/>
    <cellStyle name="HeadingS" xfId="2253" xr:uid="{00000000-0005-0000-0000-00004D0D0000}"/>
    <cellStyle name="HEADINGSTOP" xfId="2254" xr:uid="{00000000-0005-0000-0000-00004E0D0000}"/>
    <cellStyle name="Headline" xfId="2255" xr:uid="{00000000-0005-0000-0000-00004F0D0000}"/>
    <cellStyle name="Headline 2" xfId="2256" xr:uid="{00000000-0005-0000-0000-0000500D0000}"/>
    <cellStyle name="Headline 2 2" xfId="2257" xr:uid="{00000000-0005-0000-0000-0000510D0000}"/>
    <cellStyle name="Headline 2 2 2" xfId="3644" xr:uid="{00000000-0005-0000-0000-0000520D0000}"/>
    <cellStyle name="Headline 2 2 2 2" xfId="3943" xr:uid="{00000000-0005-0000-0000-0000530D0000}"/>
    <cellStyle name="Headline 2 3" xfId="3643" xr:uid="{00000000-0005-0000-0000-0000540D0000}"/>
    <cellStyle name="Headline 2 3 2" xfId="3942" xr:uid="{00000000-0005-0000-0000-0000550D0000}"/>
    <cellStyle name="Headline 3" xfId="2258" xr:uid="{00000000-0005-0000-0000-0000560D0000}"/>
    <cellStyle name="Headline 3 2" xfId="2259" xr:uid="{00000000-0005-0000-0000-0000570D0000}"/>
    <cellStyle name="Headline 3 2 2" xfId="3646" xr:uid="{00000000-0005-0000-0000-0000580D0000}"/>
    <cellStyle name="Headline 3 2 2 2" xfId="3945" xr:uid="{00000000-0005-0000-0000-0000590D0000}"/>
    <cellStyle name="Headline 3 3" xfId="3645" xr:uid="{00000000-0005-0000-0000-00005A0D0000}"/>
    <cellStyle name="Headline 3 3 2" xfId="3944" xr:uid="{00000000-0005-0000-0000-00005B0D0000}"/>
    <cellStyle name="Headline 4" xfId="3642" xr:uid="{00000000-0005-0000-0000-00005C0D0000}"/>
    <cellStyle name="Headline 4 2" xfId="3941" xr:uid="{00000000-0005-0000-0000-00005D0D0000}"/>
    <cellStyle name="HeadShade" xfId="2260" xr:uid="{00000000-0005-0000-0000-00005E0D0000}"/>
    <cellStyle name="helv narrow 8" xfId="2261" xr:uid="{00000000-0005-0000-0000-00005F0D0000}"/>
    <cellStyle name="HIDE" xfId="2262" xr:uid="{00000000-0005-0000-0000-0000600D0000}"/>
    <cellStyle name="HIDE 2" xfId="5627" xr:uid="{00000000-0005-0000-0000-0000610D0000}"/>
    <cellStyle name="HIGHLIGHT" xfId="4438" xr:uid="{00000000-0005-0000-0000-0000620D0000}"/>
    <cellStyle name="HUD" xfId="4439" xr:uid="{00000000-0005-0000-0000-0000630D0000}"/>
    <cellStyle name="HUD 2" xfId="4440" xr:uid="{00000000-0005-0000-0000-0000640D0000}"/>
    <cellStyle name="HUD Forms" xfId="4441" xr:uid="{00000000-0005-0000-0000-0000650D0000}"/>
    <cellStyle name="Hyperlink 2" xfId="100" xr:uid="{00000000-0005-0000-0000-0000660D0000}"/>
    <cellStyle name="Hyperlink 2 2" xfId="2264" xr:uid="{00000000-0005-0000-0000-0000670D0000}"/>
    <cellStyle name="Hyperlink 2 2 2" xfId="4442" xr:uid="{00000000-0005-0000-0000-0000680D0000}"/>
    <cellStyle name="Hyperlink 2 3" xfId="3032" xr:uid="{00000000-0005-0000-0000-0000690D0000}"/>
    <cellStyle name="Hyperlink 2 4" xfId="2263" xr:uid="{00000000-0005-0000-0000-00006A0D0000}"/>
    <cellStyle name="Hyperlink 3" xfId="4443" xr:uid="{00000000-0005-0000-0000-00006B0D0000}"/>
    <cellStyle name="in2" xfId="4444" xr:uid="{00000000-0005-0000-0000-00006C0D0000}"/>
    <cellStyle name="in2 10" xfId="4445" xr:uid="{00000000-0005-0000-0000-00006D0D0000}"/>
    <cellStyle name="in2 11" xfId="4446" xr:uid="{00000000-0005-0000-0000-00006E0D0000}"/>
    <cellStyle name="in2 12" xfId="4447" xr:uid="{00000000-0005-0000-0000-00006F0D0000}"/>
    <cellStyle name="in2 13" xfId="4448" xr:uid="{00000000-0005-0000-0000-0000700D0000}"/>
    <cellStyle name="in2 14" xfId="4449" xr:uid="{00000000-0005-0000-0000-0000710D0000}"/>
    <cellStyle name="in2 15" xfId="4450" xr:uid="{00000000-0005-0000-0000-0000720D0000}"/>
    <cellStyle name="in2 16" xfId="4451" xr:uid="{00000000-0005-0000-0000-0000730D0000}"/>
    <cellStyle name="in2 17" xfId="4452" xr:uid="{00000000-0005-0000-0000-0000740D0000}"/>
    <cellStyle name="in2 18" xfId="4453" xr:uid="{00000000-0005-0000-0000-0000750D0000}"/>
    <cellStyle name="in2 19" xfId="4454" xr:uid="{00000000-0005-0000-0000-0000760D0000}"/>
    <cellStyle name="in2 2" xfId="4455" xr:uid="{00000000-0005-0000-0000-0000770D0000}"/>
    <cellStyle name="in2 2 2" xfId="4456" xr:uid="{00000000-0005-0000-0000-0000780D0000}"/>
    <cellStyle name="in2 20" xfId="4457" xr:uid="{00000000-0005-0000-0000-0000790D0000}"/>
    <cellStyle name="in2 21" xfId="4458" xr:uid="{00000000-0005-0000-0000-00007A0D0000}"/>
    <cellStyle name="in2 22" xfId="4459" xr:uid="{00000000-0005-0000-0000-00007B0D0000}"/>
    <cellStyle name="in2 23" xfId="4460" xr:uid="{00000000-0005-0000-0000-00007C0D0000}"/>
    <cellStyle name="in2 24" xfId="4461" xr:uid="{00000000-0005-0000-0000-00007D0D0000}"/>
    <cellStyle name="in2 25" xfId="4462" xr:uid="{00000000-0005-0000-0000-00007E0D0000}"/>
    <cellStyle name="in2 26" xfId="4463" xr:uid="{00000000-0005-0000-0000-00007F0D0000}"/>
    <cellStyle name="in2 27" xfId="4464" xr:uid="{00000000-0005-0000-0000-0000800D0000}"/>
    <cellStyle name="in2 28" xfId="4465" xr:uid="{00000000-0005-0000-0000-0000810D0000}"/>
    <cellStyle name="in2 29" xfId="4466" xr:uid="{00000000-0005-0000-0000-0000820D0000}"/>
    <cellStyle name="in2 3" xfId="4467" xr:uid="{00000000-0005-0000-0000-0000830D0000}"/>
    <cellStyle name="in2 4" xfId="4468" xr:uid="{00000000-0005-0000-0000-0000840D0000}"/>
    <cellStyle name="in2 5" xfId="4469" xr:uid="{00000000-0005-0000-0000-0000850D0000}"/>
    <cellStyle name="in2 6" xfId="4470" xr:uid="{00000000-0005-0000-0000-0000860D0000}"/>
    <cellStyle name="in2 7" xfId="4471" xr:uid="{00000000-0005-0000-0000-0000870D0000}"/>
    <cellStyle name="in2 8" xfId="4472" xr:uid="{00000000-0005-0000-0000-0000880D0000}"/>
    <cellStyle name="in2 9" xfId="4473" xr:uid="{00000000-0005-0000-0000-0000890D0000}"/>
    <cellStyle name="in2_NOI" xfId="5849" xr:uid="{00000000-0005-0000-0000-00008A0D0000}"/>
    <cellStyle name="IncomeStatement" xfId="5325" xr:uid="{00000000-0005-0000-0000-00008B0D0000}"/>
    <cellStyle name="Input [yellow]" xfId="2266" xr:uid="{00000000-0005-0000-0000-00008C0D0000}"/>
    <cellStyle name="Input [yellow] 2" xfId="3283" xr:uid="{00000000-0005-0000-0000-00008D0D0000}"/>
    <cellStyle name="Input [yellow] 2 2" xfId="5580" xr:uid="{00000000-0005-0000-0000-00008E0D0000}"/>
    <cellStyle name="Input [yellow] 2 3" xfId="5796" xr:uid="{00000000-0005-0000-0000-00008F0D0000}"/>
    <cellStyle name="Input [yellow] 3" xfId="3146" xr:uid="{00000000-0005-0000-0000-0000900D0000}"/>
    <cellStyle name="Input [yellow] 3 2" xfId="5586" xr:uid="{00000000-0005-0000-0000-0000910D0000}"/>
    <cellStyle name="Input [yellow] 3 3" xfId="5797" xr:uid="{00000000-0005-0000-0000-0000920D0000}"/>
    <cellStyle name="Input [yellow] 4" xfId="5425" xr:uid="{00000000-0005-0000-0000-0000930D0000}"/>
    <cellStyle name="Input [yellow] 5" xfId="5493" xr:uid="{00000000-0005-0000-0000-0000940D0000}"/>
    <cellStyle name="Input 10" xfId="2960" xr:uid="{00000000-0005-0000-0000-0000950D0000}"/>
    <cellStyle name="Input 10 2" xfId="3712" xr:uid="{00000000-0005-0000-0000-0000960D0000}"/>
    <cellStyle name="Input 10 2 2" xfId="3966" xr:uid="{00000000-0005-0000-0000-0000970D0000}"/>
    <cellStyle name="Input 10 3" xfId="4474" xr:uid="{00000000-0005-0000-0000-0000980D0000}"/>
    <cellStyle name="Input 11" xfId="3365" xr:uid="{00000000-0005-0000-0000-0000990D0000}"/>
    <cellStyle name="Input 11 2" xfId="3921" xr:uid="{00000000-0005-0000-0000-00009A0D0000}"/>
    <cellStyle name="Input 11 3" xfId="4475" xr:uid="{00000000-0005-0000-0000-00009B0D0000}"/>
    <cellStyle name="Input 12" xfId="3707" xr:uid="{00000000-0005-0000-0000-00009C0D0000}"/>
    <cellStyle name="Input 12 2" xfId="4476" xr:uid="{00000000-0005-0000-0000-00009D0D0000}"/>
    <cellStyle name="Input 13" xfId="3773" xr:uid="{00000000-0005-0000-0000-00009E0D0000}"/>
    <cellStyle name="Input 13 2" xfId="4477" xr:uid="{00000000-0005-0000-0000-00009F0D0000}"/>
    <cellStyle name="Input 14" xfId="3654" xr:uid="{00000000-0005-0000-0000-0000A00D0000}"/>
    <cellStyle name="Input 14 2" xfId="4478" xr:uid="{00000000-0005-0000-0000-0000A10D0000}"/>
    <cellStyle name="Input 15" xfId="3832" xr:uid="{00000000-0005-0000-0000-0000A20D0000}"/>
    <cellStyle name="Input 15 2" xfId="3988" xr:uid="{00000000-0005-0000-0000-0000A30D0000}"/>
    <cellStyle name="Input 15 3" xfId="4479" xr:uid="{00000000-0005-0000-0000-0000A40D0000}"/>
    <cellStyle name="Input 16" xfId="3885" xr:uid="{00000000-0005-0000-0000-0000A50D0000}"/>
    <cellStyle name="Input 16 2" xfId="3990" xr:uid="{00000000-0005-0000-0000-0000A60D0000}"/>
    <cellStyle name="Input 16 3" xfId="4480" xr:uid="{00000000-0005-0000-0000-0000A70D0000}"/>
    <cellStyle name="Input 17" xfId="3874" xr:uid="{00000000-0005-0000-0000-0000A80D0000}"/>
    <cellStyle name="Input 17 2" xfId="3989" xr:uid="{00000000-0005-0000-0000-0000A90D0000}"/>
    <cellStyle name="Input 17 3" xfId="4481" xr:uid="{00000000-0005-0000-0000-0000AA0D0000}"/>
    <cellStyle name="Input 18" xfId="4482" xr:uid="{00000000-0005-0000-0000-0000AB0D0000}"/>
    <cellStyle name="Input 2" xfId="2267" xr:uid="{00000000-0005-0000-0000-0000AC0D0000}"/>
    <cellStyle name="Input 2 2" xfId="3434" xr:uid="{00000000-0005-0000-0000-0000AD0D0000}"/>
    <cellStyle name="Input 2 2 2" xfId="3926" xr:uid="{00000000-0005-0000-0000-0000AE0D0000}"/>
    <cellStyle name="Input 2 2 2 2" xfId="5119" xr:uid="{00000000-0005-0000-0000-0000AF0D0000}"/>
    <cellStyle name="Input 2 2 2 3" xfId="5203" xr:uid="{00000000-0005-0000-0000-0000B00D0000}"/>
    <cellStyle name="Input 2 2 3" xfId="5160" xr:uid="{00000000-0005-0000-0000-0000B10D0000}"/>
    <cellStyle name="Input 2 3" xfId="4483" xr:uid="{00000000-0005-0000-0000-0000B20D0000}"/>
    <cellStyle name="Input 2 3 2" xfId="5120" xr:uid="{00000000-0005-0000-0000-0000B30D0000}"/>
    <cellStyle name="Input 2 3 2 2" xfId="5204" xr:uid="{00000000-0005-0000-0000-0000B40D0000}"/>
    <cellStyle name="Input 2 3 3" xfId="5063" xr:uid="{00000000-0005-0000-0000-0000B50D0000}"/>
    <cellStyle name="Input 2 3 4" xfId="5161" xr:uid="{00000000-0005-0000-0000-0000B60D0000}"/>
    <cellStyle name="Input 2 4" xfId="5111" xr:uid="{00000000-0005-0000-0000-0000B70D0000}"/>
    <cellStyle name="Input 2 4 2" xfId="5195" xr:uid="{00000000-0005-0000-0000-0000B80D0000}"/>
    <cellStyle name="Input 2 5" xfId="5024" xr:uid="{00000000-0005-0000-0000-0000B90D0000}"/>
    <cellStyle name="Input 2 6" xfId="5330" xr:uid="{00000000-0005-0000-0000-0000BA0D0000}"/>
    <cellStyle name="Input 3" xfId="2268" xr:uid="{00000000-0005-0000-0000-0000BB0D0000}"/>
    <cellStyle name="Input 3 2" xfId="3648" xr:uid="{00000000-0005-0000-0000-0000BC0D0000}"/>
    <cellStyle name="Input 3 2 2" xfId="3947" xr:uid="{00000000-0005-0000-0000-0000BD0D0000}"/>
    <cellStyle name="Input 3 2 3" xfId="5134" xr:uid="{00000000-0005-0000-0000-0000BE0D0000}"/>
    <cellStyle name="Input 3 2 4" xfId="5218" xr:uid="{00000000-0005-0000-0000-0000BF0D0000}"/>
    <cellStyle name="Input 3 3" xfId="4484" xr:uid="{00000000-0005-0000-0000-0000C00D0000}"/>
    <cellStyle name="Input 3 4" xfId="5175" xr:uid="{00000000-0005-0000-0000-0000C10D0000}"/>
    <cellStyle name="Input 3 5" xfId="5372" xr:uid="{00000000-0005-0000-0000-0000C20D0000}"/>
    <cellStyle name="Input 4" xfId="2269" xr:uid="{00000000-0005-0000-0000-0000C30D0000}"/>
    <cellStyle name="Input 4 2" xfId="3649" xr:uid="{00000000-0005-0000-0000-0000C40D0000}"/>
    <cellStyle name="Input 4 2 2" xfId="3948" xr:uid="{00000000-0005-0000-0000-0000C50D0000}"/>
    <cellStyle name="Input 4 2 3" xfId="5136" xr:uid="{00000000-0005-0000-0000-0000C60D0000}"/>
    <cellStyle name="Input 4 2 4" xfId="5220" xr:uid="{00000000-0005-0000-0000-0000C70D0000}"/>
    <cellStyle name="Input 4 3" xfId="4485" xr:uid="{00000000-0005-0000-0000-0000C80D0000}"/>
    <cellStyle name="Input 4 4" xfId="5084" xr:uid="{00000000-0005-0000-0000-0000C90D0000}"/>
    <cellStyle name="Input 4 5" xfId="5177" xr:uid="{00000000-0005-0000-0000-0000CA0D0000}"/>
    <cellStyle name="Input 5" xfId="2270" xr:uid="{00000000-0005-0000-0000-0000CB0D0000}"/>
    <cellStyle name="Input 5 2" xfId="3650" xr:uid="{00000000-0005-0000-0000-0000CC0D0000}"/>
    <cellStyle name="Input 5 2 2" xfId="3949" xr:uid="{00000000-0005-0000-0000-0000CD0D0000}"/>
    <cellStyle name="Input 5 2 3" xfId="5105" xr:uid="{00000000-0005-0000-0000-0000CE0D0000}"/>
    <cellStyle name="Input 5 2 4" xfId="5189" xr:uid="{00000000-0005-0000-0000-0000CF0D0000}"/>
    <cellStyle name="Input 5 3" xfId="4486" xr:uid="{00000000-0005-0000-0000-0000D00D0000}"/>
    <cellStyle name="Input 5 4" xfId="5034" xr:uid="{00000000-0005-0000-0000-0000D10D0000}"/>
    <cellStyle name="Input 5 5" xfId="5048" xr:uid="{00000000-0005-0000-0000-0000D20D0000}"/>
    <cellStyle name="Input 6" xfId="2265" xr:uid="{00000000-0005-0000-0000-0000D30D0000}"/>
    <cellStyle name="Input 6 2" xfId="3647" xr:uid="{00000000-0005-0000-0000-0000D40D0000}"/>
    <cellStyle name="Input 6 2 2" xfId="3946" xr:uid="{00000000-0005-0000-0000-0000D50D0000}"/>
    <cellStyle name="Input 6 3" xfId="4487" xr:uid="{00000000-0005-0000-0000-0000D60D0000}"/>
    <cellStyle name="Input 7" xfId="2971" xr:uid="{00000000-0005-0000-0000-0000D70D0000}"/>
    <cellStyle name="Input 7 2" xfId="3715" xr:uid="{00000000-0005-0000-0000-0000D80D0000}"/>
    <cellStyle name="Input 7 2 2" xfId="3969" xr:uid="{00000000-0005-0000-0000-0000D90D0000}"/>
    <cellStyle name="Input 7 3" xfId="4488" xr:uid="{00000000-0005-0000-0000-0000DA0D0000}"/>
    <cellStyle name="Input 8" xfId="2961" xr:uid="{00000000-0005-0000-0000-0000DB0D0000}"/>
    <cellStyle name="Input 8 2" xfId="3713" xr:uid="{00000000-0005-0000-0000-0000DC0D0000}"/>
    <cellStyle name="Input 8 2 2" xfId="3967" xr:uid="{00000000-0005-0000-0000-0000DD0D0000}"/>
    <cellStyle name="Input 8 3" xfId="4489" xr:uid="{00000000-0005-0000-0000-0000DE0D0000}"/>
    <cellStyle name="Input 9" xfId="2970" xr:uid="{00000000-0005-0000-0000-0000DF0D0000}"/>
    <cellStyle name="Input 9 2" xfId="3714" xr:uid="{00000000-0005-0000-0000-0000E00D0000}"/>
    <cellStyle name="Input 9 2 2" xfId="3968" xr:uid="{00000000-0005-0000-0000-0000E10D0000}"/>
    <cellStyle name="Input 9 3" xfId="4490" xr:uid="{00000000-0005-0000-0000-0000E20D0000}"/>
    <cellStyle name="Input Cells" xfId="74" xr:uid="{00000000-0005-0000-0000-0000E30D0000}"/>
    <cellStyle name="input cells 10" xfId="5028" xr:uid="{00000000-0005-0000-0000-0000E40D0000}"/>
    <cellStyle name="Input Cells 11" xfId="5555" xr:uid="{00000000-0005-0000-0000-0000E50D0000}"/>
    <cellStyle name="Input Cells 12" xfId="5794" xr:uid="{00000000-0005-0000-0000-0000E60D0000}"/>
    <cellStyle name="Input Cells 2" xfId="2271" xr:uid="{00000000-0005-0000-0000-0000E70D0000}"/>
    <cellStyle name="Input Cells 2 2" xfId="3651" xr:uid="{00000000-0005-0000-0000-0000E80D0000}"/>
    <cellStyle name="Input Cells 2 2 2" xfId="3950" xr:uid="{00000000-0005-0000-0000-0000E90D0000}"/>
    <cellStyle name="Input Cells 3" xfId="3065" xr:uid="{00000000-0005-0000-0000-0000EA0D0000}"/>
    <cellStyle name="Input Cells 3 2" xfId="3738" xr:uid="{00000000-0005-0000-0000-0000EB0D0000}"/>
    <cellStyle name="Input Cells 3 2 2" xfId="3973" xr:uid="{00000000-0005-0000-0000-0000EC0D0000}"/>
    <cellStyle name="Input Cells 3 3" xfId="3809" xr:uid="{00000000-0005-0000-0000-0000ED0D0000}"/>
    <cellStyle name="Input Cells 3 3 2" xfId="3984" xr:uid="{00000000-0005-0000-0000-0000EE0D0000}"/>
    <cellStyle name="Input Cells 3 4" xfId="3326" xr:uid="{00000000-0005-0000-0000-0000EF0D0000}"/>
    <cellStyle name="Input Cells 4" xfId="3096" xr:uid="{00000000-0005-0000-0000-0000F00D0000}"/>
    <cellStyle name="Input Cells 4 2" xfId="3755" xr:uid="{00000000-0005-0000-0000-0000F10D0000}"/>
    <cellStyle name="Input Cells 4 2 2" xfId="3976" xr:uid="{00000000-0005-0000-0000-0000F20D0000}"/>
    <cellStyle name="Input Cells 4 3" xfId="3825" xr:uid="{00000000-0005-0000-0000-0000F30D0000}"/>
    <cellStyle name="Input Cells 4 3 2" xfId="3987" xr:uid="{00000000-0005-0000-0000-0000F40D0000}"/>
    <cellStyle name="Input Cells 4 4" xfId="3345" xr:uid="{00000000-0005-0000-0000-0000F50D0000}"/>
    <cellStyle name="Input Cells 5" xfId="3571" xr:uid="{00000000-0005-0000-0000-0000F60D0000}"/>
    <cellStyle name="Input Cells 5 2" xfId="3931" xr:uid="{00000000-0005-0000-0000-0000F70D0000}"/>
    <cellStyle name="Input Cells 6" xfId="217" xr:uid="{00000000-0005-0000-0000-0000F80D0000}"/>
    <cellStyle name="input cells 7" xfId="4879" xr:uid="{00000000-0005-0000-0000-0000F90D0000}"/>
    <cellStyle name="input cells 8" xfId="4885" xr:uid="{00000000-0005-0000-0000-0000FA0D0000}"/>
    <cellStyle name="input cells 9" xfId="5148" xr:uid="{00000000-0005-0000-0000-0000FB0D0000}"/>
    <cellStyle name="InputBlueFont" xfId="2272" xr:uid="{00000000-0005-0000-0000-0000FC0D0000}"/>
    <cellStyle name="Inputs" xfId="2273" xr:uid="{00000000-0005-0000-0000-0000FD0D0000}"/>
    <cellStyle name="Inputs 2" xfId="5628" xr:uid="{00000000-0005-0000-0000-0000FE0D0000}"/>
    <cellStyle name="Inputted from Other Sheets" xfId="2274" xr:uid="{00000000-0005-0000-0000-0000FF0D0000}"/>
    <cellStyle name="INTEREST" xfId="2275" xr:uid="{00000000-0005-0000-0000-0000000E0000}"/>
    <cellStyle name="Italics" xfId="2276" xr:uid="{00000000-0005-0000-0000-0000010E0000}"/>
    <cellStyle name="Items" xfId="5629" xr:uid="{00000000-0005-0000-0000-0000020E0000}"/>
    <cellStyle name="Jack Number Format" xfId="131" xr:uid="{00000000-0005-0000-0000-0000030E0000}"/>
    <cellStyle name="Jason" xfId="2277" xr:uid="{00000000-0005-0000-0000-0000040E0000}"/>
    <cellStyle name="Jason 2" xfId="2278" xr:uid="{00000000-0005-0000-0000-0000050E0000}"/>
    <cellStyle name="Jason 2 2" xfId="2279" xr:uid="{00000000-0005-0000-0000-0000060E0000}"/>
    <cellStyle name="Jason 2 2 2" xfId="2280" xr:uid="{00000000-0005-0000-0000-0000070E0000}"/>
    <cellStyle name="Jason 2 3" xfId="2281" xr:uid="{00000000-0005-0000-0000-0000080E0000}"/>
    <cellStyle name="Jason 3" xfId="2282" xr:uid="{00000000-0005-0000-0000-0000090E0000}"/>
    <cellStyle name="Komma [0]_BINV" xfId="2283" xr:uid="{00000000-0005-0000-0000-00000A0E0000}"/>
    <cellStyle name="Komma_BINV" xfId="2284" xr:uid="{00000000-0005-0000-0000-00000B0E0000}"/>
    <cellStyle name="KP_Normal" xfId="5848" xr:uid="{00000000-0005-0000-0000-00000C0E0000}"/>
    <cellStyle name="Lable8Left" xfId="2285" xr:uid="{00000000-0005-0000-0000-00000D0E0000}"/>
    <cellStyle name="LAND VIEW OFFICE - 1ST FL" xfId="2286" xr:uid="{00000000-0005-0000-0000-00000E0E0000}"/>
    <cellStyle name="LAND VIEW OFFICE - 1ST FL 2" xfId="2287" xr:uid="{00000000-0005-0000-0000-00000F0E0000}"/>
    <cellStyle name="LD VIEW OFFICE - UPPER FL" xfId="2288" xr:uid="{00000000-0005-0000-0000-0000100E0000}"/>
    <cellStyle name="LD VIEW OFFICE - UPPER FL 2" xfId="2289" xr:uid="{00000000-0005-0000-0000-0000110E0000}"/>
    <cellStyle name="LD VIEW OFFICE 4" xfId="2290" xr:uid="{00000000-0005-0000-0000-0000120E0000}"/>
    <cellStyle name="LD VIEW OFFICE 4 2" xfId="2291" xr:uid="{00000000-0005-0000-0000-0000130E0000}"/>
    <cellStyle name="left" xfId="2292" xr:uid="{00000000-0005-0000-0000-0000140E0000}"/>
    <cellStyle name="Lines" xfId="2293" xr:uid="{00000000-0005-0000-0000-0000150E0000}"/>
    <cellStyle name="LINK" xfId="2294" xr:uid="{00000000-0005-0000-0000-0000160E0000}"/>
    <cellStyle name="Link Currency (0)" xfId="2295" xr:uid="{00000000-0005-0000-0000-0000170E0000}"/>
    <cellStyle name="Link Currency (0) 2" xfId="2296" xr:uid="{00000000-0005-0000-0000-0000180E0000}"/>
    <cellStyle name="Link Currency (2)" xfId="2297" xr:uid="{00000000-0005-0000-0000-0000190E0000}"/>
    <cellStyle name="Link Currency (2) 2" xfId="2298" xr:uid="{00000000-0005-0000-0000-00001A0E0000}"/>
    <cellStyle name="Link Units (0)" xfId="2299" xr:uid="{00000000-0005-0000-0000-00001B0E0000}"/>
    <cellStyle name="Link Units (0) 2" xfId="2300" xr:uid="{00000000-0005-0000-0000-00001C0E0000}"/>
    <cellStyle name="Link Units (1)" xfId="2301" xr:uid="{00000000-0005-0000-0000-00001D0E0000}"/>
    <cellStyle name="Link Units (1) 2" xfId="2302" xr:uid="{00000000-0005-0000-0000-00001E0E0000}"/>
    <cellStyle name="Link Units (2)" xfId="2303" xr:uid="{00000000-0005-0000-0000-00001F0E0000}"/>
    <cellStyle name="Link Units (2) 2" xfId="2304" xr:uid="{00000000-0005-0000-0000-0000200E0000}"/>
    <cellStyle name="LINK_88 Richardson 80-20 1-31-12 Invest Memo" xfId="2305" xr:uid="{00000000-0005-0000-0000-0000210E0000}"/>
    <cellStyle name="Linked" xfId="2306" xr:uid="{00000000-0005-0000-0000-0000220E0000}"/>
    <cellStyle name="Linked Cell 2" xfId="2308" xr:uid="{00000000-0005-0000-0000-0000230E0000}"/>
    <cellStyle name="Linked Cell 3" xfId="2309" xr:uid="{00000000-0005-0000-0000-0000240E0000}"/>
    <cellStyle name="Linked Cell 4" xfId="2310" xr:uid="{00000000-0005-0000-0000-0000250E0000}"/>
    <cellStyle name="Linked Cell 5" xfId="2311" xr:uid="{00000000-0005-0000-0000-0000260E0000}"/>
    <cellStyle name="Linked Cell 6" xfId="2307" xr:uid="{00000000-0005-0000-0000-0000270E0000}"/>
    <cellStyle name="MainData" xfId="2312" xr:uid="{00000000-0005-0000-0000-0000280E0000}"/>
    <cellStyle name="MajorTotal" xfId="2313" xr:uid="{00000000-0005-0000-0000-0000290E0000}"/>
    <cellStyle name="MajorTotal 2" xfId="3652" xr:uid="{00000000-0005-0000-0000-00002A0E0000}"/>
    <cellStyle name="MajorTotal 3" xfId="3798" xr:uid="{00000000-0005-0000-0000-00002B0E0000}"/>
    <cellStyle name="MajorTotal 4" xfId="3284" xr:uid="{00000000-0005-0000-0000-00002C0E0000}"/>
    <cellStyle name="MAND_x000a_CHECK.COMMAND_x000e_RENAME.COMMAND_x0008_SHOW.BAR_x000b_DELETE.MENU_x000e_DELETE.COMMAND_x000e_GET.CHA" xfId="2314" xr:uid="{00000000-0005-0000-0000-00002D0E0000}"/>
    <cellStyle name="MAND_x000d_CHECK.COMMAND_x000e_RENAME.COMMAND_x0008_SHOW.BAR_x000b_DELETE.MENU_x000e_DELETE.COMMAND_x000e_GET.CHA" xfId="2315" xr:uid="{00000000-0005-0000-0000-00002E0E0000}"/>
    <cellStyle name="Margins" xfId="5574" xr:uid="{00000000-0005-0000-0000-00002F0E0000}"/>
    <cellStyle name="Memo" xfId="4491" xr:uid="{00000000-0005-0000-0000-0000300E0000}"/>
    <cellStyle name="Migliaia (0)_Foglio1 (2)" xfId="2316" xr:uid="{00000000-0005-0000-0000-0000310E0000}"/>
    <cellStyle name="Migliaia_Foglio1 (2)" xfId="2317" xr:uid="{00000000-0005-0000-0000-0000320E0000}"/>
    <cellStyle name="Millares [0]_10 AVERIAS MASIVAS + ANT" xfId="5503" xr:uid="{00000000-0005-0000-0000-0000330E0000}"/>
    <cellStyle name="Millares_10 AVERIAS MASIVAS + ANT" xfId="5631" xr:uid="{00000000-0005-0000-0000-0000340E0000}"/>
    <cellStyle name="Milliers [0]_!!!GO" xfId="2318" xr:uid="{00000000-0005-0000-0000-0000350E0000}"/>
    <cellStyle name="Milliers_!!!GO" xfId="2319" xr:uid="{00000000-0005-0000-0000-0000360E0000}"/>
    <cellStyle name="ModifiedCell" xfId="2320" xr:uid="{00000000-0005-0000-0000-0000370E0000}"/>
    <cellStyle name="MODULE" xfId="2321" xr:uid="{00000000-0005-0000-0000-0000380E0000}"/>
    <cellStyle name="MODULE 2" xfId="2322" xr:uid="{00000000-0005-0000-0000-0000390E0000}"/>
    <cellStyle name="Moeda [0]_Alfa Laval Base Case 19 mm site" xfId="2323" xr:uid="{00000000-0005-0000-0000-00003A0E0000}"/>
    <cellStyle name="Moeda_Alfa Laval Base Case 19 mm site" xfId="2324" xr:uid="{00000000-0005-0000-0000-00003B0E0000}"/>
    <cellStyle name="Moneda [0]_10 AVERIAS MASIVAS + ANT" xfId="5347" xr:uid="{00000000-0005-0000-0000-00003C0E0000}"/>
    <cellStyle name="Moneda_10 AVERIAS MASIVAS + ANT" xfId="5632" xr:uid="{00000000-0005-0000-0000-00003D0E0000}"/>
    <cellStyle name="Monétaire [0]_!!!GO" xfId="2325" xr:uid="{00000000-0005-0000-0000-00003E0E0000}"/>
    <cellStyle name="Monétaire_!!!GO" xfId="2326" xr:uid="{00000000-0005-0000-0000-00003F0E0000}"/>
    <cellStyle name="Monetario" xfId="5390" xr:uid="{00000000-0005-0000-0000-0000400E0000}"/>
    <cellStyle name="Money" xfId="5334" xr:uid="{00000000-0005-0000-0000-0000410E0000}"/>
    <cellStyle name="Money2" xfId="5379" xr:uid="{00000000-0005-0000-0000-0000420E0000}"/>
    <cellStyle name="MONTH" xfId="2327" xr:uid="{00000000-0005-0000-0000-0000430E0000}"/>
    <cellStyle name="Months" xfId="2328" xr:uid="{00000000-0005-0000-0000-0000440E0000}"/>
    <cellStyle name="Months 2" xfId="3879" xr:uid="{00000000-0005-0000-0000-0000450E0000}"/>
    <cellStyle name="MSectionHeadings" xfId="2329" xr:uid="{00000000-0005-0000-0000-0000460E0000}"/>
    <cellStyle name="multiple" xfId="2330" xr:uid="{00000000-0005-0000-0000-0000470E0000}"/>
    <cellStyle name="Multiple (no x)" xfId="2331" xr:uid="{00000000-0005-0000-0000-0000480E0000}"/>
    <cellStyle name="Multiple (with x)" xfId="2332" xr:uid="{00000000-0005-0000-0000-0000490E0000}"/>
    <cellStyle name="Multiple 2" xfId="5549" xr:uid="{00000000-0005-0000-0000-00004A0E0000}"/>
    <cellStyle name="Multiple 3" xfId="5793" xr:uid="{00000000-0005-0000-0000-00004B0E0000}"/>
    <cellStyle name="Multiple_111_Washington_9-14-10_loan_size_base_on_$55_rents_$40MMland_-_new_model_10am - changes v1" xfId="2333" xr:uid="{00000000-0005-0000-0000-00004C0E0000}"/>
    <cellStyle name="NACC" xfId="2334" xr:uid="{00000000-0005-0000-0000-00004D0E0000}"/>
    <cellStyle name="Needs Input" xfId="2335" xr:uid="{00000000-0005-0000-0000-00004E0E0000}"/>
    <cellStyle name="Neutral 2" xfId="2337" xr:uid="{00000000-0005-0000-0000-00004F0E0000}"/>
    <cellStyle name="Neutral 3" xfId="2338" xr:uid="{00000000-0005-0000-0000-0000500E0000}"/>
    <cellStyle name="Neutral 4" xfId="2339" xr:uid="{00000000-0005-0000-0000-0000510E0000}"/>
    <cellStyle name="Neutral 5" xfId="2340" xr:uid="{00000000-0005-0000-0000-0000520E0000}"/>
    <cellStyle name="Neutral 6" xfId="2336" xr:uid="{00000000-0005-0000-0000-0000530E0000}"/>
    <cellStyle name="NEW T M OFFICE" xfId="2341" xr:uid="{00000000-0005-0000-0000-0000540E0000}"/>
    <cellStyle name="NEW TM OFF PER" xfId="2342" xr:uid="{00000000-0005-0000-0000-0000550E0000}"/>
    <cellStyle name="no $, aligned  T10" xfId="2343" xr:uid="{00000000-0005-0000-0000-0000560E0000}"/>
    <cellStyle name="no $, aligned  T10 2" xfId="2344" xr:uid="{00000000-0005-0000-0000-0000570E0000}"/>
    <cellStyle name="no $, aligned  T10 2 2" xfId="2345" xr:uid="{00000000-0005-0000-0000-0000580E0000}"/>
    <cellStyle name="no $, aligned  T10 3" xfId="2346" xr:uid="{00000000-0005-0000-0000-0000590E0000}"/>
    <cellStyle name="no $, aligned  T10 3 2" xfId="2347" xr:uid="{00000000-0005-0000-0000-00005A0E0000}"/>
    <cellStyle name="no $, aligned T12" xfId="2348" xr:uid="{00000000-0005-0000-0000-00005B0E0000}"/>
    <cellStyle name="no $, aligned T12 2" xfId="2349" xr:uid="{00000000-0005-0000-0000-00005C0E0000}"/>
    <cellStyle name="no $, aligned T12 2 2" xfId="2350" xr:uid="{00000000-0005-0000-0000-00005D0E0000}"/>
    <cellStyle name="no $, aligned T12 3" xfId="2351" xr:uid="{00000000-0005-0000-0000-00005E0E0000}"/>
    <cellStyle name="no $, aligned T12 3 2" xfId="2352" xr:uid="{00000000-0005-0000-0000-00005F0E0000}"/>
    <cellStyle name="no dec" xfId="2353" xr:uid="{00000000-0005-0000-0000-0000600E0000}"/>
    <cellStyle name="no dec 2" xfId="5553" xr:uid="{00000000-0005-0000-0000-0000610E0000}"/>
    <cellStyle name="nodle1" xfId="2354" xr:uid="{00000000-0005-0000-0000-0000620E0000}"/>
    <cellStyle name="nodle1 2" xfId="3285" xr:uid="{00000000-0005-0000-0000-0000630E0000}"/>
    <cellStyle name="nodle1 3" xfId="3145" xr:uid="{00000000-0005-0000-0000-0000640E0000}"/>
    <cellStyle name="NonPrint_Heading" xfId="2355" xr:uid="{00000000-0005-0000-0000-0000650E0000}"/>
    <cellStyle name="Nor@„l_IRRSENS" xfId="2356" xr:uid="{00000000-0005-0000-0000-0000660E0000}"/>
    <cellStyle name="Normal" xfId="0" builtinId="0"/>
    <cellStyle name="Normal - Style1" xfId="75" xr:uid="{00000000-0005-0000-0000-0000680E0000}"/>
    <cellStyle name="Normal - Style1 2" xfId="132" xr:uid="{00000000-0005-0000-0000-0000690E0000}"/>
    <cellStyle name="Normal - Style1 3" xfId="3020" xr:uid="{00000000-0005-0000-0000-00006A0E0000}"/>
    <cellStyle name="Normal - Style1 4" xfId="2357" xr:uid="{00000000-0005-0000-0000-00006B0E0000}"/>
    <cellStyle name="Normal - Style1 5" xfId="5633" xr:uid="{00000000-0005-0000-0000-00006C0E0000}"/>
    <cellStyle name="Normal 0.0" xfId="2358" xr:uid="{00000000-0005-0000-0000-00006D0E0000}"/>
    <cellStyle name="Normal 0.0 2" xfId="3880" xr:uid="{00000000-0005-0000-0000-00006E0E0000}"/>
    <cellStyle name="Normal 10" xfId="111" xr:uid="{00000000-0005-0000-0000-00006F0E0000}"/>
    <cellStyle name="Normal 10 10" xfId="2359" xr:uid="{00000000-0005-0000-0000-0000700E0000}"/>
    <cellStyle name="Normal 10 11" xfId="5634" xr:uid="{00000000-0005-0000-0000-0000710E0000}"/>
    <cellStyle name="Normal 10 2" xfId="2360" xr:uid="{00000000-0005-0000-0000-0000720E0000}"/>
    <cellStyle name="Normal 10 2 2" xfId="2361" xr:uid="{00000000-0005-0000-0000-0000730E0000}"/>
    <cellStyle name="Normal 10 2 2 2" xfId="4492" xr:uid="{00000000-0005-0000-0000-0000740E0000}"/>
    <cellStyle name="Normal 10 2 2 3" xfId="5636" xr:uid="{00000000-0005-0000-0000-0000750E0000}"/>
    <cellStyle name="Normal 10 2 3" xfId="5637" xr:uid="{00000000-0005-0000-0000-0000760E0000}"/>
    <cellStyle name="Normal 10 2 4" xfId="5635" xr:uid="{00000000-0005-0000-0000-0000770E0000}"/>
    <cellStyle name="Normal 10 3" xfId="2362" xr:uid="{00000000-0005-0000-0000-0000780E0000}"/>
    <cellStyle name="Normal 10 3 2" xfId="2363" xr:uid="{00000000-0005-0000-0000-0000790E0000}"/>
    <cellStyle name="Normal 10 3 3" xfId="4493" xr:uid="{00000000-0005-0000-0000-00007A0E0000}"/>
    <cellStyle name="Normal 10 3 4" xfId="5484" xr:uid="{00000000-0005-0000-0000-00007B0E0000}"/>
    <cellStyle name="Normal 10 4" xfId="2364" xr:uid="{00000000-0005-0000-0000-00007C0E0000}"/>
    <cellStyle name="Normal 10 4 2" xfId="2365" xr:uid="{00000000-0005-0000-0000-00007D0E0000}"/>
    <cellStyle name="Normal 10 5" xfId="2366" xr:uid="{00000000-0005-0000-0000-00007E0E0000}"/>
    <cellStyle name="Normal 10 5 2" xfId="2367" xr:uid="{00000000-0005-0000-0000-00007F0E0000}"/>
    <cellStyle name="Normal 10 6" xfId="2368" xr:uid="{00000000-0005-0000-0000-0000800E0000}"/>
    <cellStyle name="Normal 10 6 2" xfId="2369" xr:uid="{00000000-0005-0000-0000-0000810E0000}"/>
    <cellStyle name="Normal 10 7" xfId="2370" xr:uid="{00000000-0005-0000-0000-0000820E0000}"/>
    <cellStyle name="Normal 10 7 2" xfId="2371" xr:uid="{00000000-0005-0000-0000-0000830E0000}"/>
    <cellStyle name="Normal 10 8" xfId="2372" xr:uid="{00000000-0005-0000-0000-0000840E0000}"/>
    <cellStyle name="Normal 10 8 2" xfId="2373" xr:uid="{00000000-0005-0000-0000-0000850E0000}"/>
    <cellStyle name="Normal 10 9" xfId="3035" xr:uid="{00000000-0005-0000-0000-0000860E0000}"/>
    <cellStyle name="Normal 10_Harlem 116th-117th 11 22 11" xfId="2374" xr:uid="{00000000-0005-0000-0000-0000870E0000}"/>
    <cellStyle name="Normal 100" xfId="3829" xr:uid="{00000000-0005-0000-0000-0000880E0000}"/>
    <cellStyle name="Normal 101" xfId="3834" xr:uid="{00000000-0005-0000-0000-0000890E0000}"/>
    <cellStyle name="Normal 102" xfId="3871" xr:uid="{00000000-0005-0000-0000-00008A0E0000}"/>
    <cellStyle name="Normal 103" xfId="3103" xr:uid="{00000000-0005-0000-0000-00008B0E0000}"/>
    <cellStyle name="Normal 104" xfId="3318" xr:uid="{00000000-0005-0000-0000-00008C0E0000}"/>
    <cellStyle name="Normal 105" xfId="3919" xr:uid="{00000000-0005-0000-0000-00008D0E0000}"/>
    <cellStyle name="Normal 106" xfId="233" xr:uid="{00000000-0005-0000-0000-00008E0E0000}"/>
    <cellStyle name="Normal 107" xfId="4872" xr:uid="{00000000-0005-0000-0000-00008F0E0000}"/>
    <cellStyle name="Normal 108" xfId="4881" xr:uid="{00000000-0005-0000-0000-0000900E0000}"/>
    <cellStyle name="Normal 109" xfId="4886" xr:uid="{00000000-0005-0000-0000-0000910E0000}"/>
    <cellStyle name="Normal 11" xfId="113" xr:uid="{00000000-0005-0000-0000-0000920E0000}"/>
    <cellStyle name="Normal 11 10" xfId="2375" xr:uid="{00000000-0005-0000-0000-0000930E0000}"/>
    <cellStyle name="Normal 11 11" xfId="3587" xr:uid="{00000000-0005-0000-0000-0000940E0000}"/>
    <cellStyle name="Normal 11 12" xfId="5638" xr:uid="{00000000-0005-0000-0000-0000950E0000}"/>
    <cellStyle name="Normal 11 2" xfId="2376" xr:uid="{00000000-0005-0000-0000-0000960E0000}"/>
    <cellStyle name="Normal 11 2 2" xfId="2377" xr:uid="{00000000-0005-0000-0000-0000970E0000}"/>
    <cellStyle name="Normal 11 2 2 2" xfId="5441" xr:uid="{00000000-0005-0000-0000-0000980E0000}"/>
    <cellStyle name="Normal 11 2 3" xfId="5095" xr:uid="{00000000-0005-0000-0000-0000990E0000}"/>
    <cellStyle name="Normal 11 2 4" xfId="5639" xr:uid="{00000000-0005-0000-0000-00009A0E0000}"/>
    <cellStyle name="Normal 11 3" xfId="2378" xr:uid="{00000000-0005-0000-0000-00009B0E0000}"/>
    <cellStyle name="Normal 11 3 2" xfId="2379" xr:uid="{00000000-0005-0000-0000-00009C0E0000}"/>
    <cellStyle name="Normal 11 3 3" xfId="5630" xr:uid="{00000000-0005-0000-0000-00009D0E0000}"/>
    <cellStyle name="Normal 11 4" xfId="2380" xr:uid="{00000000-0005-0000-0000-00009E0E0000}"/>
    <cellStyle name="Normal 11 4 2" xfId="2381" xr:uid="{00000000-0005-0000-0000-00009F0E0000}"/>
    <cellStyle name="Normal 11 5" xfId="2382" xr:uid="{00000000-0005-0000-0000-0000A00E0000}"/>
    <cellStyle name="Normal 11 5 2" xfId="2383" xr:uid="{00000000-0005-0000-0000-0000A10E0000}"/>
    <cellStyle name="Normal 11 6" xfId="2384" xr:uid="{00000000-0005-0000-0000-0000A20E0000}"/>
    <cellStyle name="Normal 11 6 2" xfId="2385" xr:uid="{00000000-0005-0000-0000-0000A30E0000}"/>
    <cellStyle name="Normal 11 7" xfId="2386" xr:uid="{00000000-0005-0000-0000-0000A40E0000}"/>
    <cellStyle name="Normal 11 7 2" xfId="2387" xr:uid="{00000000-0005-0000-0000-0000A50E0000}"/>
    <cellStyle name="Normal 11 8" xfId="2388" xr:uid="{00000000-0005-0000-0000-0000A60E0000}"/>
    <cellStyle name="Normal 11 8 2" xfId="2389" xr:uid="{00000000-0005-0000-0000-0000A70E0000}"/>
    <cellStyle name="Normal 11 9" xfId="3037" xr:uid="{00000000-0005-0000-0000-0000A80E0000}"/>
    <cellStyle name="Normal 11_Harlem 116th-117th 11 22 11" xfId="2390" xr:uid="{00000000-0005-0000-0000-0000A90E0000}"/>
    <cellStyle name="Normal 110" xfId="4963" xr:uid="{00000000-0005-0000-0000-0000AA0E0000}"/>
    <cellStyle name="Normal 111" xfId="4964" xr:uid="{00000000-0005-0000-0000-0000AB0E0000}"/>
    <cellStyle name="Normal 112" xfId="4987" xr:uid="{00000000-0005-0000-0000-0000AC0E0000}"/>
    <cellStyle name="Normal 113" xfId="4993" xr:uid="{00000000-0005-0000-0000-0000AD0E0000}"/>
    <cellStyle name="Normal 114" xfId="4995" xr:uid="{00000000-0005-0000-0000-0000AE0E0000}"/>
    <cellStyle name="Normal 115" xfId="5021" xr:uid="{00000000-0005-0000-0000-0000AF0E0000}"/>
    <cellStyle name="Normal 116" xfId="5057" xr:uid="{00000000-0005-0000-0000-0000B00E0000}"/>
    <cellStyle name="Normal 117" xfId="5152" xr:uid="{00000000-0005-0000-0000-0000B10E0000}"/>
    <cellStyle name="Normal 118" xfId="5027" xr:uid="{00000000-0005-0000-0000-0000B20E0000}"/>
    <cellStyle name="Normal 119" xfId="5229" xr:uid="{00000000-0005-0000-0000-0000B30E0000}"/>
    <cellStyle name="Normal 12" xfId="118" xr:uid="{00000000-0005-0000-0000-0000B40E0000}"/>
    <cellStyle name="Normal 12 2" xfId="136" xr:uid="{00000000-0005-0000-0000-0000B50E0000}"/>
    <cellStyle name="Normal 12 2 2" xfId="2393" xr:uid="{00000000-0005-0000-0000-0000B60E0000}"/>
    <cellStyle name="Normal 12 2 3" xfId="3050" xr:uid="{00000000-0005-0000-0000-0000B70E0000}"/>
    <cellStyle name="Normal 12 2 4" xfId="2392" xr:uid="{00000000-0005-0000-0000-0000B80E0000}"/>
    <cellStyle name="Normal 12 3" xfId="2394" xr:uid="{00000000-0005-0000-0000-0000B90E0000}"/>
    <cellStyle name="Normal 12 3 10" xfId="5307" xr:uid="{00000000-0005-0000-0000-0000BA0E0000}"/>
    <cellStyle name="Normal 12 3 2" xfId="4494" xr:uid="{00000000-0005-0000-0000-0000BB0E0000}"/>
    <cellStyle name="Normal 12 3 3" xfId="222" xr:uid="{00000000-0005-0000-0000-0000BC0E0000}"/>
    <cellStyle name="Normal 12 3 4" xfId="4907" xr:uid="{00000000-0005-0000-0000-0000BD0E0000}"/>
    <cellStyle name="Normal 12 3 5" xfId="4931" xr:uid="{00000000-0005-0000-0000-0000BE0E0000}"/>
    <cellStyle name="Normal 12 3 6" xfId="4985" xr:uid="{00000000-0005-0000-0000-0000BF0E0000}"/>
    <cellStyle name="Normal 12 3 7" xfId="5019" xr:uid="{00000000-0005-0000-0000-0000C00E0000}"/>
    <cellStyle name="Normal 12 3 8" xfId="5251" xr:uid="{00000000-0005-0000-0000-0000C10E0000}"/>
    <cellStyle name="Normal 12 3 9" xfId="5279" xr:uid="{00000000-0005-0000-0000-0000C20E0000}"/>
    <cellStyle name="Normal 12 4" xfId="3038" xr:uid="{00000000-0005-0000-0000-0000C30E0000}"/>
    <cellStyle name="Normal 12 4 2" xfId="4495" xr:uid="{00000000-0005-0000-0000-0000C40E0000}"/>
    <cellStyle name="Normal 12 5" xfId="2391" xr:uid="{00000000-0005-0000-0000-0000C50E0000}"/>
    <cellStyle name="Normal 12 5 2" xfId="4496" xr:uid="{00000000-0005-0000-0000-0000C60E0000}"/>
    <cellStyle name="Normal 12 6" xfId="3589" xr:uid="{00000000-0005-0000-0000-0000C70E0000}"/>
    <cellStyle name="Normal 12 6 2" xfId="4497" xr:uid="{00000000-0005-0000-0000-0000C80E0000}"/>
    <cellStyle name="Normal 12 7" xfId="3435" xr:uid="{00000000-0005-0000-0000-0000C90E0000}"/>
    <cellStyle name="Normal 12 8" xfId="5419" xr:uid="{00000000-0005-0000-0000-0000CA0E0000}"/>
    <cellStyle name="Normal 12_120403-Utica-3rd Flr Gym" xfId="2395" xr:uid="{00000000-0005-0000-0000-0000CB0E0000}"/>
    <cellStyle name="Normal 120" xfId="5257" xr:uid="{00000000-0005-0000-0000-0000CC0E0000}"/>
    <cellStyle name="Normal 121" xfId="5284" xr:uid="{00000000-0005-0000-0000-0000CD0E0000}"/>
    <cellStyle name="Normal 122" xfId="5309" xr:uid="{00000000-0005-0000-0000-0000CE0E0000}"/>
    <cellStyle name="Normal 123" xfId="12" xr:uid="{00000000-0005-0000-0000-0000CF0E0000}"/>
    <cellStyle name="Normal 124" xfId="5314" xr:uid="{00000000-0005-0000-0000-0000D00E0000}"/>
    <cellStyle name="Normal 125" xfId="5318" xr:uid="{00000000-0005-0000-0000-0000D10E0000}"/>
    <cellStyle name="Normal 126" xfId="5323" xr:uid="{00000000-0005-0000-0000-0000D20E0000}"/>
    <cellStyle name="Normal 127" xfId="5787" xr:uid="{00000000-0005-0000-0000-0000D30E0000}"/>
    <cellStyle name="Normal 128" xfId="5841" xr:uid="{00000000-0005-0000-0000-0000D40E0000}"/>
    <cellStyle name="Normal 129" xfId="5842" xr:uid="{00000000-0005-0000-0000-0000D50E0000}"/>
    <cellStyle name="Normal 13" xfId="143" xr:uid="{00000000-0005-0000-0000-0000D60E0000}"/>
    <cellStyle name="Normal 13 2" xfId="3054" xr:uid="{00000000-0005-0000-0000-0000D70E0000}"/>
    <cellStyle name="Normal 13 2 2" xfId="5641" xr:uid="{00000000-0005-0000-0000-0000D80E0000}"/>
    <cellStyle name="Normal 13 2 3" xfId="5451" xr:uid="{00000000-0005-0000-0000-0000D90E0000}"/>
    <cellStyle name="Normal 13 3" xfId="2396" xr:uid="{00000000-0005-0000-0000-0000DA0E0000}"/>
    <cellStyle name="Normal 13 3 2" xfId="5642" xr:uid="{00000000-0005-0000-0000-0000DB0E0000}"/>
    <cellStyle name="Normal 13 4" xfId="213" xr:uid="{00000000-0005-0000-0000-0000DC0E0000}"/>
    <cellStyle name="Normal 13 5" xfId="5617" xr:uid="{00000000-0005-0000-0000-0000DD0E0000}"/>
    <cellStyle name="Normal 14" xfId="145" xr:uid="{00000000-0005-0000-0000-0000DE0E0000}"/>
    <cellStyle name="Normal 14 10" xfId="238" xr:uid="{00000000-0005-0000-0000-0000DF0E0000}"/>
    <cellStyle name="Normal 14 11" xfId="214" xr:uid="{00000000-0005-0000-0000-0000E00E0000}"/>
    <cellStyle name="Normal 14 2" xfId="2398" xr:uid="{00000000-0005-0000-0000-0000E10E0000}"/>
    <cellStyle name="Normal 14 2 2" xfId="5327" xr:uid="{00000000-0005-0000-0000-0000E20E0000}"/>
    <cellStyle name="Normal 14 3" xfId="3056" xr:uid="{00000000-0005-0000-0000-0000E30E0000}"/>
    <cellStyle name="Normal 14 3 2" xfId="3735" xr:uid="{00000000-0005-0000-0000-0000E40E0000}"/>
    <cellStyle name="Normal 14 3 3" xfId="3808" xr:uid="{00000000-0005-0000-0000-0000E50E0000}"/>
    <cellStyle name="Normal 14 3 4" xfId="3894" xr:uid="{00000000-0005-0000-0000-0000E60E0000}"/>
    <cellStyle name="Normal 14 3 5" xfId="3324" xr:uid="{00000000-0005-0000-0000-0000E70E0000}"/>
    <cellStyle name="Normal 14 4" xfId="2397" xr:uid="{00000000-0005-0000-0000-0000E80E0000}"/>
    <cellStyle name="Normal 14 5" xfId="3082" xr:uid="{00000000-0005-0000-0000-0000E90E0000}"/>
    <cellStyle name="Normal 14 5 2" xfId="3746" xr:uid="{00000000-0005-0000-0000-0000EA0E0000}"/>
    <cellStyle name="Normal 14 5 3" xfId="3816" xr:uid="{00000000-0005-0000-0000-0000EB0E0000}"/>
    <cellStyle name="Normal 14 5 4" xfId="3903" xr:uid="{00000000-0005-0000-0000-0000EC0E0000}"/>
    <cellStyle name="Normal 14 5 5" xfId="3336" xr:uid="{00000000-0005-0000-0000-0000ED0E0000}"/>
    <cellStyle name="Normal 14 6" xfId="3605" xr:uid="{00000000-0005-0000-0000-0000EE0E0000}"/>
    <cellStyle name="Normal 14 6 2" xfId="3868" xr:uid="{00000000-0005-0000-0000-0000EF0E0000}"/>
    <cellStyle name="Normal 14 7" xfId="3436" xr:uid="{00000000-0005-0000-0000-0000F00E0000}"/>
    <cellStyle name="Normal 14 8" xfId="3787" xr:uid="{00000000-0005-0000-0000-0000F10E0000}"/>
    <cellStyle name="Normal 14 9" xfId="3120" xr:uid="{00000000-0005-0000-0000-0000F20E0000}"/>
    <cellStyle name="Normal 145" xfId="3376" xr:uid="{00000000-0005-0000-0000-0000F30E0000}"/>
    <cellStyle name="Normal 15" xfId="150" xr:uid="{00000000-0005-0000-0000-0000F40E0000}"/>
    <cellStyle name="Normal 15 2" xfId="2400" xr:uid="{00000000-0005-0000-0000-0000F50E0000}"/>
    <cellStyle name="Normal 15 3" xfId="3085" xr:uid="{00000000-0005-0000-0000-0000F60E0000}"/>
    <cellStyle name="Normal 15 4" xfId="3656" xr:uid="{00000000-0005-0000-0000-0000F70E0000}"/>
    <cellStyle name="Normal 15 5" xfId="3437" xr:uid="{00000000-0005-0000-0000-0000F80E0000}"/>
    <cellStyle name="Normal 15 6" xfId="2399" xr:uid="{00000000-0005-0000-0000-0000F90E0000}"/>
    <cellStyle name="Normal 16" xfId="151" xr:uid="{00000000-0005-0000-0000-0000FA0E0000}"/>
    <cellStyle name="Normal 16 2" xfId="2402" xr:uid="{00000000-0005-0000-0000-0000FB0E0000}"/>
    <cellStyle name="Normal 16 2 2" xfId="4499" xr:uid="{00000000-0005-0000-0000-0000FC0E0000}"/>
    <cellStyle name="Normal 16 2 3" xfId="4498" xr:uid="{00000000-0005-0000-0000-0000FD0E0000}"/>
    <cellStyle name="Normal 16 3" xfId="3086" xr:uid="{00000000-0005-0000-0000-0000FE0E0000}"/>
    <cellStyle name="Normal 16 3 2" xfId="4500" xr:uid="{00000000-0005-0000-0000-0000FF0E0000}"/>
    <cellStyle name="Normal 16 4" xfId="3657" xr:uid="{00000000-0005-0000-0000-0000000F0000}"/>
    <cellStyle name="Normal 16 4 2" xfId="4501" xr:uid="{00000000-0005-0000-0000-0000010F0000}"/>
    <cellStyle name="Normal 16 5" xfId="3438" xr:uid="{00000000-0005-0000-0000-0000020F0000}"/>
    <cellStyle name="Normal 16 5 2" xfId="4502" xr:uid="{00000000-0005-0000-0000-0000030F0000}"/>
    <cellStyle name="Normal 16 6" xfId="2401" xr:uid="{00000000-0005-0000-0000-0000040F0000}"/>
    <cellStyle name="Normal 16 6 2" xfId="4503" xr:uid="{00000000-0005-0000-0000-0000050F0000}"/>
    <cellStyle name="Normal 17" xfId="152" xr:uid="{00000000-0005-0000-0000-0000060F0000}"/>
    <cellStyle name="Normal 17 2" xfId="2404" xr:uid="{00000000-0005-0000-0000-0000070F0000}"/>
    <cellStyle name="Normal 17 2 2" xfId="4504" xr:uid="{00000000-0005-0000-0000-0000080F0000}"/>
    <cellStyle name="Normal 17 2 3" xfId="4505" xr:uid="{00000000-0005-0000-0000-0000090F0000}"/>
    <cellStyle name="Normal 17 2 4" xfId="4506" xr:uid="{00000000-0005-0000-0000-00000A0F0000}"/>
    <cellStyle name="Normal 17 3" xfId="3087" xr:uid="{00000000-0005-0000-0000-00000B0F0000}"/>
    <cellStyle name="Normal 17 3 2" xfId="4507" xr:uid="{00000000-0005-0000-0000-00000C0F0000}"/>
    <cellStyle name="Normal 17 4" xfId="3658" xr:uid="{00000000-0005-0000-0000-00000D0F0000}"/>
    <cellStyle name="Normal 17 4 2" xfId="4508" xr:uid="{00000000-0005-0000-0000-00000E0F0000}"/>
    <cellStyle name="Normal 17 5" xfId="3439" xr:uid="{00000000-0005-0000-0000-00000F0F0000}"/>
    <cellStyle name="Normal 17 5 2" xfId="4509" xr:uid="{00000000-0005-0000-0000-0000100F0000}"/>
    <cellStyle name="Normal 17 6" xfId="2403" xr:uid="{00000000-0005-0000-0000-0000110F0000}"/>
    <cellStyle name="Normal 17 6 2" xfId="4510" xr:uid="{00000000-0005-0000-0000-0000120F0000}"/>
    <cellStyle name="Normal 17_130205- 280 Franklin" xfId="2405" xr:uid="{00000000-0005-0000-0000-0000130F0000}"/>
    <cellStyle name="Normal 18" xfId="153" xr:uid="{00000000-0005-0000-0000-0000140F0000}"/>
    <cellStyle name="Normal 18 2" xfId="2407" xr:uid="{00000000-0005-0000-0000-0000150F0000}"/>
    <cellStyle name="Normal 18 2 2" xfId="4512" xr:uid="{00000000-0005-0000-0000-0000160F0000}"/>
    <cellStyle name="Normal 18 2 3" xfId="4511" xr:uid="{00000000-0005-0000-0000-0000170F0000}"/>
    <cellStyle name="Normal 18 3" xfId="3088" xr:uid="{00000000-0005-0000-0000-0000180F0000}"/>
    <cellStyle name="Normal 18 3 2" xfId="3747" xr:uid="{00000000-0005-0000-0000-0000190F0000}"/>
    <cellStyle name="Normal 18 3 3" xfId="3817" xr:uid="{00000000-0005-0000-0000-00001A0F0000}"/>
    <cellStyle name="Normal 18 3 4" xfId="3904" xr:uid="{00000000-0005-0000-0000-00001B0F0000}"/>
    <cellStyle name="Normal 18 3 5" xfId="3337" xr:uid="{00000000-0005-0000-0000-00001C0F0000}"/>
    <cellStyle name="Normal 18 4" xfId="3659" xr:uid="{00000000-0005-0000-0000-00001D0F0000}"/>
    <cellStyle name="Normal 18 4 2" xfId="4513" xr:uid="{00000000-0005-0000-0000-00001E0F0000}"/>
    <cellStyle name="Normal 18 5" xfId="3440" xr:uid="{00000000-0005-0000-0000-00001F0F0000}"/>
    <cellStyle name="Normal 18 5 2" xfId="4514" xr:uid="{00000000-0005-0000-0000-0000200F0000}"/>
    <cellStyle name="Normal 18 6" xfId="2406" xr:uid="{00000000-0005-0000-0000-0000210F0000}"/>
    <cellStyle name="Normal 18 6 2" xfId="4515" xr:uid="{00000000-0005-0000-0000-0000220F0000}"/>
    <cellStyle name="Normal 19" xfId="156" xr:uid="{00000000-0005-0000-0000-0000230F0000}"/>
    <cellStyle name="Normal 19 2" xfId="2409" xr:uid="{00000000-0005-0000-0000-0000240F0000}"/>
    <cellStyle name="Normal 19 2 2" xfId="4518" xr:uid="{00000000-0005-0000-0000-0000250F0000}"/>
    <cellStyle name="Normal 19 2 3" xfId="4517" xr:uid="{00000000-0005-0000-0000-0000260F0000}"/>
    <cellStyle name="Normal 19 2 4" xfId="5346" xr:uid="{00000000-0005-0000-0000-0000270F0000}"/>
    <cellStyle name="Normal 19 3" xfId="3091" xr:uid="{00000000-0005-0000-0000-0000280F0000}"/>
    <cellStyle name="Normal 19 3 2" xfId="3750" xr:uid="{00000000-0005-0000-0000-0000290F0000}"/>
    <cellStyle name="Normal 19 3 3" xfId="3820" xr:uid="{00000000-0005-0000-0000-00002A0F0000}"/>
    <cellStyle name="Normal 19 3 4" xfId="3907" xr:uid="{00000000-0005-0000-0000-00002B0F0000}"/>
    <cellStyle name="Normal 19 3 5" xfId="3340" xr:uid="{00000000-0005-0000-0000-00002C0F0000}"/>
    <cellStyle name="Normal 19 4" xfId="2408" xr:uid="{00000000-0005-0000-0000-00002D0F0000}"/>
    <cellStyle name="Normal 19 4 2" xfId="4519" xr:uid="{00000000-0005-0000-0000-00002E0F0000}"/>
    <cellStyle name="Normal 19 5" xfId="4520" xr:uid="{00000000-0005-0000-0000-00002F0F0000}"/>
    <cellStyle name="Normal 19 6" xfId="4521" xr:uid="{00000000-0005-0000-0000-0000300F0000}"/>
    <cellStyle name="Normal 19 7" xfId="4516" xr:uid="{00000000-0005-0000-0000-0000310F0000}"/>
    <cellStyle name="Normal 2" xfId="4" xr:uid="{00000000-0005-0000-0000-0000320F0000}"/>
    <cellStyle name="Normal 2 10" xfId="2411" xr:uid="{00000000-0005-0000-0000-0000330F0000}"/>
    <cellStyle name="Normal 2 10 2" xfId="4522" xr:uid="{00000000-0005-0000-0000-0000340F0000}"/>
    <cellStyle name="Normal 2 10 3" xfId="5643" xr:uid="{00000000-0005-0000-0000-0000350F0000}"/>
    <cellStyle name="Normal 2 11" xfId="2412" xr:uid="{00000000-0005-0000-0000-0000360F0000}"/>
    <cellStyle name="Normal 2 11 2" xfId="4845" xr:uid="{00000000-0005-0000-0000-0000370F0000}"/>
    <cellStyle name="Normal 2 11 3" xfId="5644" xr:uid="{00000000-0005-0000-0000-0000380F0000}"/>
    <cellStyle name="Normal 2 12" xfId="2413" xr:uid="{00000000-0005-0000-0000-0000390F0000}"/>
    <cellStyle name="Normal 2 12 2" xfId="5393" xr:uid="{00000000-0005-0000-0000-00003A0F0000}"/>
    <cellStyle name="Normal 2 13" xfId="2414" xr:uid="{00000000-0005-0000-0000-00003B0F0000}"/>
    <cellStyle name="Normal 2 13 2" xfId="5646" xr:uid="{00000000-0005-0000-0000-00003C0F0000}"/>
    <cellStyle name="Normal 2 14" xfId="2415" xr:uid="{00000000-0005-0000-0000-00003D0F0000}"/>
    <cellStyle name="Normal 2 14 2" xfId="5349" xr:uid="{00000000-0005-0000-0000-00003E0F0000}"/>
    <cellStyle name="Normal 2 15" xfId="2416" xr:uid="{00000000-0005-0000-0000-00003F0F0000}"/>
    <cellStyle name="Normal 2 15 2" xfId="5648" xr:uid="{00000000-0005-0000-0000-0000400F0000}"/>
    <cellStyle name="Normal 2 16" xfId="2417" xr:uid="{00000000-0005-0000-0000-0000410F0000}"/>
    <cellStyle name="Normal 2 16 2" xfId="5649" xr:uid="{00000000-0005-0000-0000-0000420F0000}"/>
    <cellStyle name="Normal 2 17" xfId="2418" xr:uid="{00000000-0005-0000-0000-0000430F0000}"/>
    <cellStyle name="Normal 2 17 2" xfId="5650" xr:uid="{00000000-0005-0000-0000-0000440F0000}"/>
    <cellStyle name="Normal 2 18" xfId="2419" xr:uid="{00000000-0005-0000-0000-0000450F0000}"/>
    <cellStyle name="Normal 2 19" xfId="2420" xr:uid="{00000000-0005-0000-0000-0000460F0000}"/>
    <cellStyle name="Normal 2 2" xfId="15" xr:uid="{00000000-0005-0000-0000-0000470F0000}"/>
    <cellStyle name="Normal 2 2 2" xfId="27" xr:uid="{00000000-0005-0000-0000-0000480F0000}"/>
    <cellStyle name="Normal 2 2 2 2" xfId="125" xr:uid="{00000000-0005-0000-0000-0000490F0000}"/>
    <cellStyle name="Normal 2 2 2 2 2" xfId="2422" xr:uid="{00000000-0005-0000-0000-00004A0F0000}"/>
    <cellStyle name="Normal 2 2 2 2 3" xfId="3593" xr:uid="{00000000-0005-0000-0000-00004B0F0000}"/>
    <cellStyle name="Normal 2 2 2 2 4" xfId="5653" xr:uid="{00000000-0005-0000-0000-00004C0F0000}"/>
    <cellStyle name="Normal 2 2 2 3" xfId="3044" xr:uid="{00000000-0005-0000-0000-00004D0F0000}"/>
    <cellStyle name="Normal 2 2 2 4" xfId="3441" xr:uid="{00000000-0005-0000-0000-00004E0F0000}"/>
    <cellStyle name="Normal 2 2 2 5" xfId="5651" xr:uid="{00000000-0005-0000-0000-00004F0F0000}"/>
    <cellStyle name="Normal 2 2 3" xfId="22" xr:uid="{00000000-0005-0000-0000-0000500F0000}"/>
    <cellStyle name="Normal 2 2 3 2" xfId="2423" xr:uid="{00000000-0005-0000-0000-0000510F0000}"/>
    <cellStyle name="Normal 2 2 3 3" xfId="5521" xr:uid="{00000000-0005-0000-0000-0000520F0000}"/>
    <cellStyle name="Normal 2 2 4" xfId="159" xr:uid="{00000000-0005-0000-0000-0000530F0000}"/>
    <cellStyle name="Normal 2 2 4 2" xfId="2425" xr:uid="{00000000-0005-0000-0000-0000540F0000}"/>
    <cellStyle name="Normal 2 2 4 3" xfId="3094" xr:uid="{00000000-0005-0000-0000-0000550F0000}"/>
    <cellStyle name="Normal 2 2 4 3 2" xfId="3753" xr:uid="{00000000-0005-0000-0000-0000560F0000}"/>
    <cellStyle name="Normal 2 2 4 3 3" xfId="3823" xr:uid="{00000000-0005-0000-0000-0000570F0000}"/>
    <cellStyle name="Normal 2 2 4 3 4" xfId="3910" xr:uid="{00000000-0005-0000-0000-0000580F0000}"/>
    <cellStyle name="Normal 2 2 4 3 5" xfId="3343" xr:uid="{00000000-0005-0000-0000-0000590F0000}"/>
    <cellStyle name="Normal 2 2 4 4" xfId="2424" xr:uid="{00000000-0005-0000-0000-00005A0F0000}"/>
    <cellStyle name="Normal 2 2 4 5" xfId="5096" xr:uid="{00000000-0005-0000-0000-00005B0F0000}"/>
    <cellStyle name="Normal 2 2 5" xfId="2426" xr:uid="{00000000-0005-0000-0000-00005C0F0000}"/>
    <cellStyle name="Normal 2 2 5 2" xfId="2427" xr:uid="{00000000-0005-0000-0000-00005D0F0000}"/>
    <cellStyle name="Normal 2 2 6" xfId="2428" xr:uid="{00000000-0005-0000-0000-00005E0F0000}"/>
    <cellStyle name="Normal 2 2 6 2" xfId="2429" xr:uid="{00000000-0005-0000-0000-00005F0F0000}"/>
    <cellStyle name="Normal 2 2 7" xfId="2430" xr:uid="{00000000-0005-0000-0000-0000600F0000}"/>
    <cellStyle name="Normal 2 2 7 2" xfId="2431" xr:uid="{00000000-0005-0000-0000-0000610F0000}"/>
    <cellStyle name="Normal 2 2 7 3" xfId="4846" xr:uid="{00000000-0005-0000-0000-0000620F0000}"/>
    <cellStyle name="Normal 2 2 8" xfId="2432" xr:uid="{00000000-0005-0000-0000-0000630F0000}"/>
    <cellStyle name="Normal 2 2 8 2" xfId="2433" xr:uid="{00000000-0005-0000-0000-0000640F0000}"/>
    <cellStyle name="Normal 2 2 9" xfId="2421" xr:uid="{00000000-0005-0000-0000-0000650F0000}"/>
    <cellStyle name="Normal 2 2_88 Richardson 80-20 1-31-12 Invest Memo" xfId="2434" xr:uid="{00000000-0005-0000-0000-0000660F0000}"/>
    <cellStyle name="Normal 2 20" xfId="2435" xr:uid="{00000000-0005-0000-0000-0000670F0000}"/>
    <cellStyle name="Normal 2 21" xfId="2436" xr:uid="{00000000-0005-0000-0000-0000680F0000}"/>
    <cellStyle name="Normal 2 22" xfId="2437" xr:uid="{00000000-0005-0000-0000-0000690F0000}"/>
    <cellStyle name="Normal 2 23" xfId="2438" xr:uid="{00000000-0005-0000-0000-00006A0F0000}"/>
    <cellStyle name="Normal 2 24" xfId="2439" xr:uid="{00000000-0005-0000-0000-00006B0F0000}"/>
    <cellStyle name="Normal 2 25" xfId="2440" xr:uid="{00000000-0005-0000-0000-00006C0F0000}"/>
    <cellStyle name="Normal 2 26" xfId="2441" xr:uid="{00000000-0005-0000-0000-00006D0F0000}"/>
    <cellStyle name="Normal 2 27" xfId="2442" xr:uid="{00000000-0005-0000-0000-00006E0F0000}"/>
    <cellStyle name="Normal 2 28" xfId="2443" xr:uid="{00000000-0005-0000-0000-00006F0F0000}"/>
    <cellStyle name="Normal 2 29" xfId="2444" xr:uid="{00000000-0005-0000-0000-0000700F0000}"/>
    <cellStyle name="Normal 2 3" xfId="16" xr:uid="{00000000-0005-0000-0000-0000710F0000}"/>
    <cellStyle name="Normal 2 3 2" xfId="28" xr:uid="{00000000-0005-0000-0000-0000720F0000}"/>
    <cellStyle name="Normal 2 3 2 2" xfId="5640" xr:uid="{00000000-0005-0000-0000-0000730F0000}"/>
    <cellStyle name="Normal 2 3 3" xfId="23" xr:uid="{00000000-0005-0000-0000-0000740F0000}"/>
    <cellStyle name="Normal 2 3 3 2" xfId="2445" xr:uid="{00000000-0005-0000-0000-0000750F0000}"/>
    <cellStyle name="Normal 2 3 4" xfId="120" xr:uid="{00000000-0005-0000-0000-0000760F0000}"/>
    <cellStyle name="Normal 2 3 5" xfId="3442" xr:uid="{00000000-0005-0000-0000-0000770F0000}"/>
    <cellStyle name="Normal 2 30" xfId="2446" xr:uid="{00000000-0005-0000-0000-0000780F0000}"/>
    <cellStyle name="Normal 2 31" xfId="2447" xr:uid="{00000000-0005-0000-0000-0000790F0000}"/>
    <cellStyle name="Normal 2 31 2" xfId="2448" xr:uid="{00000000-0005-0000-0000-00007A0F0000}"/>
    <cellStyle name="Normal 2 32" xfId="2449" xr:uid="{00000000-0005-0000-0000-00007B0F0000}"/>
    <cellStyle name="Normal 2 32 2" xfId="2450" xr:uid="{00000000-0005-0000-0000-00007C0F0000}"/>
    <cellStyle name="Normal 2 33" xfId="2451" xr:uid="{00000000-0005-0000-0000-00007D0F0000}"/>
    <cellStyle name="Normal 2 33 2" xfId="2452" xr:uid="{00000000-0005-0000-0000-00007E0F0000}"/>
    <cellStyle name="Normal 2 34" xfId="2453" xr:uid="{00000000-0005-0000-0000-00007F0F0000}"/>
    <cellStyle name="Normal 2 34 2" xfId="2454" xr:uid="{00000000-0005-0000-0000-0000800F0000}"/>
    <cellStyle name="Normal 2 35" xfId="2455" xr:uid="{00000000-0005-0000-0000-0000810F0000}"/>
    <cellStyle name="Normal 2 35 2" xfId="2456" xr:uid="{00000000-0005-0000-0000-0000820F0000}"/>
    <cellStyle name="Normal 2 36" xfId="2457" xr:uid="{00000000-0005-0000-0000-0000830F0000}"/>
    <cellStyle name="Normal 2 36 2" xfId="2458" xr:uid="{00000000-0005-0000-0000-0000840F0000}"/>
    <cellStyle name="Normal 2 37" xfId="2459" xr:uid="{00000000-0005-0000-0000-0000850F0000}"/>
    <cellStyle name="Normal 2 37 2" xfId="2460" xr:uid="{00000000-0005-0000-0000-0000860F0000}"/>
    <cellStyle name="Normal 2 38" xfId="2410" xr:uid="{00000000-0005-0000-0000-0000870F0000}"/>
    <cellStyle name="Normal 2 39" xfId="2992" xr:uid="{00000000-0005-0000-0000-0000880F0000}"/>
    <cellStyle name="Normal 2 4" xfId="30" xr:uid="{00000000-0005-0000-0000-0000890F0000}"/>
    <cellStyle name="Normal 2 4 2" xfId="33" xr:uid="{00000000-0005-0000-0000-00008A0F0000}"/>
    <cellStyle name="Normal 2 4 2 2" xfId="4523" xr:uid="{00000000-0005-0000-0000-00008B0F0000}"/>
    <cellStyle name="Normal 2 4 2 2 2" xfId="5655" xr:uid="{00000000-0005-0000-0000-00008C0F0000}"/>
    <cellStyle name="Normal 2 4 2 3" xfId="5369" xr:uid="{00000000-0005-0000-0000-00008D0F0000}"/>
    <cellStyle name="Normal 2 4 3" xfId="135" xr:uid="{00000000-0005-0000-0000-00008E0F0000}"/>
    <cellStyle name="Normal 2 4 3 2" xfId="2461" xr:uid="{00000000-0005-0000-0000-00008F0F0000}"/>
    <cellStyle name="Normal 2 4 3 3" xfId="4524" xr:uid="{00000000-0005-0000-0000-0000900F0000}"/>
    <cellStyle name="Normal 2 4 3 4" xfId="5359" xr:uid="{00000000-0005-0000-0000-0000910F0000}"/>
    <cellStyle name="Normal 2 4 4" xfId="189" xr:uid="{00000000-0005-0000-0000-0000920F0000}"/>
    <cellStyle name="Normal 2 4 4 2" xfId="3049" xr:uid="{00000000-0005-0000-0000-0000930F0000}"/>
    <cellStyle name="Normal 2 4 5" xfId="5654" xr:uid="{00000000-0005-0000-0000-0000940F0000}"/>
    <cellStyle name="Normal 2 40" xfId="4942" xr:uid="{00000000-0005-0000-0000-0000950F0000}"/>
    <cellStyle name="Normal 2 41" xfId="4950" xr:uid="{00000000-0005-0000-0000-0000960F0000}"/>
    <cellStyle name="Normal 2 42" xfId="4937" xr:uid="{00000000-0005-0000-0000-0000970F0000}"/>
    <cellStyle name="Normal 2 43" xfId="5322" xr:uid="{00000000-0005-0000-0000-0000980F0000}"/>
    <cellStyle name="Normal 2 5" xfId="32" xr:uid="{00000000-0005-0000-0000-0000990F0000}"/>
    <cellStyle name="Normal 2 5 2" xfId="2462" xr:uid="{00000000-0005-0000-0000-00009A0F0000}"/>
    <cellStyle name="Normal 2 5 2 2" xfId="5656" xr:uid="{00000000-0005-0000-0000-00009B0F0000}"/>
    <cellStyle name="Normal 2 5 3" xfId="5363" xr:uid="{00000000-0005-0000-0000-00009C0F0000}"/>
    <cellStyle name="Normal 2 6" xfId="157" xr:uid="{00000000-0005-0000-0000-00009D0F0000}"/>
    <cellStyle name="Normal 2 6 2" xfId="3092" xr:uid="{00000000-0005-0000-0000-00009E0F0000}"/>
    <cellStyle name="Normal 2 6 2 2" xfId="3751" xr:uid="{00000000-0005-0000-0000-00009F0F0000}"/>
    <cellStyle name="Normal 2 6 2 3" xfId="3821" xr:uid="{00000000-0005-0000-0000-0000A00F0000}"/>
    <cellStyle name="Normal 2 6 2 4" xfId="3908" xr:uid="{00000000-0005-0000-0000-0000A10F0000}"/>
    <cellStyle name="Normal 2 6 2 5" xfId="3341" xr:uid="{00000000-0005-0000-0000-0000A20F0000}"/>
    <cellStyle name="Normal 2 6 3" xfId="2463" xr:uid="{00000000-0005-0000-0000-0000A30F0000}"/>
    <cellStyle name="Normal 2 6 4" xfId="4525" xr:uid="{00000000-0005-0000-0000-0000A40F0000}"/>
    <cellStyle name="Normal 2 7" xfId="2464" xr:uid="{00000000-0005-0000-0000-0000A50F0000}"/>
    <cellStyle name="Normal 2 7 2" xfId="4526" xr:uid="{00000000-0005-0000-0000-0000A60F0000}"/>
    <cellStyle name="Normal 2 7 3" xfId="5331" xr:uid="{00000000-0005-0000-0000-0000A70F0000}"/>
    <cellStyle name="Normal 2 8" xfId="2465" xr:uid="{00000000-0005-0000-0000-0000A80F0000}"/>
    <cellStyle name="Normal 2 8 2" xfId="4527" xr:uid="{00000000-0005-0000-0000-0000A90F0000}"/>
    <cellStyle name="Normal 2 8 3" xfId="5511" xr:uid="{00000000-0005-0000-0000-0000AA0F0000}"/>
    <cellStyle name="Normal 2 9" xfId="2466" xr:uid="{00000000-0005-0000-0000-0000AB0F0000}"/>
    <cellStyle name="Normal 2 9 2" xfId="4528" xr:uid="{00000000-0005-0000-0000-0000AC0F0000}"/>
    <cellStyle name="Normal 2 9 3" xfId="5532" xr:uid="{00000000-0005-0000-0000-0000AD0F0000}"/>
    <cellStyle name="Normal 2_111_Washington_9-14-10_loan_size_base_on_$55_rents_$40MMland_-_new_model_10am - changes v1" xfId="2467" xr:uid="{00000000-0005-0000-0000-0000AE0F0000}"/>
    <cellStyle name="Normal 20" xfId="161" xr:uid="{00000000-0005-0000-0000-0000AF0F0000}"/>
    <cellStyle name="Normal 20 2" xfId="2469" xr:uid="{00000000-0005-0000-0000-0000B00F0000}"/>
    <cellStyle name="Normal 20 2 2" xfId="4530" xr:uid="{00000000-0005-0000-0000-0000B10F0000}"/>
    <cellStyle name="Normal 20 2 3" xfId="4529" xr:uid="{00000000-0005-0000-0000-0000B20F0000}"/>
    <cellStyle name="Normal 20 3" xfId="3660" xr:uid="{00000000-0005-0000-0000-0000B30F0000}"/>
    <cellStyle name="Normal 20 3 2" xfId="4531" xr:uid="{00000000-0005-0000-0000-0000B40F0000}"/>
    <cellStyle name="Normal 20 4" xfId="3443" xr:uid="{00000000-0005-0000-0000-0000B50F0000}"/>
    <cellStyle name="Normal 20 4 2" xfId="4532" xr:uid="{00000000-0005-0000-0000-0000B60F0000}"/>
    <cellStyle name="Normal 20 5" xfId="2468" xr:uid="{00000000-0005-0000-0000-0000B70F0000}"/>
    <cellStyle name="Normal 20 6" xfId="4533" xr:uid="{00000000-0005-0000-0000-0000B80F0000}"/>
    <cellStyle name="Normal 20 7" xfId="4908" xr:uid="{00000000-0005-0000-0000-0000B90F0000}"/>
    <cellStyle name="Normal 21" xfId="2470" xr:uid="{00000000-0005-0000-0000-0000BA0F0000}"/>
    <cellStyle name="Normal 21 2" xfId="3661" xr:uid="{00000000-0005-0000-0000-0000BB0F0000}"/>
    <cellStyle name="Normal 21 2 2" xfId="4535" xr:uid="{00000000-0005-0000-0000-0000BC0F0000}"/>
    <cellStyle name="Normal 21 2 3" xfId="4534" xr:uid="{00000000-0005-0000-0000-0000BD0F0000}"/>
    <cellStyle name="Normal 21 3" xfId="3444" xr:uid="{00000000-0005-0000-0000-0000BE0F0000}"/>
    <cellStyle name="Normal 21 3 2" xfId="4536" xr:uid="{00000000-0005-0000-0000-0000BF0F0000}"/>
    <cellStyle name="Normal 21 4" xfId="4537" xr:uid="{00000000-0005-0000-0000-0000C00F0000}"/>
    <cellStyle name="Normal 21 5" xfId="4538" xr:uid="{00000000-0005-0000-0000-0000C10F0000}"/>
    <cellStyle name="Normal 21 6" xfId="4539" xr:uid="{00000000-0005-0000-0000-0000C20F0000}"/>
    <cellStyle name="Normal 22" xfId="2471" xr:uid="{00000000-0005-0000-0000-0000C30F0000}"/>
    <cellStyle name="Normal 22 2" xfId="2472" xr:uid="{00000000-0005-0000-0000-0000C40F0000}"/>
    <cellStyle name="Normal 22 2 2" xfId="4541" xr:uid="{00000000-0005-0000-0000-0000C50F0000}"/>
    <cellStyle name="Normal 22 2 3" xfId="4540" xr:uid="{00000000-0005-0000-0000-0000C60F0000}"/>
    <cellStyle name="Normal 22 3" xfId="3662" xr:uid="{00000000-0005-0000-0000-0000C70F0000}"/>
    <cellStyle name="Normal 22 3 2" xfId="4542" xr:uid="{00000000-0005-0000-0000-0000C80F0000}"/>
    <cellStyle name="Normal 22 4" xfId="3445" xr:uid="{00000000-0005-0000-0000-0000C90F0000}"/>
    <cellStyle name="Normal 22 4 2" xfId="4543" xr:uid="{00000000-0005-0000-0000-0000CA0F0000}"/>
    <cellStyle name="Normal 22 5" xfId="4544" xr:uid="{00000000-0005-0000-0000-0000CB0F0000}"/>
    <cellStyle name="Normal 22 6" xfId="4545" xr:uid="{00000000-0005-0000-0000-0000CC0F0000}"/>
    <cellStyle name="Normal 23" xfId="2473" xr:uid="{00000000-0005-0000-0000-0000CD0F0000}"/>
    <cellStyle name="Normal 23 2" xfId="3663" xr:uid="{00000000-0005-0000-0000-0000CE0F0000}"/>
    <cellStyle name="Normal 23 2 2" xfId="4547" xr:uid="{00000000-0005-0000-0000-0000CF0F0000}"/>
    <cellStyle name="Normal 23 2 3" xfId="4546" xr:uid="{00000000-0005-0000-0000-0000D00F0000}"/>
    <cellStyle name="Normal 23 3" xfId="3446" xr:uid="{00000000-0005-0000-0000-0000D10F0000}"/>
    <cellStyle name="Normal 23 3 2" xfId="4548" xr:uid="{00000000-0005-0000-0000-0000D20F0000}"/>
    <cellStyle name="Normal 23 4" xfId="4549" xr:uid="{00000000-0005-0000-0000-0000D30F0000}"/>
    <cellStyle name="Normal 23 5" xfId="4550" xr:uid="{00000000-0005-0000-0000-0000D40F0000}"/>
    <cellStyle name="Normal 23 6" xfId="4551" xr:uid="{00000000-0005-0000-0000-0000D50F0000}"/>
    <cellStyle name="Normal 24" xfId="2474" xr:uid="{00000000-0005-0000-0000-0000D60F0000}"/>
    <cellStyle name="Normal 24 2" xfId="3664" xr:uid="{00000000-0005-0000-0000-0000D70F0000}"/>
    <cellStyle name="Normal 24 2 2" xfId="4552" xr:uid="{00000000-0005-0000-0000-0000D80F0000}"/>
    <cellStyle name="Normal 24 3" xfId="3447" xr:uid="{00000000-0005-0000-0000-0000D90F0000}"/>
    <cellStyle name="Normal 24 3 2" xfId="4553" xr:uid="{00000000-0005-0000-0000-0000DA0F0000}"/>
    <cellStyle name="Normal 24 4" xfId="4554" xr:uid="{00000000-0005-0000-0000-0000DB0F0000}"/>
    <cellStyle name="Normal 25" xfId="2475" xr:uid="{00000000-0005-0000-0000-0000DC0F0000}"/>
    <cellStyle name="Normal 25 2" xfId="3665" xr:uid="{00000000-0005-0000-0000-0000DD0F0000}"/>
    <cellStyle name="Normal 25 3" xfId="3448" xr:uid="{00000000-0005-0000-0000-0000DE0F0000}"/>
    <cellStyle name="Normal 25 3 2" xfId="4555" xr:uid="{00000000-0005-0000-0000-0000DF0F0000}"/>
    <cellStyle name="Normal 26" xfId="2476" xr:uid="{00000000-0005-0000-0000-0000E00F0000}"/>
    <cellStyle name="Normal 26 2" xfId="3666" xr:uid="{00000000-0005-0000-0000-0000E10F0000}"/>
    <cellStyle name="Normal 26 2 2" xfId="5657" xr:uid="{00000000-0005-0000-0000-0000E20F0000}"/>
    <cellStyle name="Normal 26 3" xfId="3449" xr:uid="{00000000-0005-0000-0000-0000E30F0000}"/>
    <cellStyle name="Normal 26 4" xfId="4556" xr:uid="{00000000-0005-0000-0000-0000E40F0000}"/>
    <cellStyle name="Normal 27" xfId="2477" xr:uid="{00000000-0005-0000-0000-0000E50F0000}"/>
    <cellStyle name="Normal 27 2" xfId="3667" xr:uid="{00000000-0005-0000-0000-0000E60F0000}"/>
    <cellStyle name="Normal 27 2 2" xfId="5480" xr:uid="{00000000-0005-0000-0000-0000E70F0000}"/>
    <cellStyle name="Normal 27 3" xfId="3450" xr:uid="{00000000-0005-0000-0000-0000E80F0000}"/>
    <cellStyle name="Normal 27 4" xfId="4557" xr:uid="{00000000-0005-0000-0000-0000E90F0000}"/>
    <cellStyle name="Normal 28" xfId="2478" xr:uid="{00000000-0005-0000-0000-0000EA0F0000}"/>
    <cellStyle name="Normal 28 2" xfId="3668" xr:uid="{00000000-0005-0000-0000-0000EB0F0000}"/>
    <cellStyle name="Normal 28 2 2" xfId="5647" xr:uid="{00000000-0005-0000-0000-0000EC0F0000}"/>
    <cellStyle name="Normal 28 3" xfId="3451" xr:uid="{00000000-0005-0000-0000-0000ED0F0000}"/>
    <cellStyle name="Normal 28 4" xfId="4558" xr:uid="{00000000-0005-0000-0000-0000EE0F0000}"/>
    <cellStyle name="Normal 28 5" xfId="5506" xr:uid="{00000000-0005-0000-0000-0000EF0F0000}"/>
    <cellStyle name="Normal 29" xfId="257" xr:uid="{00000000-0005-0000-0000-0000F00F0000}"/>
    <cellStyle name="Normal 29 2" xfId="3609" xr:uid="{00000000-0005-0000-0000-0000F10F0000}"/>
    <cellStyle name="Normal 29 2 2" xfId="5380" xr:uid="{00000000-0005-0000-0000-0000F20F0000}"/>
    <cellStyle name="Normal 29 2 3" xfId="5507" xr:uid="{00000000-0005-0000-0000-0000F30F0000}"/>
    <cellStyle name="Normal 29 3" xfId="3452" xr:uid="{00000000-0005-0000-0000-0000F40F0000}"/>
    <cellStyle name="Normal 29 3 2" xfId="5559" xr:uid="{00000000-0005-0000-0000-0000F50F0000}"/>
    <cellStyle name="Normal 29 3 3" xfId="5422" xr:uid="{00000000-0005-0000-0000-0000F60F0000}"/>
    <cellStyle name="Normal 3" xfId="10" xr:uid="{00000000-0005-0000-0000-0000F70F0000}"/>
    <cellStyle name="Normal 3 10" xfId="2479" xr:uid="{00000000-0005-0000-0000-0000F80F0000}"/>
    <cellStyle name="Normal 3 10 2" xfId="4560" xr:uid="{00000000-0005-0000-0000-0000F90F0000}"/>
    <cellStyle name="Normal 3 11" xfId="3021" xr:uid="{00000000-0005-0000-0000-0000FA0F0000}"/>
    <cellStyle name="Normal 3 11 2" xfId="4561" xr:uid="{00000000-0005-0000-0000-0000FB0F0000}"/>
    <cellStyle name="Normal 3 12" xfId="4562" xr:uid="{00000000-0005-0000-0000-0000FC0F0000}"/>
    <cellStyle name="Normal 3 13" xfId="4563" xr:uid="{00000000-0005-0000-0000-0000FD0F0000}"/>
    <cellStyle name="Normal 3 14" xfId="4847" xr:uid="{00000000-0005-0000-0000-0000FE0F0000}"/>
    <cellStyle name="Normal 3 15" xfId="4559" xr:uid="{00000000-0005-0000-0000-0000FF0F0000}"/>
    <cellStyle name="Normal 3 16" xfId="5025" xr:uid="{00000000-0005-0000-0000-000000100000}"/>
    <cellStyle name="Normal 3 17" xfId="17" xr:uid="{00000000-0005-0000-0000-000001100000}"/>
    <cellStyle name="Normal 3 2" xfId="141" xr:uid="{00000000-0005-0000-0000-000002100000}"/>
    <cellStyle name="Normal 3 2 2" xfId="3053" xr:uid="{00000000-0005-0000-0000-000003100000}"/>
    <cellStyle name="Normal 3 2 2 2" xfId="4566" xr:uid="{00000000-0005-0000-0000-000004100000}"/>
    <cellStyle name="Normal 3 2 2 2 2" xfId="4567" xr:uid="{00000000-0005-0000-0000-000005100000}"/>
    <cellStyle name="Normal 3 2 2 3" xfId="4568" xr:uid="{00000000-0005-0000-0000-000006100000}"/>
    <cellStyle name="Normal 3 2 2 3 2" xfId="4569" xr:uid="{00000000-0005-0000-0000-000007100000}"/>
    <cellStyle name="Normal 3 2 2 4" xfId="4570" xr:uid="{00000000-0005-0000-0000-000008100000}"/>
    <cellStyle name="Normal 3 2 2 4 2" xfId="4571" xr:uid="{00000000-0005-0000-0000-000009100000}"/>
    <cellStyle name="Normal 3 2 2 5" xfId="4572" xr:uid="{00000000-0005-0000-0000-00000A100000}"/>
    <cellStyle name="Normal 3 2 2 6" xfId="4565" xr:uid="{00000000-0005-0000-0000-00000B100000}"/>
    <cellStyle name="Normal 3 2 2 7" xfId="5097" xr:uid="{00000000-0005-0000-0000-00000C100000}"/>
    <cellStyle name="Normal 3 2 3" xfId="2480" xr:uid="{00000000-0005-0000-0000-00000D100000}"/>
    <cellStyle name="Normal 3 2 3 2" xfId="4574" xr:uid="{00000000-0005-0000-0000-00000E100000}"/>
    <cellStyle name="Normal 3 2 3 2 2" xfId="5446" xr:uid="{00000000-0005-0000-0000-00000F100000}"/>
    <cellStyle name="Normal 3 2 3 3" xfId="4573" xr:uid="{00000000-0005-0000-0000-000010100000}"/>
    <cellStyle name="Normal 3 2 3 4" xfId="5371" xr:uid="{00000000-0005-0000-0000-000011100000}"/>
    <cellStyle name="Normal 3 2 4" xfId="3603" xr:uid="{00000000-0005-0000-0000-000012100000}"/>
    <cellStyle name="Normal 3 2 4 2" xfId="4575" xr:uid="{00000000-0005-0000-0000-000013100000}"/>
    <cellStyle name="Normal 3 2 4 3" xfId="5358" xr:uid="{00000000-0005-0000-0000-000014100000}"/>
    <cellStyle name="Normal 3 2 5" xfId="3453" xr:uid="{00000000-0005-0000-0000-000015100000}"/>
    <cellStyle name="Normal 3 2 6" xfId="4564" xr:uid="{00000000-0005-0000-0000-000016100000}"/>
    <cellStyle name="Normal 3 2 7" xfId="4943" xr:uid="{00000000-0005-0000-0000-000017100000}"/>
    <cellStyle name="Normal 3 3" xfId="144" xr:uid="{00000000-0005-0000-0000-000018100000}"/>
    <cellStyle name="Normal 3 3 2" xfId="3055" xr:uid="{00000000-0005-0000-0000-000019100000}"/>
    <cellStyle name="Normal 3 3 2 2" xfId="4577" xr:uid="{00000000-0005-0000-0000-00001A100000}"/>
    <cellStyle name="Normal 3 3 3" xfId="2481" xr:uid="{00000000-0005-0000-0000-00001B100000}"/>
    <cellStyle name="Normal 3 3 3 2" xfId="5472" xr:uid="{00000000-0005-0000-0000-00001C100000}"/>
    <cellStyle name="Normal 3 3 4" xfId="4576" xr:uid="{00000000-0005-0000-0000-00001D100000}"/>
    <cellStyle name="Normal 3 4" xfId="76" xr:uid="{00000000-0005-0000-0000-00001E100000}"/>
    <cellStyle name="Normal 3 4 2" xfId="2482" xr:uid="{00000000-0005-0000-0000-00001F100000}"/>
    <cellStyle name="Normal 3 4 2 2" xfId="5659" xr:uid="{00000000-0005-0000-0000-000020100000}"/>
    <cellStyle name="Normal 3 4 3" xfId="5658" xr:uid="{00000000-0005-0000-0000-000021100000}"/>
    <cellStyle name="Normal 3 5" xfId="2483" xr:uid="{00000000-0005-0000-0000-000022100000}"/>
    <cellStyle name="Normal 3 5 2" xfId="4578" xr:uid="{00000000-0005-0000-0000-000023100000}"/>
    <cellStyle name="Normal 3 5 3" xfId="5660" xr:uid="{00000000-0005-0000-0000-000024100000}"/>
    <cellStyle name="Normal 3 6" xfId="2484" xr:uid="{00000000-0005-0000-0000-000025100000}"/>
    <cellStyle name="Normal 3 6 2" xfId="4579" xr:uid="{00000000-0005-0000-0000-000026100000}"/>
    <cellStyle name="Normal 3 7" xfId="2485" xr:uid="{00000000-0005-0000-0000-000027100000}"/>
    <cellStyle name="Normal 3 7 2" xfId="4580" xr:uid="{00000000-0005-0000-0000-000028100000}"/>
    <cellStyle name="Normal 3 8" xfId="2486" xr:uid="{00000000-0005-0000-0000-000029100000}"/>
    <cellStyle name="Normal 3 8 2" xfId="4581" xr:uid="{00000000-0005-0000-0000-00002A100000}"/>
    <cellStyle name="Normal 3 9" xfId="2487" xr:uid="{00000000-0005-0000-0000-00002B100000}"/>
    <cellStyle name="Normal 3 9 2" xfId="4583" xr:uid="{00000000-0005-0000-0000-00002C100000}"/>
    <cellStyle name="Normal 3 9 2 2" xfId="4584" xr:uid="{00000000-0005-0000-0000-00002D100000}"/>
    <cellStyle name="Normal 3 9 3" xfId="4585" xr:uid="{00000000-0005-0000-0000-00002E100000}"/>
    <cellStyle name="Normal 3 9 4" xfId="4586" xr:uid="{00000000-0005-0000-0000-00002F100000}"/>
    <cellStyle name="Normal 3 9 5" xfId="4582" xr:uid="{00000000-0005-0000-0000-000030100000}"/>
    <cellStyle name="Normal 3_120403-Utica-3rd Flr Gym" xfId="2488" xr:uid="{00000000-0005-0000-0000-000031100000}"/>
    <cellStyle name="Normal 30" xfId="2955" xr:uid="{00000000-0005-0000-0000-000032100000}"/>
    <cellStyle name="Normal 30 2" xfId="3711" xr:uid="{00000000-0005-0000-0000-000033100000}"/>
    <cellStyle name="Normal 30 2 2" xfId="4587" xr:uid="{00000000-0005-0000-0000-000034100000}"/>
    <cellStyle name="Normal 30 3" xfId="3454" xr:uid="{00000000-0005-0000-0000-000035100000}"/>
    <cellStyle name="Normal 31" xfId="2976" xr:uid="{00000000-0005-0000-0000-000036100000}"/>
    <cellStyle name="Normal 31 2" xfId="3716" xr:uid="{00000000-0005-0000-0000-000037100000}"/>
    <cellStyle name="Normal 31 2 2" xfId="4588" xr:uid="{00000000-0005-0000-0000-000038100000}"/>
    <cellStyle name="Normal 31 3" xfId="3455" xr:uid="{00000000-0005-0000-0000-000039100000}"/>
    <cellStyle name="Normal 32" xfId="2977" xr:uid="{00000000-0005-0000-0000-00003A100000}"/>
    <cellStyle name="Normal 32 2" xfId="3717" xr:uid="{00000000-0005-0000-0000-00003B100000}"/>
    <cellStyle name="Normal 32 3" xfId="3456" xr:uid="{00000000-0005-0000-0000-00003C100000}"/>
    <cellStyle name="Normal 33" xfId="2978" xr:uid="{00000000-0005-0000-0000-00003D100000}"/>
    <cellStyle name="Normal 33 2" xfId="3718" xr:uid="{00000000-0005-0000-0000-00003E100000}"/>
    <cellStyle name="Normal 33 3" xfId="3457" xr:uid="{00000000-0005-0000-0000-00003F100000}"/>
    <cellStyle name="Normal 34" xfId="255" xr:uid="{00000000-0005-0000-0000-000040100000}"/>
    <cellStyle name="Normal 34 2" xfId="3608" xr:uid="{00000000-0005-0000-0000-000041100000}"/>
    <cellStyle name="Normal 34 2 2" xfId="3869" xr:uid="{00000000-0005-0000-0000-000042100000}"/>
    <cellStyle name="Normal 34 2 3" xfId="5508" xr:uid="{00000000-0005-0000-0000-000043100000}"/>
    <cellStyle name="Normal 34 3" xfId="3458" xr:uid="{00000000-0005-0000-0000-000044100000}"/>
    <cellStyle name="Normal 34 4" xfId="3788" xr:uid="{00000000-0005-0000-0000-000045100000}"/>
    <cellStyle name="Normal 34 5" xfId="3129" xr:uid="{00000000-0005-0000-0000-000046100000}"/>
    <cellStyle name="Normal 34 6" xfId="4589" xr:uid="{00000000-0005-0000-0000-000047100000}"/>
    <cellStyle name="Normal 35" xfId="2979" xr:uid="{00000000-0005-0000-0000-000048100000}"/>
    <cellStyle name="Normal 35 2" xfId="4590" xr:uid="{00000000-0005-0000-0000-000049100000}"/>
    <cellStyle name="Normal 36" xfId="2984" xr:uid="{00000000-0005-0000-0000-00004A100000}"/>
    <cellStyle name="Normal 36 2" xfId="4591" xr:uid="{00000000-0005-0000-0000-00004B100000}"/>
    <cellStyle name="Normal 37" xfId="2988" xr:uid="{00000000-0005-0000-0000-00004C100000}"/>
    <cellStyle name="Normal 37 2" xfId="4592" xr:uid="{00000000-0005-0000-0000-00004D100000}"/>
    <cellStyle name="Normal 37 2 2" xfId="5443" xr:uid="{00000000-0005-0000-0000-00004E100000}"/>
    <cellStyle name="Normal 37 2 3" xfId="5661" xr:uid="{00000000-0005-0000-0000-00004F100000}"/>
    <cellStyle name="Normal 37 3" xfId="5387" xr:uid="{00000000-0005-0000-0000-000050100000}"/>
    <cellStyle name="Normal 37 4" xfId="5516" xr:uid="{00000000-0005-0000-0000-000051100000}"/>
    <cellStyle name="Normal 38" xfId="2991" xr:uid="{00000000-0005-0000-0000-000052100000}"/>
    <cellStyle name="Normal 38 2" xfId="3719" xr:uid="{00000000-0005-0000-0000-000053100000}"/>
    <cellStyle name="Normal 38 2 2" xfId="3889" xr:uid="{00000000-0005-0000-0000-000054100000}"/>
    <cellStyle name="Normal 38 3" xfId="3459" xr:uid="{00000000-0005-0000-0000-000055100000}"/>
    <cellStyle name="Normal 38 4" xfId="3803" xr:uid="{00000000-0005-0000-0000-000056100000}"/>
    <cellStyle name="Normal 38 5" xfId="3319" xr:uid="{00000000-0005-0000-0000-000057100000}"/>
    <cellStyle name="Normal 38 6" xfId="4593" xr:uid="{00000000-0005-0000-0000-000058100000}"/>
    <cellStyle name="Normal 39" xfId="2993" xr:uid="{00000000-0005-0000-0000-000059100000}"/>
    <cellStyle name="Normal 39 2" xfId="4594" xr:uid="{00000000-0005-0000-0000-00005A100000}"/>
    <cellStyle name="Normal 39 2 2" xfId="5662" xr:uid="{00000000-0005-0000-0000-00005B100000}"/>
    <cellStyle name="Normal 39 3" xfId="5620" xr:uid="{00000000-0005-0000-0000-00005C100000}"/>
    <cellStyle name="Normal 4" xfId="7" xr:uid="{00000000-0005-0000-0000-00005D100000}"/>
    <cellStyle name="Normal 4 10" xfId="2490" xr:uid="{00000000-0005-0000-0000-00005E100000}"/>
    <cellStyle name="Normal 4 10 2" xfId="237" xr:uid="{00000000-0005-0000-0000-00005F100000}"/>
    <cellStyle name="Normal 4 10 3" xfId="4595" xr:uid="{00000000-0005-0000-0000-000060100000}"/>
    <cellStyle name="Normal 4 11" xfId="2491" xr:uid="{00000000-0005-0000-0000-000061100000}"/>
    <cellStyle name="Normal 4 11 2" xfId="4597" xr:uid="{00000000-0005-0000-0000-000062100000}"/>
    <cellStyle name="Normal 4 11 3" xfId="4596" xr:uid="{00000000-0005-0000-0000-000063100000}"/>
    <cellStyle name="Normal 4 12" xfId="2492" xr:uid="{00000000-0005-0000-0000-000064100000}"/>
    <cellStyle name="Normal 4 12 2" xfId="4598" xr:uid="{00000000-0005-0000-0000-000065100000}"/>
    <cellStyle name="Normal 4 13" xfId="2493" xr:uid="{00000000-0005-0000-0000-000066100000}"/>
    <cellStyle name="Normal 4 13 2" xfId="4599" xr:uid="{00000000-0005-0000-0000-000067100000}"/>
    <cellStyle name="Normal 4 14" xfId="2489" xr:uid="{00000000-0005-0000-0000-000068100000}"/>
    <cellStyle name="Normal 4 14 2" xfId="4600" xr:uid="{00000000-0005-0000-0000-000069100000}"/>
    <cellStyle name="Normal 4 15" xfId="4601" xr:uid="{00000000-0005-0000-0000-00006A100000}"/>
    <cellStyle name="Normal 4 16" xfId="4602" xr:uid="{00000000-0005-0000-0000-00006B100000}"/>
    <cellStyle name="Normal 4 17" xfId="4848" xr:uid="{00000000-0005-0000-0000-00006C100000}"/>
    <cellStyle name="Normal 4 18" xfId="4890" xr:uid="{00000000-0005-0000-0000-00006D100000}"/>
    <cellStyle name="Normal 4 19" xfId="4914" xr:uid="{00000000-0005-0000-0000-00006E100000}"/>
    <cellStyle name="Normal 4 2" xfId="11" xr:uid="{00000000-0005-0000-0000-00006F100000}"/>
    <cellStyle name="Normal 4 2 10" xfId="2494" xr:uid="{00000000-0005-0000-0000-000070100000}"/>
    <cellStyle name="Normal 4 2 11" xfId="3573" xr:uid="{00000000-0005-0000-0000-000071100000}"/>
    <cellStyle name="Normal 4 2 12" xfId="3366" xr:uid="{00000000-0005-0000-0000-000072100000}"/>
    <cellStyle name="Normal 4 2 13" xfId="4891" xr:uid="{00000000-0005-0000-0000-000073100000}"/>
    <cellStyle name="Normal 4 2 14" xfId="4915" xr:uid="{00000000-0005-0000-0000-000074100000}"/>
    <cellStyle name="Normal 4 2 15" xfId="4969" xr:uid="{00000000-0005-0000-0000-000075100000}"/>
    <cellStyle name="Normal 4 2 16" xfId="5003" xr:uid="{00000000-0005-0000-0000-000076100000}"/>
    <cellStyle name="Normal 4 2 17" xfId="5235" xr:uid="{00000000-0005-0000-0000-000077100000}"/>
    <cellStyle name="Normal 4 2 18" xfId="5263" xr:uid="{00000000-0005-0000-0000-000078100000}"/>
    <cellStyle name="Normal 4 2 19" xfId="5290" xr:uid="{00000000-0005-0000-0000-000079100000}"/>
    <cellStyle name="Normal 4 2 2" xfId="172" xr:uid="{00000000-0005-0000-0000-00007A100000}"/>
    <cellStyle name="Normal 4 2 2 10" xfId="5239" xr:uid="{00000000-0005-0000-0000-00007B100000}"/>
    <cellStyle name="Normal 4 2 2 11" xfId="5267" xr:uid="{00000000-0005-0000-0000-00007C100000}"/>
    <cellStyle name="Normal 4 2 2 12" xfId="5294" xr:uid="{00000000-0005-0000-0000-00007D100000}"/>
    <cellStyle name="Normal 4 2 2 2" xfId="180" xr:uid="{00000000-0005-0000-0000-00007E100000}"/>
    <cellStyle name="Normal 4 2 2 2 2" xfId="2496" xr:uid="{00000000-0005-0000-0000-00007F100000}"/>
    <cellStyle name="Normal 4 2 2 2 3" xfId="4903" xr:uid="{00000000-0005-0000-0000-000080100000}"/>
    <cellStyle name="Normal 4 2 2 2 4" xfId="4927" xr:uid="{00000000-0005-0000-0000-000081100000}"/>
    <cellStyle name="Normal 4 2 2 2 5" xfId="4981" xr:uid="{00000000-0005-0000-0000-000082100000}"/>
    <cellStyle name="Normal 4 2 2 2 6" xfId="5015" xr:uid="{00000000-0005-0000-0000-000083100000}"/>
    <cellStyle name="Normal 4 2 2 2 7" xfId="5247" xr:uid="{00000000-0005-0000-0000-000084100000}"/>
    <cellStyle name="Normal 4 2 2 2 8" xfId="5275" xr:uid="{00000000-0005-0000-0000-000085100000}"/>
    <cellStyle name="Normal 4 2 2 2 9" xfId="5302" xr:uid="{00000000-0005-0000-0000-000086100000}"/>
    <cellStyle name="Normal 4 2 2 3" xfId="3669" xr:uid="{00000000-0005-0000-0000-000087100000}"/>
    <cellStyle name="Normal 4 2 2 4" xfId="3543" xr:uid="{00000000-0005-0000-0000-000088100000}"/>
    <cellStyle name="Normal 4 2 2 5" xfId="2495" xr:uid="{00000000-0005-0000-0000-000089100000}"/>
    <cellStyle name="Normal 4 2 2 6" xfId="4895" xr:uid="{00000000-0005-0000-0000-00008A100000}"/>
    <cellStyle name="Normal 4 2 2 7" xfId="4919" xr:uid="{00000000-0005-0000-0000-00008B100000}"/>
    <cellStyle name="Normal 4 2 2 8" xfId="4973" xr:uid="{00000000-0005-0000-0000-00008C100000}"/>
    <cellStyle name="Normal 4 2 2 9" xfId="5007" xr:uid="{00000000-0005-0000-0000-00008D100000}"/>
    <cellStyle name="Normal 4 2 20" xfId="78" xr:uid="{00000000-0005-0000-0000-00008E100000}"/>
    <cellStyle name="Normal 4 2 3" xfId="176" xr:uid="{00000000-0005-0000-0000-00008F100000}"/>
    <cellStyle name="Normal 4 2 3 10" xfId="5298" xr:uid="{00000000-0005-0000-0000-000090100000}"/>
    <cellStyle name="Normal 4 2 3 2" xfId="2498" xr:uid="{00000000-0005-0000-0000-000091100000}"/>
    <cellStyle name="Normal 4 2 3 3" xfId="2497" xr:uid="{00000000-0005-0000-0000-000092100000}"/>
    <cellStyle name="Normal 4 2 3 4" xfId="4899" xr:uid="{00000000-0005-0000-0000-000093100000}"/>
    <cellStyle name="Normal 4 2 3 5" xfId="4923" xr:uid="{00000000-0005-0000-0000-000094100000}"/>
    <cellStyle name="Normal 4 2 3 6" xfId="4977" xr:uid="{00000000-0005-0000-0000-000095100000}"/>
    <cellStyle name="Normal 4 2 3 7" xfId="5011" xr:uid="{00000000-0005-0000-0000-000096100000}"/>
    <cellStyle name="Normal 4 2 3 8" xfId="5243" xr:uid="{00000000-0005-0000-0000-000097100000}"/>
    <cellStyle name="Normal 4 2 3 9" xfId="5271" xr:uid="{00000000-0005-0000-0000-000098100000}"/>
    <cellStyle name="Normal 4 2 4" xfId="167" xr:uid="{00000000-0005-0000-0000-000099100000}"/>
    <cellStyle name="Normal 4 2 4 2" xfId="2500" xr:uid="{00000000-0005-0000-0000-00009A100000}"/>
    <cellStyle name="Normal 4 2 4 3" xfId="2499" xr:uid="{00000000-0005-0000-0000-00009B100000}"/>
    <cellStyle name="Normal 4 2 5" xfId="2501" xr:uid="{00000000-0005-0000-0000-00009C100000}"/>
    <cellStyle name="Normal 4 2 5 2" xfId="2502" xr:uid="{00000000-0005-0000-0000-00009D100000}"/>
    <cellStyle name="Normal 4 2 6" xfId="2503" xr:uid="{00000000-0005-0000-0000-00009E100000}"/>
    <cellStyle name="Normal 4 2 6 2" xfId="2504" xr:uid="{00000000-0005-0000-0000-00009F100000}"/>
    <cellStyle name="Normal 4 2 7" xfId="2505" xr:uid="{00000000-0005-0000-0000-0000A0100000}"/>
    <cellStyle name="Normal 4 2 7 2" xfId="2506" xr:uid="{00000000-0005-0000-0000-0000A1100000}"/>
    <cellStyle name="Normal 4 2 8" xfId="2507" xr:uid="{00000000-0005-0000-0000-0000A2100000}"/>
    <cellStyle name="Normal 4 2 8 2" xfId="2508" xr:uid="{00000000-0005-0000-0000-0000A3100000}"/>
    <cellStyle name="Normal 4 2 9" xfId="3022" xr:uid="{00000000-0005-0000-0000-0000A4100000}"/>
    <cellStyle name="Normal 4 2_Harlem 116th-117th 11 22 11" xfId="2509" xr:uid="{00000000-0005-0000-0000-0000A5100000}"/>
    <cellStyle name="Normal 4 20" xfId="4944" xr:uid="{00000000-0005-0000-0000-0000A6100000}"/>
    <cellStyle name="Normal 4 21" xfId="4946" xr:uid="{00000000-0005-0000-0000-0000A7100000}"/>
    <cellStyle name="Normal 4 22" xfId="4933" xr:uid="{00000000-0005-0000-0000-0000A8100000}"/>
    <cellStyle name="Normal 4 23" xfId="4945" xr:uid="{00000000-0005-0000-0000-0000A9100000}"/>
    <cellStyle name="Normal 4 24" xfId="4968" xr:uid="{00000000-0005-0000-0000-0000AA100000}"/>
    <cellStyle name="Normal 4 25" xfId="5002" xr:uid="{00000000-0005-0000-0000-0000AB100000}"/>
    <cellStyle name="Normal 4 26" xfId="5234" xr:uid="{00000000-0005-0000-0000-0000AC100000}"/>
    <cellStyle name="Normal 4 27" xfId="5262" xr:uid="{00000000-0005-0000-0000-0000AD100000}"/>
    <cellStyle name="Normal 4 28" xfId="5289" xr:uid="{00000000-0005-0000-0000-0000AE100000}"/>
    <cellStyle name="Normal 4 29" xfId="18" xr:uid="{00000000-0005-0000-0000-0000AF100000}"/>
    <cellStyle name="Normal 4 3" xfId="121" xr:uid="{00000000-0005-0000-0000-0000B0100000}"/>
    <cellStyle name="Normal 4 3 10" xfId="3116" xr:uid="{00000000-0005-0000-0000-0000B1100000}"/>
    <cellStyle name="Normal 4 3 11" xfId="227" xr:uid="{00000000-0005-0000-0000-0000B2100000}"/>
    <cellStyle name="Normal 4 3 12" xfId="4894" xr:uid="{00000000-0005-0000-0000-0000B3100000}"/>
    <cellStyle name="Normal 4 3 13" xfId="4918" xr:uid="{00000000-0005-0000-0000-0000B4100000}"/>
    <cellStyle name="Normal 4 3 14" xfId="4972" xr:uid="{00000000-0005-0000-0000-0000B5100000}"/>
    <cellStyle name="Normal 4 3 15" xfId="5006" xr:uid="{00000000-0005-0000-0000-0000B6100000}"/>
    <cellStyle name="Normal 4 3 16" xfId="5049" xr:uid="{00000000-0005-0000-0000-0000B7100000}"/>
    <cellStyle name="Normal 4 3 17" xfId="5238" xr:uid="{00000000-0005-0000-0000-0000B8100000}"/>
    <cellStyle name="Normal 4 3 18" xfId="5266" xr:uid="{00000000-0005-0000-0000-0000B9100000}"/>
    <cellStyle name="Normal 4 3 19" xfId="5293" xr:uid="{00000000-0005-0000-0000-0000BA100000}"/>
    <cellStyle name="Normal 4 3 2" xfId="137" xr:uid="{00000000-0005-0000-0000-0000BB100000}"/>
    <cellStyle name="Normal 4 3 2 10" xfId="234" xr:uid="{00000000-0005-0000-0000-0000BC100000}"/>
    <cellStyle name="Normal 4 3 2 11" xfId="4902" xr:uid="{00000000-0005-0000-0000-0000BD100000}"/>
    <cellStyle name="Normal 4 3 2 12" xfId="4926" xr:uid="{00000000-0005-0000-0000-0000BE100000}"/>
    <cellStyle name="Normal 4 3 2 13" xfId="4980" xr:uid="{00000000-0005-0000-0000-0000BF100000}"/>
    <cellStyle name="Normal 4 3 2 14" xfId="5014" xr:uid="{00000000-0005-0000-0000-0000C0100000}"/>
    <cellStyle name="Normal 4 3 2 15" xfId="5074" xr:uid="{00000000-0005-0000-0000-0000C1100000}"/>
    <cellStyle name="Normal 4 3 2 16" xfId="5246" xr:uid="{00000000-0005-0000-0000-0000C2100000}"/>
    <cellStyle name="Normal 4 3 2 17" xfId="5274" xr:uid="{00000000-0005-0000-0000-0000C3100000}"/>
    <cellStyle name="Normal 4 3 2 18" xfId="5301" xr:uid="{00000000-0005-0000-0000-0000C4100000}"/>
    <cellStyle name="Normal 4 3 2 2" xfId="179" xr:uid="{00000000-0005-0000-0000-0000C5100000}"/>
    <cellStyle name="Normal 4 3 2 2 2" xfId="3733" xr:uid="{00000000-0005-0000-0000-0000C6100000}"/>
    <cellStyle name="Normal 4 3 2 2 3" xfId="3806" xr:uid="{00000000-0005-0000-0000-0000C7100000}"/>
    <cellStyle name="Normal 4 3 2 2 4" xfId="3892" xr:uid="{00000000-0005-0000-0000-0000C8100000}"/>
    <cellStyle name="Normal 4 3 2 2 5" xfId="3322" xr:uid="{00000000-0005-0000-0000-0000C9100000}"/>
    <cellStyle name="Normal 4 3 2 2 6" xfId="3051" xr:uid="{00000000-0005-0000-0000-0000CA100000}"/>
    <cellStyle name="Normal 4 3 2 3" xfId="2511" xr:uid="{00000000-0005-0000-0000-0000CB100000}"/>
    <cellStyle name="Normal 4 3 2 4" xfId="3079" xr:uid="{00000000-0005-0000-0000-0000CC100000}"/>
    <cellStyle name="Normal 4 3 2 4 2" xfId="3744" xr:uid="{00000000-0005-0000-0000-0000CD100000}"/>
    <cellStyle name="Normal 4 3 2 4 3" xfId="3814" xr:uid="{00000000-0005-0000-0000-0000CE100000}"/>
    <cellStyle name="Normal 4 3 2 4 4" xfId="3901" xr:uid="{00000000-0005-0000-0000-0000CF100000}"/>
    <cellStyle name="Normal 4 3 2 4 5" xfId="3334" xr:uid="{00000000-0005-0000-0000-0000D0100000}"/>
    <cellStyle name="Normal 4 3 2 5" xfId="3599" xr:uid="{00000000-0005-0000-0000-0000D1100000}"/>
    <cellStyle name="Normal 4 3 2 5 2" xfId="3866" xr:uid="{00000000-0005-0000-0000-0000D2100000}"/>
    <cellStyle name="Normal 4 3 2 6" xfId="3553" xr:uid="{00000000-0005-0000-0000-0000D3100000}"/>
    <cellStyle name="Normal 4 3 2 7" xfId="3785" xr:uid="{00000000-0005-0000-0000-0000D4100000}"/>
    <cellStyle name="Normal 4 3 2 8" xfId="3856" xr:uid="{00000000-0005-0000-0000-0000D5100000}"/>
    <cellStyle name="Normal 4 3 2 9" xfId="3118" xr:uid="{00000000-0005-0000-0000-0000D6100000}"/>
    <cellStyle name="Normal 4 3 3" xfId="171" xr:uid="{00000000-0005-0000-0000-0000D7100000}"/>
    <cellStyle name="Normal 4 3 3 2" xfId="3727" xr:uid="{00000000-0005-0000-0000-0000D8100000}"/>
    <cellStyle name="Normal 4 3 3 3" xfId="3804" xr:uid="{00000000-0005-0000-0000-0000D9100000}"/>
    <cellStyle name="Normal 4 3 3 4" xfId="3890" xr:uid="{00000000-0005-0000-0000-0000DA100000}"/>
    <cellStyle name="Normal 4 3 3 5" xfId="3320" xr:uid="{00000000-0005-0000-0000-0000DB100000}"/>
    <cellStyle name="Normal 4 3 3 6" xfId="3040" xr:uid="{00000000-0005-0000-0000-0000DC100000}"/>
    <cellStyle name="Normal 4 3 4" xfId="2510" xr:uid="{00000000-0005-0000-0000-0000DD100000}"/>
    <cellStyle name="Normal 4 3 5" xfId="3075" xr:uid="{00000000-0005-0000-0000-0000DE100000}"/>
    <cellStyle name="Normal 4 3 5 2" xfId="3742" xr:uid="{00000000-0005-0000-0000-0000DF100000}"/>
    <cellStyle name="Normal 4 3 5 3" xfId="3812" xr:uid="{00000000-0005-0000-0000-0000E0100000}"/>
    <cellStyle name="Normal 4 3 5 4" xfId="3898" xr:uid="{00000000-0005-0000-0000-0000E1100000}"/>
    <cellStyle name="Normal 4 3 5 5" xfId="3332" xr:uid="{00000000-0005-0000-0000-0000E2100000}"/>
    <cellStyle name="Normal 4 3 6" xfId="3590" xr:uid="{00000000-0005-0000-0000-0000E3100000}"/>
    <cellStyle name="Normal 4 3 6 2" xfId="3864" xr:uid="{00000000-0005-0000-0000-0000E4100000}"/>
    <cellStyle name="Normal 4 3 7" xfId="3460" xr:uid="{00000000-0005-0000-0000-0000E5100000}"/>
    <cellStyle name="Normal 4 3 8" xfId="3783" xr:uid="{00000000-0005-0000-0000-0000E6100000}"/>
    <cellStyle name="Normal 4 3 9" xfId="3841" xr:uid="{00000000-0005-0000-0000-0000E7100000}"/>
    <cellStyle name="Normal 4 4" xfId="77" xr:uid="{00000000-0005-0000-0000-0000E8100000}"/>
    <cellStyle name="Normal 4 4 10" xfId="5050" xr:uid="{00000000-0005-0000-0000-0000E9100000}"/>
    <cellStyle name="Normal 4 4 11" xfId="5242" xr:uid="{00000000-0005-0000-0000-0000EA100000}"/>
    <cellStyle name="Normal 4 4 12" xfId="5270" xr:uid="{00000000-0005-0000-0000-0000EB100000}"/>
    <cellStyle name="Normal 4 4 13" xfId="5297" xr:uid="{00000000-0005-0000-0000-0000EC100000}"/>
    <cellStyle name="Normal 4 4 2" xfId="175" xr:uid="{00000000-0005-0000-0000-0000ED100000}"/>
    <cellStyle name="Normal 4 4 2 2" xfId="3670" xr:uid="{00000000-0005-0000-0000-0000EE100000}"/>
    <cellStyle name="Normal 4 4 2 3" xfId="3554" xr:uid="{00000000-0005-0000-0000-0000EF100000}"/>
    <cellStyle name="Normal 4 4 2 4" xfId="3857" xr:uid="{00000000-0005-0000-0000-0000F0100000}"/>
    <cellStyle name="Normal 4 4 2 5" xfId="2512" xr:uid="{00000000-0005-0000-0000-0000F1100000}"/>
    <cellStyle name="Normal 4 4 2 6" xfId="5075" xr:uid="{00000000-0005-0000-0000-0000F2100000}"/>
    <cellStyle name="Normal 4 4 3" xfId="3572" xr:uid="{00000000-0005-0000-0000-0000F3100000}"/>
    <cellStyle name="Normal 4 4 4" xfId="3461" xr:uid="{00000000-0005-0000-0000-0000F4100000}"/>
    <cellStyle name="Normal 4 4 5" xfId="3842" xr:uid="{00000000-0005-0000-0000-0000F5100000}"/>
    <cellStyle name="Normal 4 4 6" xfId="4898" xr:uid="{00000000-0005-0000-0000-0000F6100000}"/>
    <cellStyle name="Normal 4 4 7" xfId="4922" xr:uid="{00000000-0005-0000-0000-0000F7100000}"/>
    <cellStyle name="Normal 4 4 8" xfId="4976" xr:uid="{00000000-0005-0000-0000-0000F8100000}"/>
    <cellStyle name="Normal 4 4 9" xfId="5010" xr:uid="{00000000-0005-0000-0000-0000F9100000}"/>
    <cellStyle name="Normal 4 5" xfId="166" xr:uid="{00000000-0005-0000-0000-0000FA100000}"/>
    <cellStyle name="Normal 4 5 2" xfId="2514" xr:uid="{00000000-0005-0000-0000-0000FB100000}"/>
    <cellStyle name="Normal 4 5 2 2" xfId="3672" xr:uid="{00000000-0005-0000-0000-0000FC100000}"/>
    <cellStyle name="Normal 4 5 2 3" xfId="3555" xr:uid="{00000000-0005-0000-0000-0000FD100000}"/>
    <cellStyle name="Normal 4 5 2 4" xfId="3858" xr:uid="{00000000-0005-0000-0000-0000FE100000}"/>
    <cellStyle name="Normal 4 5 2 5" xfId="5076" xr:uid="{00000000-0005-0000-0000-0000FF100000}"/>
    <cellStyle name="Normal 4 5 3" xfId="3671" xr:uid="{00000000-0005-0000-0000-000000110000}"/>
    <cellStyle name="Normal 4 5 4" xfId="3462" xr:uid="{00000000-0005-0000-0000-000001110000}"/>
    <cellStyle name="Normal 4 5 5" xfId="3843" xr:uid="{00000000-0005-0000-0000-000002110000}"/>
    <cellStyle name="Normal 4 5 6" xfId="2513" xr:uid="{00000000-0005-0000-0000-000003110000}"/>
    <cellStyle name="Normal 4 5 7" xfId="5051" xr:uid="{00000000-0005-0000-0000-000004110000}"/>
    <cellStyle name="Normal 4 6" xfId="2515" xr:uid="{00000000-0005-0000-0000-000005110000}"/>
    <cellStyle name="Normal 4 6 2" xfId="2516" xr:uid="{00000000-0005-0000-0000-000006110000}"/>
    <cellStyle name="Normal 4 6 2 2" xfId="3674" xr:uid="{00000000-0005-0000-0000-000007110000}"/>
    <cellStyle name="Normal 4 6 2 3" xfId="3556" xr:uid="{00000000-0005-0000-0000-000008110000}"/>
    <cellStyle name="Normal 4 6 2 4" xfId="3859" xr:uid="{00000000-0005-0000-0000-000009110000}"/>
    <cellStyle name="Normal 4 6 2 5" xfId="5077" xr:uid="{00000000-0005-0000-0000-00000A110000}"/>
    <cellStyle name="Normal 4 6 3" xfId="3673" xr:uid="{00000000-0005-0000-0000-00000B110000}"/>
    <cellStyle name="Normal 4 6 4" xfId="3463" xr:uid="{00000000-0005-0000-0000-00000C110000}"/>
    <cellStyle name="Normal 4 6 5" xfId="3844" xr:uid="{00000000-0005-0000-0000-00000D110000}"/>
    <cellStyle name="Normal 4 6 6" xfId="5052" xr:uid="{00000000-0005-0000-0000-00000E110000}"/>
    <cellStyle name="Normal 4 7" xfId="2517" xr:uid="{00000000-0005-0000-0000-00000F110000}"/>
    <cellStyle name="Normal 4 7 2" xfId="2518" xr:uid="{00000000-0005-0000-0000-000010110000}"/>
    <cellStyle name="Normal 4 7 2 2" xfId="3676" xr:uid="{00000000-0005-0000-0000-000011110000}"/>
    <cellStyle name="Normal 4 7 2 3" xfId="3557" xr:uid="{00000000-0005-0000-0000-000012110000}"/>
    <cellStyle name="Normal 4 7 2 4" xfId="3860" xr:uid="{00000000-0005-0000-0000-000013110000}"/>
    <cellStyle name="Normal 4 7 2 5" xfId="5078" xr:uid="{00000000-0005-0000-0000-000014110000}"/>
    <cellStyle name="Normal 4 7 3" xfId="3675" xr:uid="{00000000-0005-0000-0000-000015110000}"/>
    <cellStyle name="Normal 4 7 4" xfId="3464" xr:uid="{00000000-0005-0000-0000-000016110000}"/>
    <cellStyle name="Normal 4 7 5" xfId="3845" xr:uid="{00000000-0005-0000-0000-000017110000}"/>
    <cellStyle name="Normal 4 7 6" xfId="5053" xr:uid="{00000000-0005-0000-0000-000018110000}"/>
    <cellStyle name="Normal 4 8" xfId="2519" xr:uid="{00000000-0005-0000-0000-000019110000}"/>
    <cellStyle name="Normal 4 8 2" xfId="3677" xr:uid="{00000000-0005-0000-0000-00001A110000}"/>
    <cellStyle name="Normal 4 8 3" xfId="3535" xr:uid="{00000000-0005-0000-0000-00001B110000}"/>
    <cellStyle name="Normal 4 8 4" xfId="4603" xr:uid="{00000000-0005-0000-0000-00001C110000}"/>
    <cellStyle name="Normal 4 9" xfId="2520" xr:uid="{00000000-0005-0000-0000-00001D110000}"/>
    <cellStyle name="Normal 4 9 2" xfId="4605" xr:uid="{00000000-0005-0000-0000-00001E110000}"/>
    <cellStyle name="Normal 4 9 3" xfId="4604" xr:uid="{00000000-0005-0000-0000-00001F110000}"/>
    <cellStyle name="Normal 4_88 Richardson 80-20 1-31-12 Invest Memo" xfId="2521" xr:uid="{00000000-0005-0000-0000-000020110000}"/>
    <cellStyle name="Normal 40" xfId="240" xr:uid="{00000000-0005-0000-0000-000021110000}"/>
    <cellStyle name="Normal 40 2" xfId="4606" xr:uid="{00000000-0005-0000-0000-000022110000}"/>
    <cellStyle name="Normal 40 2 2" xfId="5510" xr:uid="{00000000-0005-0000-0000-000023110000}"/>
    <cellStyle name="Normal 40 3" xfId="5384" xr:uid="{00000000-0005-0000-0000-000024110000}"/>
    <cellStyle name="Normal 41" xfId="3058" xr:uid="{00000000-0005-0000-0000-000025110000}"/>
    <cellStyle name="Normal 41 2" xfId="4607" xr:uid="{00000000-0005-0000-0000-000026110000}"/>
    <cellStyle name="Normal 41 3" xfId="5513" xr:uid="{00000000-0005-0000-0000-000027110000}"/>
    <cellStyle name="Normal 42" xfId="3071" xr:uid="{00000000-0005-0000-0000-000028110000}"/>
    <cellStyle name="Normal 42 2" xfId="4608" xr:uid="{00000000-0005-0000-0000-000029110000}"/>
    <cellStyle name="Normal 42 3" xfId="5515" xr:uid="{00000000-0005-0000-0000-00002A110000}"/>
    <cellStyle name="Normal 43" xfId="3063" xr:uid="{00000000-0005-0000-0000-00002B110000}"/>
    <cellStyle name="Normal 43 2" xfId="4609" xr:uid="{00000000-0005-0000-0000-00002C110000}"/>
    <cellStyle name="Normal 43 3" xfId="5609" xr:uid="{00000000-0005-0000-0000-00002D110000}"/>
    <cellStyle name="Normal 44" xfId="3098" xr:uid="{00000000-0005-0000-0000-00002E110000}"/>
    <cellStyle name="Normal 44 2" xfId="3757" xr:uid="{00000000-0005-0000-0000-00002F110000}"/>
    <cellStyle name="Normal 44 2 2" xfId="3912" xr:uid="{00000000-0005-0000-0000-000030110000}"/>
    <cellStyle name="Normal 44 3" xfId="3465" xr:uid="{00000000-0005-0000-0000-000031110000}"/>
    <cellStyle name="Normal 44 4" xfId="3826" xr:uid="{00000000-0005-0000-0000-000032110000}"/>
    <cellStyle name="Normal 44 5" xfId="3347" xr:uid="{00000000-0005-0000-0000-000033110000}"/>
    <cellStyle name="Normal 44 6" xfId="4610" xr:uid="{00000000-0005-0000-0000-000034110000}"/>
    <cellStyle name="Normal 45" xfId="3099" xr:uid="{00000000-0005-0000-0000-000035110000}"/>
    <cellStyle name="Normal 45 2" xfId="3758" xr:uid="{00000000-0005-0000-0000-000036110000}"/>
    <cellStyle name="Normal 45 2 2" xfId="3913" xr:uid="{00000000-0005-0000-0000-000037110000}"/>
    <cellStyle name="Normal 45 3" xfId="3466" xr:uid="{00000000-0005-0000-0000-000038110000}"/>
    <cellStyle name="Normal 45 4" xfId="3827" xr:uid="{00000000-0005-0000-0000-000039110000}"/>
    <cellStyle name="Normal 45 5" xfId="3348" xr:uid="{00000000-0005-0000-0000-00003A110000}"/>
    <cellStyle name="Normal 45 6" xfId="4611" xr:uid="{00000000-0005-0000-0000-00003B110000}"/>
    <cellStyle name="Normal 46" xfId="3100" xr:uid="{00000000-0005-0000-0000-00003C110000}"/>
    <cellStyle name="Normal 46 2" xfId="3759" xr:uid="{00000000-0005-0000-0000-00003D110000}"/>
    <cellStyle name="Normal 46 2 2" xfId="3914" xr:uid="{00000000-0005-0000-0000-00003E110000}"/>
    <cellStyle name="Normal 46 3" xfId="3467" xr:uid="{00000000-0005-0000-0000-00003F110000}"/>
    <cellStyle name="Normal 46 4" xfId="3828" xr:uid="{00000000-0005-0000-0000-000040110000}"/>
    <cellStyle name="Normal 46 5" xfId="3349" xr:uid="{00000000-0005-0000-0000-000041110000}"/>
    <cellStyle name="Normal 46 6" xfId="4612" xr:uid="{00000000-0005-0000-0000-000042110000}"/>
    <cellStyle name="Normal 47" xfId="3468" xr:uid="{00000000-0005-0000-0000-000043110000}"/>
    <cellStyle name="Normal 47 2" xfId="4613" xr:uid="{00000000-0005-0000-0000-000044110000}"/>
    <cellStyle name="Normal 47 3" xfId="5665" xr:uid="{00000000-0005-0000-0000-000045110000}"/>
    <cellStyle name="Normal 48" xfId="3469" xr:uid="{00000000-0005-0000-0000-000046110000}"/>
    <cellStyle name="Normal 48 2" xfId="4614" xr:uid="{00000000-0005-0000-0000-000047110000}"/>
    <cellStyle name="Normal 48 3" xfId="5666" xr:uid="{00000000-0005-0000-0000-000048110000}"/>
    <cellStyle name="Normal 49" xfId="3470" xr:uid="{00000000-0005-0000-0000-000049110000}"/>
    <cellStyle name="Normal 49 2" xfId="4615" xr:uid="{00000000-0005-0000-0000-00004A110000}"/>
    <cellStyle name="Normal 49 3" xfId="5667" xr:uid="{00000000-0005-0000-0000-00004B110000}"/>
    <cellStyle name="Normal 5" xfId="31" xr:uid="{00000000-0005-0000-0000-00004C110000}"/>
    <cellStyle name="Normal 5 10" xfId="2522" xr:uid="{00000000-0005-0000-0000-00004D110000}"/>
    <cellStyle name="Normal 5 11" xfId="4892" xr:uid="{00000000-0005-0000-0000-00004E110000}"/>
    <cellStyle name="Normal 5 12" xfId="4916" xr:uid="{00000000-0005-0000-0000-00004F110000}"/>
    <cellStyle name="Normal 5 13" xfId="4970" xr:uid="{00000000-0005-0000-0000-000050110000}"/>
    <cellStyle name="Normal 5 14" xfId="5004" xr:uid="{00000000-0005-0000-0000-000051110000}"/>
    <cellStyle name="Normal 5 15" xfId="5236" xr:uid="{00000000-0005-0000-0000-000052110000}"/>
    <cellStyle name="Normal 5 16" xfId="5264" xr:uid="{00000000-0005-0000-0000-000053110000}"/>
    <cellStyle name="Normal 5 17" xfId="5291" xr:uid="{00000000-0005-0000-0000-000054110000}"/>
    <cellStyle name="Normal 5 2" xfId="79" xr:uid="{00000000-0005-0000-0000-000055110000}"/>
    <cellStyle name="Normal 5 2 10" xfId="5240" xr:uid="{00000000-0005-0000-0000-000056110000}"/>
    <cellStyle name="Normal 5 2 11" xfId="5268" xr:uid="{00000000-0005-0000-0000-000057110000}"/>
    <cellStyle name="Normal 5 2 12" xfId="5295" xr:uid="{00000000-0005-0000-0000-000058110000}"/>
    <cellStyle name="Normal 5 2 13" xfId="5668" xr:uid="{00000000-0005-0000-0000-000059110000}"/>
    <cellStyle name="Normal 5 2 2" xfId="181" xr:uid="{00000000-0005-0000-0000-00005A110000}"/>
    <cellStyle name="Normal 5 2 2 10" xfId="5276" xr:uid="{00000000-0005-0000-0000-00005B110000}"/>
    <cellStyle name="Normal 5 2 2 11" xfId="5303" xr:uid="{00000000-0005-0000-0000-00005C110000}"/>
    <cellStyle name="Normal 5 2 2 2" xfId="3723" xr:uid="{00000000-0005-0000-0000-00005D110000}"/>
    <cellStyle name="Normal 5 2 2 2 2" xfId="4851" xr:uid="{00000000-0005-0000-0000-00005E110000}"/>
    <cellStyle name="Normal 5 2 2 3" xfId="3544" xr:uid="{00000000-0005-0000-0000-00005F110000}"/>
    <cellStyle name="Normal 5 2 2 4" xfId="3023" xr:uid="{00000000-0005-0000-0000-000060110000}"/>
    <cellStyle name="Normal 5 2 2 5" xfId="4904" xr:uid="{00000000-0005-0000-0000-000061110000}"/>
    <cellStyle name="Normal 5 2 2 6" xfId="4928" xr:uid="{00000000-0005-0000-0000-000062110000}"/>
    <cellStyle name="Normal 5 2 2 7" xfId="4982" xr:uid="{00000000-0005-0000-0000-000063110000}"/>
    <cellStyle name="Normal 5 2 2 8" xfId="5016" xr:uid="{00000000-0005-0000-0000-000064110000}"/>
    <cellStyle name="Normal 5 2 2 9" xfId="5248" xr:uid="{00000000-0005-0000-0000-000065110000}"/>
    <cellStyle name="Normal 5 2 3" xfId="173" xr:uid="{00000000-0005-0000-0000-000066110000}"/>
    <cellStyle name="Normal 5 2 3 2" xfId="2523" xr:uid="{00000000-0005-0000-0000-000067110000}"/>
    <cellStyle name="Normal 5 2 3 3" xfId="4616" xr:uid="{00000000-0005-0000-0000-000068110000}"/>
    <cellStyle name="Normal 5 2 4" xfId="3574" xr:uid="{00000000-0005-0000-0000-000069110000}"/>
    <cellStyle name="Normal 5 2 4 2" xfId="4850" xr:uid="{00000000-0005-0000-0000-00006A110000}"/>
    <cellStyle name="Normal 5 2 5" xfId="3367" xr:uid="{00000000-0005-0000-0000-00006B110000}"/>
    <cellStyle name="Normal 5 2 6" xfId="4896" xr:uid="{00000000-0005-0000-0000-00006C110000}"/>
    <cellStyle name="Normal 5 2 7" xfId="4920" xr:uid="{00000000-0005-0000-0000-00006D110000}"/>
    <cellStyle name="Normal 5 2 8" xfId="4974" xr:uid="{00000000-0005-0000-0000-00006E110000}"/>
    <cellStyle name="Normal 5 2 9" xfId="5008" xr:uid="{00000000-0005-0000-0000-00006F110000}"/>
    <cellStyle name="Normal 5 3" xfId="177" xr:uid="{00000000-0005-0000-0000-000070110000}"/>
    <cellStyle name="Normal 5 3 10" xfId="5299" xr:uid="{00000000-0005-0000-0000-000071110000}"/>
    <cellStyle name="Normal 5 3 2" xfId="2524" xr:uid="{00000000-0005-0000-0000-000072110000}"/>
    <cellStyle name="Normal 5 3 2 2" xfId="5670" xr:uid="{00000000-0005-0000-0000-000073110000}"/>
    <cellStyle name="Normal 5 3 2 3" xfId="5669" xr:uid="{00000000-0005-0000-0000-000074110000}"/>
    <cellStyle name="Normal 5 3 3" xfId="4617" xr:uid="{00000000-0005-0000-0000-000075110000}"/>
    <cellStyle name="Normal 5 3 3 2" xfId="5671" xr:uid="{00000000-0005-0000-0000-000076110000}"/>
    <cellStyle name="Normal 5 3 4" xfId="4900" xr:uid="{00000000-0005-0000-0000-000077110000}"/>
    <cellStyle name="Normal 5 3 5" xfId="4924" xr:uid="{00000000-0005-0000-0000-000078110000}"/>
    <cellStyle name="Normal 5 3 6" xfId="4978" xr:uid="{00000000-0005-0000-0000-000079110000}"/>
    <cellStyle name="Normal 5 3 7" xfId="5012" xr:uid="{00000000-0005-0000-0000-00007A110000}"/>
    <cellStyle name="Normal 5 3 8" xfId="5244" xr:uid="{00000000-0005-0000-0000-00007B110000}"/>
    <cellStyle name="Normal 5 3 9" xfId="5272" xr:uid="{00000000-0005-0000-0000-00007C110000}"/>
    <cellStyle name="Normal 5 4" xfId="168" xr:uid="{00000000-0005-0000-0000-00007D110000}"/>
    <cellStyle name="Normal 5 4 2" xfId="3558" xr:uid="{00000000-0005-0000-0000-00007E110000}"/>
    <cellStyle name="Normal 5 4 2 2" xfId="3861" xr:uid="{00000000-0005-0000-0000-00007F110000}"/>
    <cellStyle name="Normal 5 4 2 3" xfId="4619" xr:uid="{00000000-0005-0000-0000-000080110000}"/>
    <cellStyle name="Normal 5 4 2 4" xfId="5080" xr:uid="{00000000-0005-0000-0000-000081110000}"/>
    <cellStyle name="Normal 5 4 3" xfId="3678" xr:uid="{00000000-0005-0000-0000-000082110000}"/>
    <cellStyle name="Normal 5 4 4" xfId="3471" xr:uid="{00000000-0005-0000-0000-000083110000}"/>
    <cellStyle name="Normal 5 4 5" xfId="3846" xr:uid="{00000000-0005-0000-0000-000084110000}"/>
    <cellStyle name="Normal 5 4 6" xfId="2525" xr:uid="{00000000-0005-0000-0000-000085110000}"/>
    <cellStyle name="Normal 5 4 7" xfId="4618" xr:uid="{00000000-0005-0000-0000-000086110000}"/>
    <cellStyle name="Normal 5 4 8" xfId="5054" xr:uid="{00000000-0005-0000-0000-000087110000}"/>
    <cellStyle name="Normal 5 5" xfId="2526" xr:uid="{00000000-0005-0000-0000-000088110000}"/>
    <cellStyle name="Normal 5 5 2" xfId="3679" xr:uid="{00000000-0005-0000-0000-000089110000}"/>
    <cellStyle name="Normal 5 5 2 2" xfId="4621" xr:uid="{00000000-0005-0000-0000-00008A110000}"/>
    <cellStyle name="Normal 5 5 3" xfId="3537" xr:uid="{00000000-0005-0000-0000-00008B110000}"/>
    <cellStyle name="Normal 5 5 4" xfId="4620" xr:uid="{00000000-0005-0000-0000-00008C110000}"/>
    <cellStyle name="Normal 5 5 5" xfId="5356" xr:uid="{00000000-0005-0000-0000-00008D110000}"/>
    <cellStyle name="Normal 5 6" xfId="2527" xr:uid="{00000000-0005-0000-0000-00008E110000}"/>
    <cellStyle name="Normal 5 6 2" xfId="4622" xr:uid="{00000000-0005-0000-0000-00008F110000}"/>
    <cellStyle name="Normal 5 7" xfId="2528" xr:uid="{00000000-0005-0000-0000-000090110000}"/>
    <cellStyle name="Normal 5 7 2" xfId="4623" xr:uid="{00000000-0005-0000-0000-000091110000}"/>
    <cellStyle name="Normal 5 8" xfId="2529" xr:uid="{00000000-0005-0000-0000-000092110000}"/>
    <cellStyle name="Normal 5 8 2" xfId="4849" xr:uid="{00000000-0005-0000-0000-000093110000}"/>
    <cellStyle name="Normal 5 9" xfId="2530" xr:uid="{00000000-0005-0000-0000-000094110000}"/>
    <cellStyle name="Normal 5_120403-Utica-3rd Flr Gym" xfId="2531" xr:uid="{00000000-0005-0000-0000-000095110000}"/>
    <cellStyle name="Normal 50" xfId="3472" xr:uid="{00000000-0005-0000-0000-000096110000}"/>
    <cellStyle name="Normal 50 2" xfId="4624" xr:uid="{00000000-0005-0000-0000-000097110000}"/>
    <cellStyle name="Normal 50 3" xfId="5664" xr:uid="{00000000-0005-0000-0000-000098110000}"/>
    <cellStyle name="Normal 51" xfId="3473" xr:uid="{00000000-0005-0000-0000-000099110000}"/>
    <cellStyle name="Normal 51 2" xfId="4625" xr:uid="{00000000-0005-0000-0000-00009A110000}"/>
    <cellStyle name="Normal 51 3" xfId="5789" xr:uid="{00000000-0005-0000-0000-00009B110000}"/>
    <cellStyle name="Normal 52" xfId="3474" xr:uid="{00000000-0005-0000-0000-00009C110000}"/>
    <cellStyle name="Normal 52 2" xfId="4626" xr:uid="{00000000-0005-0000-0000-00009D110000}"/>
    <cellStyle name="Normal 53" xfId="3475" xr:uid="{00000000-0005-0000-0000-00009E110000}"/>
    <cellStyle name="Normal 53 2" xfId="4627" xr:uid="{00000000-0005-0000-0000-00009F110000}"/>
    <cellStyle name="Normal 54" xfId="6" xr:uid="{00000000-0005-0000-0000-0000A0110000}"/>
    <cellStyle name="Normal 54 2" xfId="4628" xr:uid="{00000000-0005-0000-0000-0000A1110000}"/>
    <cellStyle name="Normal 54 3" xfId="3476" xr:uid="{00000000-0005-0000-0000-0000A2110000}"/>
    <cellStyle name="Normal 55" xfId="3477" xr:uid="{00000000-0005-0000-0000-0000A3110000}"/>
    <cellStyle name="Normal 55 2" xfId="4629" xr:uid="{00000000-0005-0000-0000-0000A4110000}"/>
    <cellStyle name="Normal 56" xfId="3478" xr:uid="{00000000-0005-0000-0000-0000A5110000}"/>
    <cellStyle name="Normal 56 2" xfId="4630" xr:uid="{00000000-0005-0000-0000-0000A6110000}"/>
    <cellStyle name="Normal 57" xfId="3479" xr:uid="{00000000-0005-0000-0000-0000A7110000}"/>
    <cellStyle name="Normal 57 2" xfId="4631" xr:uid="{00000000-0005-0000-0000-0000A8110000}"/>
    <cellStyle name="Normal 58" xfId="3480" xr:uid="{00000000-0005-0000-0000-0000A9110000}"/>
    <cellStyle name="Normal 58 2" xfId="4632" xr:uid="{00000000-0005-0000-0000-0000AA110000}"/>
    <cellStyle name="Normal 59" xfId="3481" xr:uid="{00000000-0005-0000-0000-0000AB110000}"/>
    <cellStyle name="Normal 59 2" xfId="4633" xr:uid="{00000000-0005-0000-0000-0000AC110000}"/>
    <cellStyle name="Normal 6" xfId="80" xr:uid="{00000000-0005-0000-0000-0000AD110000}"/>
    <cellStyle name="Normal 6 2" xfId="170" xr:uid="{00000000-0005-0000-0000-0000AE110000}"/>
    <cellStyle name="Normal 6 2 2" xfId="3724" xr:uid="{00000000-0005-0000-0000-0000AF110000}"/>
    <cellStyle name="Normal 6 2 2 2" xfId="4636" xr:uid="{00000000-0005-0000-0000-0000B0110000}"/>
    <cellStyle name="Normal 6 2 2 2 2" xfId="5672" xr:uid="{00000000-0005-0000-0000-0000B1110000}"/>
    <cellStyle name="Normal 6 2 2 3" xfId="4637" xr:uid="{00000000-0005-0000-0000-0000B2110000}"/>
    <cellStyle name="Normal 6 2 2 4" xfId="4635" xr:uid="{00000000-0005-0000-0000-0000B3110000}"/>
    <cellStyle name="Normal 6 2 3" xfId="3546" xr:uid="{00000000-0005-0000-0000-0000B4110000}"/>
    <cellStyle name="Normal 6 2 3 2" xfId="5673" xr:uid="{00000000-0005-0000-0000-0000B5110000}"/>
    <cellStyle name="Normal 6 2 4" xfId="3024" xr:uid="{00000000-0005-0000-0000-0000B6110000}"/>
    <cellStyle name="Normal 6 2 5" xfId="4634" xr:uid="{00000000-0005-0000-0000-0000B7110000}"/>
    <cellStyle name="Normal 6 3" xfId="2532" xr:uid="{00000000-0005-0000-0000-0000B8110000}"/>
    <cellStyle name="Normal 6 3 2" xfId="4639" xr:uid="{00000000-0005-0000-0000-0000B9110000}"/>
    <cellStyle name="Normal 6 3 3" xfId="4638" xr:uid="{00000000-0005-0000-0000-0000BA110000}"/>
    <cellStyle name="Normal 6 3 4" xfId="5098" xr:uid="{00000000-0005-0000-0000-0000BB110000}"/>
    <cellStyle name="Normal 6 4" xfId="3575" xr:uid="{00000000-0005-0000-0000-0000BC110000}"/>
    <cellStyle name="Normal 6 4 2" xfId="4641" xr:uid="{00000000-0005-0000-0000-0000BD110000}"/>
    <cellStyle name="Normal 6 4 3" xfId="4640" xr:uid="{00000000-0005-0000-0000-0000BE110000}"/>
    <cellStyle name="Normal 6 4 4" xfId="5447" xr:uid="{00000000-0005-0000-0000-0000BF110000}"/>
    <cellStyle name="Normal 6 5" xfId="3372" xr:uid="{00000000-0005-0000-0000-0000C0110000}"/>
    <cellStyle name="Normal 6 6" xfId="4642" xr:uid="{00000000-0005-0000-0000-0000C1110000}"/>
    <cellStyle name="Normal 6_NOI" xfId="4643" xr:uid="{00000000-0005-0000-0000-0000C2110000}"/>
    <cellStyle name="Normal 60" xfId="3482" xr:uid="{00000000-0005-0000-0000-0000C3110000}"/>
    <cellStyle name="Normal 60 2" xfId="4644" xr:uid="{00000000-0005-0000-0000-0000C4110000}"/>
    <cellStyle name="Normal 61" xfId="3483" xr:uid="{00000000-0005-0000-0000-0000C5110000}"/>
    <cellStyle name="Normal 61 2" xfId="4645" xr:uid="{00000000-0005-0000-0000-0000C6110000}"/>
    <cellStyle name="Normal 62" xfId="3484" xr:uid="{00000000-0005-0000-0000-0000C7110000}"/>
    <cellStyle name="Normal 62 2" xfId="4646" xr:uid="{00000000-0005-0000-0000-0000C8110000}"/>
    <cellStyle name="Normal 63" xfId="3485" xr:uid="{00000000-0005-0000-0000-0000C9110000}"/>
    <cellStyle name="Normal 63 2" xfId="4647" xr:uid="{00000000-0005-0000-0000-0000CA110000}"/>
    <cellStyle name="Normal 64" xfId="3486" xr:uid="{00000000-0005-0000-0000-0000CB110000}"/>
    <cellStyle name="Normal 64 2" xfId="4648" xr:uid="{00000000-0005-0000-0000-0000CC110000}"/>
    <cellStyle name="Normal 65" xfId="3487" xr:uid="{00000000-0005-0000-0000-0000CD110000}"/>
    <cellStyle name="Normal 65 2" xfId="4649" xr:uid="{00000000-0005-0000-0000-0000CE110000}"/>
    <cellStyle name="Normal 66" xfId="3488" xr:uid="{00000000-0005-0000-0000-0000CF110000}"/>
    <cellStyle name="Normal 66 2" xfId="4650" xr:uid="{00000000-0005-0000-0000-0000D0110000}"/>
    <cellStyle name="Normal 67" xfId="3489" xr:uid="{00000000-0005-0000-0000-0000D1110000}"/>
    <cellStyle name="Normal 67 2" xfId="4651" xr:uid="{00000000-0005-0000-0000-0000D2110000}"/>
    <cellStyle name="Normal 68" xfId="3490" xr:uid="{00000000-0005-0000-0000-0000D3110000}"/>
    <cellStyle name="Normal 68 2" xfId="4652" xr:uid="{00000000-0005-0000-0000-0000D4110000}"/>
    <cellStyle name="Normal 69" xfId="3491" xr:uid="{00000000-0005-0000-0000-0000D5110000}"/>
    <cellStyle name="Normal 69 2" xfId="4653" xr:uid="{00000000-0005-0000-0000-0000D6110000}"/>
    <cellStyle name="Normal 7" xfId="81" xr:uid="{00000000-0005-0000-0000-0000D7110000}"/>
    <cellStyle name="Normal 7 10" xfId="2533" xr:uid="{00000000-0005-0000-0000-0000D8110000}"/>
    <cellStyle name="Normal 7 11" xfId="3576" xr:uid="{00000000-0005-0000-0000-0000D9110000}"/>
    <cellStyle name="Normal 7 12" xfId="3492" xr:uid="{00000000-0005-0000-0000-0000DA110000}"/>
    <cellStyle name="Normal 7 13" xfId="4906" xr:uid="{00000000-0005-0000-0000-0000DB110000}"/>
    <cellStyle name="Normal 7 14" xfId="4930" xr:uid="{00000000-0005-0000-0000-0000DC110000}"/>
    <cellStyle name="Normal 7 15" xfId="4984" xr:uid="{00000000-0005-0000-0000-0000DD110000}"/>
    <cellStyle name="Normal 7 16" xfId="5018" xr:uid="{00000000-0005-0000-0000-0000DE110000}"/>
    <cellStyle name="Normal 7 17" xfId="5250" xr:uid="{00000000-0005-0000-0000-0000DF110000}"/>
    <cellStyle name="Normal 7 18" xfId="5278" xr:uid="{00000000-0005-0000-0000-0000E0110000}"/>
    <cellStyle name="Normal 7 19" xfId="5305" xr:uid="{00000000-0005-0000-0000-0000E1110000}"/>
    <cellStyle name="Normal 7 2" xfId="82" xr:uid="{00000000-0005-0000-0000-0000E2110000}"/>
    <cellStyle name="Normal 7 2 2" xfId="2535" xr:uid="{00000000-0005-0000-0000-0000E3110000}"/>
    <cellStyle name="Normal 7 2 2 2" xfId="4654" xr:uid="{00000000-0005-0000-0000-0000E4110000}"/>
    <cellStyle name="Normal 7 2 3" xfId="3026" xr:uid="{00000000-0005-0000-0000-0000E5110000}"/>
    <cellStyle name="Normal 7 2 4" xfId="2534" xr:uid="{00000000-0005-0000-0000-0000E6110000}"/>
    <cellStyle name="Normal 7 3" xfId="165" xr:uid="{00000000-0005-0000-0000-0000E7110000}"/>
    <cellStyle name="Normal 7 3 2" xfId="2537" xr:uid="{00000000-0005-0000-0000-0000E8110000}"/>
    <cellStyle name="Normal 7 3 3" xfId="2536" xr:uid="{00000000-0005-0000-0000-0000E9110000}"/>
    <cellStyle name="Normal 7 3 4" xfId="4655" xr:uid="{00000000-0005-0000-0000-0000EA110000}"/>
    <cellStyle name="Normal 7 4" xfId="2538" xr:uid="{00000000-0005-0000-0000-0000EB110000}"/>
    <cellStyle name="Normal 7 4 2" xfId="2539" xr:uid="{00000000-0005-0000-0000-0000EC110000}"/>
    <cellStyle name="Normal 7 5" xfId="2540" xr:uid="{00000000-0005-0000-0000-0000ED110000}"/>
    <cellStyle name="Normal 7 5 2" xfId="2541" xr:uid="{00000000-0005-0000-0000-0000EE110000}"/>
    <cellStyle name="Normal 7 5 3" xfId="4656" xr:uid="{00000000-0005-0000-0000-0000EF110000}"/>
    <cellStyle name="Normal 7 6" xfId="2542" xr:uid="{00000000-0005-0000-0000-0000F0110000}"/>
    <cellStyle name="Normal 7 6 2" xfId="2543" xr:uid="{00000000-0005-0000-0000-0000F1110000}"/>
    <cellStyle name="Normal 7 7" xfId="2544" xr:uid="{00000000-0005-0000-0000-0000F2110000}"/>
    <cellStyle name="Normal 7 7 2" xfId="2545" xr:uid="{00000000-0005-0000-0000-0000F3110000}"/>
    <cellStyle name="Normal 7 8" xfId="2546" xr:uid="{00000000-0005-0000-0000-0000F4110000}"/>
    <cellStyle name="Normal 7 8 2" xfId="2547" xr:uid="{00000000-0005-0000-0000-0000F5110000}"/>
    <cellStyle name="Normal 7 9" xfId="3025" xr:uid="{00000000-0005-0000-0000-0000F6110000}"/>
    <cellStyle name="Normal 7_88 Richardson 80-20 1-31-12 Invest Memo" xfId="2548" xr:uid="{00000000-0005-0000-0000-0000F7110000}"/>
    <cellStyle name="Normal 70" xfId="3493" xr:uid="{00000000-0005-0000-0000-0000F8110000}"/>
    <cellStyle name="Normal 70 2" xfId="4657" xr:uid="{00000000-0005-0000-0000-0000F9110000}"/>
    <cellStyle name="Normal 71" xfId="3494" xr:uid="{00000000-0005-0000-0000-0000FA110000}"/>
    <cellStyle name="Normal 71 2" xfId="4658" xr:uid="{00000000-0005-0000-0000-0000FB110000}"/>
    <cellStyle name="Normal 72" xfId="3495" xr:uid="{00000000-0005-0000-0000-0000FC110000}"/>
    <cellStyle name="Normal 72 2" xfId="4659" xr:uid="{00000000-0005-0000-0000-0000FD110000}"/>
    <cellStyle name="Normal 73" xfId="3496" xr:uid="{00000000-0005-0000-0000-0000FE110000}"/>
    <cellStyle name="Normal 73 2" xfId="4660" xr:uid="{00000000-0005-0000-0000-0000FF110000}"/>
    <cellStyle name="Normal 74" xfId="3497" xr:uid="{00000000-0005-0000-0000-000000120000}"/>
    <cellStyle name="Normal 74 2" xfId="4661" xr:uid="{00000000-0005-0000-0000-000001120000}"/>
    <cellStyle name="Normal 75" xfId="3498" xr:uid="{00000000-0005-0000-0000-000002120000}"/>
    <cellStyle name="Normal 75 2" xfId="4662" xr:uid="{00000000-0005-0000-0000-000003120000}"/>
    <cellStyle name="Normal 76" xfId="3499" xr:uid="{00000000-0005-0000-0000-000004120000}"/>
    <cellStyle name="Normal 76 2" xfId="4663" xr:uid="{00000000-0005-0000-0000-000005120000}"/>
    <cellStyle name="Normal 77" xfId="3500" xr:uid="{00000000-0005-0000-0000-000006120000}"/>
    <cellStyle name="Normal 77 2" xfId="4664" xr:uid="{00000000-0005-0000-0000-000007120000}"/>
    <cellStyle name="Normal 78" xfId="3501" xr:uid="{00000000-0005-0000-0000-000008120000}"/>
    <cellStyle name="Normal 79" xfId="3502" xr:uid="{00000000-0005-0000-0000-000009120000}"/>
    <cellStyle name="Normal 79 2" xfId="5099" xr:uid="{00000000-0005-0000-0000-00000A120000}"/>
    <cellStyle name="Normal 8" xfId="83" xr:uid="{00000000-0005-0000-0000-00000B120000}"/>
    <cellStyle name="Normal 8 10" xfId="2549" xr:uid="{00000000-0005-0000-0000-00000C120000}"/>
    <cellStyle name="Normal 8 11" xfId="3577" xr:uid="{00000000-0005-0000-0000-00000D120000}"/>
    <cellStyle name="Normal 8 12" xfId="3503" xr:uid="{00000000-0005-0000-0000-00000E120000}"/>
    <cellStyle name="Normal 8 13" xfId="5255" xr:uid="{00000000-0005-0000-0000-00000F120000}"/>
    <cellStyle name="Normal 8 14" xfId="5281" xr:uid="{00000000-0005-0000-0000-000010120000}"/>
    <cellStyle name="Normal 8 15" xfId="5311" xr:uid="{00000000-0005-0000-0000-000011120000}"/>
    <cellStyle name="Normal 8 16" xfId="5675" xr:uid="{00000000-0005-0000-0000-000012120000}"/>
    <cellStyle name="Normal 8 2" xfId="2550" xr:uid="{00000000-0005-0000-0000-000013120000}"/>
    <cellStyle name="Normal 8 2 2" xfId="2551" xr:uid="{00000000-0005-0000-0000-000014120000}"/>
    <cellStyle name="Normal 8 2 3" xfId="5676" xr:uid="{00000000-0005-0000-0000-000015120000}"/>
    <cellStyle name="Normal 8 3" xfId="2552" xr:uid="{00000000-0005-0000-0000-000016120000}"/>
    <cellStyle name="Normal 8 3 2" xfId="2553" xr:uid="{00000000-0005-0000-0000-000017120000}"/>
    <cellStyle name="Normal 8 3 3" xfId="4665" xr:uid="{00000000-0005-0000-0000-000018120000}"/>
    <cellStyle name="Normal 8 4" xfId="2554" xr:uid="{00000000-0005-0000-0000-000019120000}"/>
    <cellStyle name="Normal 8 4 2" xfId="2555" xr:uid="{00000000-0005-0000-0000-00001A120000}"/>
    <cellStyle name="Normal 8 5" xfId="2556" xr:uid="{00000000-0005-0000-0000-00001B120000}"/>
    <cellStyle name="Normal 8 5 2" xfId="2557" xr:uid="{00000000-0005-0000-0000-00001C120000}"/>
    <cellStyle name="Normal 8 6" xfId="2558" xr:uid="{00000000-0005-0000-0000-00001D120000}"/>
    <cellStyle name="Normal 8 6 2" xfId="2559" xr:uid="{00000000-0005-0000-0000-00001E120000}"/>
    <cellStyle name="Normal 8 7" xfId="2560" xr:uid="{00000000-0005-0000-0000-00001F120000}"/>
    <cellStyle name="Normal 8 7 2" xfId="2561" xr:uid="{00000000-0005-0000-0000-000020120000}"/>
    <cellStyle name="Normal 8 8" xfId="2562" xr:uid="{00000000-0005-0000-0000-000021120000}"/>
    <cellStyle name="Normal 8 8 2" xfId="2563" xr:uid="{00000000-0005-0000-0000-000022120000}"/>
    <cellStyle name="Normal 8 9" xfId="3027" xr:uid="{00000000-0005-0000-0000-000023120000}"/>
    <cellStyle name="Normal 8_88 Richardson 80-20 1-31-12 Invest Memo" xfId="2564" xr:uid="{00000000-0005-0000-0000-000024120000}"/>
    <cellStyle name="Normal 80" xfId="3504" xr:uid="{00000000-0005-0000-0000-000025120000}"/>
    <cellStyle name="Normal 81" xfId="3505" xr:uid="{00000000-0005-0000-0000-000026120000}"/>
    <cellStyle name="Normal 82" xfId="3506" xr:uid="{00000000-0005-0000-0000-000027120000}"/>
    <cellStyle name="Normal 83" xfId="3507" xr:uid="{00000000-0005-0000-0000-000028120000}"/>
    <cellStyle name="Normal 84" xfId="3508" xr:uid="{00000000-0005-0000-0000-000029120000}"/>
    <cellStyle name="Normal 85" xfId="3509" xr:uid="{00000000-0005-0000-0000-00002A120000}"/>
    <cellStyle name="Normal 86" xfId="3510" xr:uid="{00000000-0005-0000-0000-00002B120000}"/>
    <cellStyle name="Normal 87" xfId="3511" xr:uid="{00000000-0005-0000-0000-00002C120000}"/>
    <cellStyle name="Normal 88" xfId="3512" xr:uid="{00000000-0005-0000-0000-00002D120000}"/>
    <cellStyle name="Normal 89" xfId="3513" xr:uid="{00000000-0005-0000-0000-00002E120000}"/>
    <cellStyle name="Normal 9" xfId="107" xr:uid="{00000000-0005-0000-0000-00002F120000}"/>
    <cellStyle name="Normal 9 10" xfId="3585" xr:uid="{00000000-0005-0000-0000-000030120000}"/>
    <cellStyle name="Normal 9 11" xfId="3514" xr:uid="{00000000-0005-0000-0000-000031120000}"/>
    <cellStyle name="Normal 9 2" xfId="114" xr:uid="{00000000-0005-0000-0000-000032120000}"/>
    <cellStyle name="Normal 9 2 2" xfId="2566" xr:uid="{00000000-0005-0000-0000-000033120000}"/>
    <cellStyle name="Normal 9 2 2 2" xfId="5677" xr:uid="{00000000-0005-0000-0000-000034120000}"/>
    <cellStyle name="Normal 9 2 3" xfId="4909" xr:uid="{00000000-0005-0000-0000-000035120000}"/>
    <cellStyle name="Normal 9 2 4" xfId="4932" xr:uid="{00000000-0005-0000-0000-000036120000}"/>
    <cellStyle name="Normal 9 2 5" xfId="4986" xr:uid="{00000000-0005-0000-0000-000037120000}"/>
    <cellStyle name="Normal 9 2 6" xfId="5020" xr:uid="{00000000-0005-0000-0000-000038120000}"/>
    <cellStyle name="Normal 9 2 7" xfId="5253" xr:uid="{00000000-0005-0000-0000-000039120000}"/>
    <cellStyle name="Normal 9 2 8" xfId="5280" xr:uid="{00000000-0005-0000-0000-00003A120000}"/>
    <cellStyle name="Normal 9 2 9" xfId="5310" xr:uid="{00000000-0005-0000-0000-00003B120000}"/>
    <cellStyle name="Normal 9 3" xfId="2567" xr:uid="{00000000-0005-0000-0000-00003C120000}"/>
    <cellStyle name="Normal 9 3 2" xfId="2568" xr:uid="{00000000-0005-0000-0000-00003D120000}"/>
    <cellStyle name="Normal 9 3 3" xfId="5678" xr:uid="{00000000-0005-0000-0000-00003E120000}"/>
    <cellStyle name="Normal 9 4" xfId="2569" xr:uid="{00000000-0005-0000-0000-00003F120000}"/>
    <cellStyle name="Normal 9 4 2" xfId="2570" xr:uid="{00000000-0005-0000-0000-000040120000}"/>
    <cellStyle name="Normal 9 5" xfId="2571" xr:uid="{00000000-0005-0000-0000-000041120000}"/>
    <cellStyle name="Normal 9 5 2" xfId="2572" xr:uid="{00000000-0005-0000-0000-000042120000}"/>
    <cellStyle name="Normal 9 6" xfId="2573" xr:uid="{00000000-0005-0000-0000-000043120000}"/>
    <cellStyle name="Normal 9 6 2" xfId="2574" xr:uid="{00000000-0005-0000-0000-000044120000}"/>
    <cellStyle name="Normal 9 7" xfId="2575" xr:uid="{00000000-0005-0000-0000-000045120000}"/>
    <cellStyle name="Normal 9 7 2" xfId="2576" xr:uid="{00000000-0005-0000-0000-000046120000}"/>
    <cellStyle name="Normal 9 8" xfId="2577" xr:uid="{00000000-0005-0000-0000-000047120000}"/>
    <cellStyle name="Normal 9 8 2" xfId="2578" xr:uid="{00000000-0005-0000-0000-000048120000}"/>
    <cellStyle name="Normal 9 9" xfId="2565" xr:uid="{00000000-0005-0000-0000-000049120000}"/>
    <cellStyle name="Normal 9_Harlem 116th-117th 11 22 11" xfId="2579" xr:uid="{00000000-0005-0000-0000-00004A120000}"/>
    <cellStyle name="Normal 90" xfId="3515" xr:uid="{00000000-0005-0000-0000-00004B120000}"/>
    <cellStyle name="Normal 91" xfId="3516" xr:uid="{00000000-0005-0000-0000-00004C120000}"/>
    <cellStyle name="Normal 91 2" xfId="3559" xr:uid="{00000000-0005-0000-0000-00004D120000}"/>
    <cellStyle name="Normal 91 2 2" xfId="3862" xr:uid="{00000000-0005-0000-0000-00004E120000}"/>
    <cellStyle name="Normal 91 2 3" xfId="5083" xr:uid="{00000000-0005-0000-0000-00004F120000}"/>
    <cellStyle name="Normal 91 3" xfId="3847" xr:uid="{00000000-0005-0000-0000-000050120000}"/>
    <cellStyle name="Normal 91 4" xfId="5058" xr:uid="{00000000-0005-0000-0000-000051120000}"/>
    <cellStyle name="Normal 92" xfId="3517" xr:uid="{00000000-0005-0000-0000-000052120000}"/>
    <cellStyle name="Normal 93" xfId="3588" xr:uid="{00000000-0005-0000-0000-000053120000}"/>
    <cellStyle name="Normal 93 2" xfId="5145" xr:uid="{00000000-0005-0000-0000-000054120000}"/>
    <cellStyle name="Normal 94" xfId="3771" xr:uid="{00000000-0005-0000-0000-000055120000}"/>
    <cellStyle name="Normal 94 2" xfId="5146" xr:uid="{00000000-0005-0000-0000-000056120000}"/>
    <cellStyle name="Normal 94 3" xfId="5103" xr:uid="{00000000-0005-0000-0000-000057120000}"/>
    <cellStyle name="Normal 95" xfId="3763" xr:uid="{00000000-0005-0000-0000-000058120000}"/>
    <cellStyle name="Normal 96" xfId="3350" xr:uid="{00000000-0005-0000-0000-000059120000}"/>
    <cellStyle name="Normal 97" xfId="3710" xr:uid="{00000000-0005-0000-0000-00005A120000}"/>
    <cellStyle name="Normal 98" xfId="3776" xr:uid="{00000000-0005-0000-0000-00005B120000}"/>
    <cellStyle name="Normal 99" xfId="3101" xr:uid="{00000000-0005-0000-0000-00005C120000}"/>
    <cellStyle name="Normal_coop sale price analysis v2" xfId="9" xr:uid="{00000000-0005-0000-0000-00005D120000}"/>
    <cellStyle name="NormalBack" xfId="2580" xr:uid="{00000000-0005-0000-0000-00005E120000}"/>
    <cellStyle name="NormalBorder" xfId="2581" xr:uid="{00000000-0005-0000-0000-00005F120000}"/>
    <cellStyle name="NormalE" xfId="2582" xr:uid="{00000000-0005-0000-0000-000060120000}"/>
    <cellStyle name="NormalE 2" xfId="2583" xr:uid="{00000000-0005-0000-0000-000061120000}"/>
    <cellStyle name="NormalE 2 2" xfId="2584" xr:uid="{00000000-0005-0000-0000-000062120000}"/>
    <cellStyle name="NormalE 2 2 2" xfId="2585" xr:uid="{00000000-0005-0000-0000-000063120000}"/>
    <cellStyle name="NormalE 2 3" xfId="2586" xr:uid="{00000000-0005-0000-0000-000064120000}"/>
    <cellStyle name="NormalE 2_120403-Utica-3rd Flr Gym" xfId="2587" xr:uid="{00000000-0005-0000-0000-000065120000}"/>
    <cellStyle name="NormalE 3" xfId="2588" xr:uid="{00000000-0005-0000-0000-000066120000}"/>
    <cellStyle name="NormalE_120403-Utica-3rd Flr Gym" xfId="2589" xr:uid="{00000000-0005-0000-0000-000067120000}"/>
    <cellStyle name="NormalLeft" xfId="2590" xr:uid="{00000000-0005-0000-0000-000068120000}"/>
    <cellStyle name="NormalNumber%" xfId="2591" xr:uid="{00000000-0005-0000-0000-000069120000}"/>
    <cellStyle name="Normalny_Arkusz1" xfId="2592" xr:uid="{00000000-0005-0000-0000-00006A120000}"/>
    <cellStyle name="NormalOPrint_Module_E (2)" xfId="2593" xr:uid="{00000000-0005-0000-0000-00006B120000}"/>
    <cellStyle name="NormalRightNum" xfId="2594" xr:uid="{00000000-0005-0000-0000-00006C120000}"/>
    <cellStyle name="NormalRightPercent" xfId="2595" xr:uid="{00000000-0005-0000-0000-00006D120000}"/>
    <cellStyle name="Note 2" xfId="2597" xr:uid="{00000000-0005-0000-0000-00006E120000}"/>
    <cellStyle name="Note 2 2" xfId="2598" xr:uid="{00000000-0005-0000-0000-00006F120000}"/>
    <cellStyle name="Note 2 2 2" xfId="3682" xr:uid="{00000000-0005-0000-0000-000070120000}"/>
    <cellStyle name="Note 2 2 2 2" xfId="3953" xr:uid="{00000000-0005-0000-0000-000071120000}"/>
    <cellStyle name="Note 2 2 2 2 2" xfId="5138" xr:uid="{00000000-0005-0000-0000-000072120000}"/>
    <cellStyle name="Note 2 2 2 2 3" xfId="5222" xr:uid="{00000000-0005-0000-0000-000073120000}"/>
    <cellStyle name="Note 2 2 2 3" xfId="5087" xr:uid="{00000000-0005-0000-0000-000074120000}"/>
    <cellStyle name="Note 2 2 2 4" xfId="5179" xr:uid="{00000000-0005-0000-0000-000075120000}"/>
    <cellStyle name="Note 2 2 3" xfId="3519" xr:uid="{00000000-0005-0000-0000-000076120000}"/>
    <cellStyle name="Note 2 2 3 2" xfId="3928" xr:uid="{00000000-0005-0000-0000-000077120000}"/>
    <cellStyle name="Note 2 2 3 2 2" xfId="5126" xr:uid="{00000000-0005-0000-0000-000078120000}"/>
    <cellStyle name="Note 2 2 3 2 3" xfId="5210" xr:uid="{00000000-0005-0000-0000-000079120000}"/>
    <cellStyle name="Note 2 2 3 3" xfId="5167" xr:uid="{00000000-0005-0000-0000-00007A120000}"/>
    <cellStyle name="Note 2 2 4" xfId="5113" xr:uid="{00000000-0005-0000-0000-00007B120000}"/>
    <cellStyle name="Note 2 2 4 2" xfId="5197" xr:uid="{00000000-0005-0000-0000-00007C120000}"/>
    <cellStyle name="Note 2 2 5" xfId="5154" xr:uid="{00000000-0005-0000-0000-00007D120000}"/>
    <cellStyle name="Note 2 3" xfId="3681" xr:uid="{00000000-0005-0000-0000-00007E120000}"/>
    <cellStyle name="Note 2 3 2" xfId="3952" xr:uid="{00000000-0005-0000-0000-00007F120000}"/>
    <cellStyle name="Note 2 3 2 2" xfId="5137" xr:uid="{00000000-0005-0000-0000-000080120000}"/>
    <cellStyle name="Note 2 3 2 3" xfId="5221" xr:uid="{00000000-0005-0000-0000-000081120000}"/>
    <cellStyle name="Note 2 3 3" xfId="5086" xr:uid="{00000000-0005-0000-0000-000082120000}"/>
    <cellStyle name="Note 2 3 4" xfId="5178" xr:uid="{00000000-0005-0000-0000-000083120000}"/>
    <cellStyle name="Note 2 4" xfId="3518" xr:uid="{00000000-0005-0000-0000-000084120000}"/>
    <cellStyle name="Note 2 4 2" xfId="3927" xr:uid="{00000000-0005-0000-0000-000085120000}"/>
    <cellStyle name="Note 2 4 2 2" xfId="5142" xr:uid="{00000000-0005-0000-0000-000086120000}"/>
    <cellStyle name="Note 2 4 2 3" xfId="5226" xr:uid="{00000000-0005-0000-0000-000087120000}"/>
    <cellStyle name="Note 2 4 3" xfId="5183" xr:uid="{00000000-0005-0000-0000-000088120000}"/>
    <cellStyle name="Note 2 5" xfId="5112" xr:uid="{00000000-0005-0000-0000-000089120000}"/>
    <cellStyle name="Note 2 5 2" xfId="5196" xr:uid="{00000000-0005-0000-0000-00008A120000}"/>
    <cellStyle name="Note 2 6" xfId="5153" xr:uid="{00000000-0005-0000-0000-00008B120000}"/>
    <cellStyle name="Note 3" xfId="2599" xr:uid="{00000000-0005-0000-0000-00008C120000}"/>
    <cellStyle name="Note 3 2" xfId="2600" xr:uid="{00000000-0005-0000-0000-00008D120000}"/>
    <cellStyle name="Note 3 2 2" xfId="3684" xr:uid="{00000000-0005-0000-0000-00008E120000}"/>
    <cellStyle name="Note 3 2 2 2" xfId="3955" xr:uid="{00000000-0005-0000-0000-00008F120000}"/>
    <cellStyle name="Note 3 2 3" xfId="5133" xr:uid="{00000000-0005-0000-0000-000090120000}"/>
    <cellStyle name="Note 3 2 4" xfId="5217" xr:uid="{00000000-0005-0000-0000-000091120000}"/>
    <cellStyle name="Note 3 3" xfId="3683" xr:uid="{00000000-0005-0000-0000-000092120000}"/>
    <cellStyle name="Note 3 3 2" xfId="3954" xr:uid="{00000000-0005-0000-0000-000093120000}"/>
    <cellStyle name="Note 3 4" xfId="5081" xr:uid="{00000000-0005-0000-0000-000094120000}"/>
    <cellStyle name="Note 3 5" xfId="5174" xr:uid="{00000000-0005-0000-0000-000095120000}"/>
    <cellStyle name="Note 4" xfId="2601" xr:uid="{00000000-0005-0000-0000-000096120000}"/>
    <cellStyle name="Note 4 2" xfId="3685" xr:uid="{00000000-0005-0000-0000-000097120000}"/>
    <cellStyle name="Note 4 2 2" xfId="3956" xr:uid="{00000000-0005-0000-0000-000098120000}"/>
    <cellStyle name="Note 4 2 3" xfId="5124" xr:uid="{00000000-0005-0000-0000-000099120000}"/>
    <cellStyle name="Note 4 2 4" xfId="5208" xr:uid="{00000000-0005-0000-0000-00009A120000}"/>
    <cellStyle name="Note 4 3" xfId="5064" xr:uid="{00000000-0005-0000-0000-00009B120000}"/>
    <cellStyle name="Note 4 4" xfId="5165" xr:uid="{00000000-0005-0000-0000-00009C120000}"/>
    <cellStyle name="Note 5" xfId="2602" xr:uid="{00000000-0005-0000-0000-00009D120000}"/>
    <cellStyle name="Note 5 2" xfId="3686" xr:uid="{00000000-0005-0000-0000-00009E120000}"/>
    <cellStyle name="Note 5 2 2" xfId="3957" xr:uid="{00000000-0005-0000-0000-00009F120000}"/>
    <cellStyle name="Note 5 2 3" xfId="5106" xr:uid="{00000000-0005-0000-0000-0000A0120000}"/>
    <cellStyle name="Note 5 2 4" xfId="5190" xr:uid="{00000000-0005-0000-0000-0000A1120000}"/>
    <cellStyle name="Note 5 3" xfId="5036" xr:uid="{00000000-0005-0000-0000-0000A2120000}"/>
    <cellStyle name="Note 5 4" xfId="5047" xr:uid="{00000000-0005-0000-0000-0000A3120000}"/>
    <cellStyle name="Note 6" xfId="2596" xr:uid="{00000000-0005-0000-0000-0000A4120000}"/>
    <cellStyle name="Note 6 2" xfId="3680" xr:uid="{00000000-0005-0000-0000-0000A5120000}"/>
    <cellStyle name="Note 6 2 2" xfId="3951" xr:uid="{00000000-0005-0000-0000-0000A6120000}"/>
    <cellStyle name="Note 7" xfId="3368" xr:uid="{00000000-0005-0000-0000-0000A7120000}"/>
    <cellStyle name="Note 7 2" xfId="3922" xr:uid="{00000000-0005-0000-0000-0000A8120000}"/>
    <cellStyle name="note entry" xfId="5679" xr:uid="{00000000-0005-0000-0000-0000A9120000}"/>
    <cellStyle name="Notes" xfId="5680" xr:uid="{00000000-0005-0000-0000-0000AA120000}"/>
    <cellStyle name="nPlode" xfId="2603" xr:uid="{00000000-0005-0000-0000-0000AB120000}"/>
    <cellStyle name="nPlode1" xfId="2604" xr:uid="{00000000-0005-0000-0000-0000AC120000}"/>
    <cellStyle name="nPlode1 2" xfId="3286" xr:uid="{00000000-0005-0000-0000-0000AD120000}"/>
    <cellStyle name="nPlode1 3" xfId="3144" xr:uid="{00000000-0005-0000-0000-0000AE120000}"/>
    <cellStyle name="nPlode2" xfId="2605" xr:uid="{00000000-0005-0000-0000-0000AF120000}"/>
    <cellStyle name="nPlode2 2" xfId="3287" xr:uid="{00000000-0005-0000-0000-0000B0120000}"/>
    <cellStyle name="nPlode2 3" xfId="3143" xr:uid="{00000000-0005-0000-0000-0000B1120000}"/>
    <cellStyle name="nPlode3" xfId="2606" xr:uid="{00000000-0005-0000-0000-0000B2120000}"/>
    <cellStyle name="nPlosion" xfId="2607" xr:uid="{00000000-0005-0000-0000-0000B3120000}"/>
    <cellStyle name="NPRO" xfId="2608" xr:uid="{00000000-0005-0000-0000-0000B4120000}"/>
    <cellStyle name="NPRO 2" xfId="3288" xr:uid="{00000000-0005-0000-0000-0000B5120000}"/>
    <cellStyle name="NPRO 3" xfId="3142" xr:uid="{00000000-0005-0000-0000-0000B6120000}"/>
    <cellStyle name="Num0Un" xfId="2609" xr:uid="{00000000-0005-0000-0000-0000B7120000}"/>
    <cellStyle name="Num1" xfId="2610" xr:uid="{00000000-0005-0000-0000-0000B8120000}"/>
    <cellStyle name="Num1Blue" xfId="2611" xr:uid="{00000000-0005-0000-0000-0000B9120000}"/>
    <cellStyle name="Num2" xfId="2612" xr:uid="{00000000-0005-0000-0000-0000BA120000}"/>
    <cellStyle name="Num2Un" xfId="2613" xr:uid="{00000000-0005-0000-0000-0000BB120000}"/>
    <cellStyle name="Number" xfId="2614" xr:uid="{00000000-0005-0000-0000-0000BC120000}"/>
    <cellStyle name="Number 2" xfId="2615" xr:uid="{00000000-0005-0000-0000-0000BD120000}"/>
    <cellStyle name="Number 2 2" xfId="2616" xr:uid="{00000000-0005-0000-0000-0000BE120000}"/>
    <cellStyle name="Number 2 2 2" xfId="2617" xr:uid="{00000000-0005-0000-0000-0000BF120000}"/>
    <cellStyle name="Number 2 3" xfId="2618" xr:uid="{00000000-0005-0000-0000-0000C0120000}"/>
    <cellStyle name="Number 2_120403-Utica-3rd Flr Gym" xfId="2619" xr:uid="{00000000-0005-0000-0000-0000C1120000}"/>
    <cellStyle name="Number 3" xfId="2620" xr:uid="{00000000-0005-0000-0000-0000C2120000}"/>
    <cellStyle name="Number_120403-Utica-3rd Flr Gym" xfId="2621" xr:uid="{00000000-0005-0000-0000-0000C3120000}"/>
    <cellStyle name="O_Table_Body" xfId="2622" xr:uid="{00000000-0005-0000-0000-0000C4120000}"/>
    <cellStyle name="O_Table_Body 2" xfId="3687" xr:uid="{00000000-0005-0000-0000-0000C5120000}"/>
    <cellStyle name="O_Table_Body 2 2" xfId="3958" xr:uid="{00000000-0005-0000-0000-0000C6120000}"/>
    <cellStyle name="O_Table_Header_Left" xfId="2623" xr:uid="{00000000-0005-0000-0000-0000C7120000}"/>
    <cellStyle name="O_Table_Header_Left 2" xfId="3688" xr:uid="{00000000-0005-0000-0000-0000C8120000}"/>
    <cellStyle name="O_Table_Header_Left 2 2" xfId="3959" xr:uid="{00000000-0005-0000-0000-0000C9120000}"/>
    <cellStyle name="O_TableTop_CenterBold" xfId="2624" xr:uid="{00000000-0005-0000-0000-0000CA120000}"/>
    <cellStyle name="O_TableTop_CenterBold 2" xfId="3689" xr:uid="{00000000-0005-0000-0000-0000CB120000}"/>
    <cellStyle name="O_TableTop_CenterBold 2 2" xfId="3960" xr:uid="{00000000-0005-0000-0000-0000CC120000}"/>
    <cellStyle name="OddBodyShade" xfId="2625" xr:uid="{00000000-0005-0000-0000-0000CD120000}"/>
    <cellStyle name="Œ…‹æØ‚è [0.00]_!!!GO" xfId="2626" xr:uid="{00000000-0005-0000-0000-0000CE120000}"/>
    <cellStyle name="Œ…‹æØ‚è_!!!GO" xfId="2627" xr:uid="{00000000-0005-0000-0000-0000CF120000}"/>
    <cellStyle name="OFFICE" xfId="2628" xr:uid="{00000000-0005-0000-0000-0000D0120000}"/>
    <cellStyle name="OFFICE 2" xfId="2629" xr:uid="{00000000-0005-0000-0000-0000D1120000}"/>
    <cellStyle name="One Pager Input" xfId="2630" xr:uid="{00000000-0005-0000-0000-0000D2120000}"/>
    <cellStyle name="One Pager Input 2" xfId="3289" xr:uid="{00000000-0005-0000-0000-0000D3120000}"/>
    <cellStyle name="One Pager Input 3" xfId="3141" xr:uid="{00000000-0005-0000-0000-0000D4120000}"/>
    <cellStyle name="OutlineSpec" xfId="2631" xr:uid="{00000000-0005-0000-0000-0000D5120000}"/>
    <cellStyle name="Output 2" xfId="2633" xr:uid="{00000000-0005-0000-0000-0000D6120000}"/>
    <cellStyle name="Output 2 2" xfId="3521" xr:uid="{00000000-0005-0000-0000-0000D7120000}"/>
    <cellStyle name="Output 2 2 2" xfId="5088" xr:uid="{00000000-0005-0000-0000-0000D8120000}"/>
    <cellStyle name="Output 2 2 2 2" xfId="5140" xr:uid="{00000000-0005-0000-0000-0000D9120000}"/>
    <cellStyle name="Output 2 2 2 2 2" xfId="5224" xr:uid="{00000000-0005-0000-0000-0000DA120000}"/>
    <cellStyle name="Output 2 2 2 3" xfId="5181" xr:uid="{00000000-0005-0000-0000-0000DB120000}"/>
    <cellStyle name="Output 2 2 3" xfId="5065" xr:uid="{00000000-0005-0000-0000-0000DC120000}"/>
    <cellStyle name="Output 2 2 3 2" xfId="5125" xr:uid="{00000000-0005-0000-0000-0000DD120000}"/>
    <cellStyle name="Output 2 2 3 2 2" xfId="5209" xr:uid="{00000000-0005-0000-0000-0000DE120000}"/>
    <cellStyle name="Output 2 2 3 3" xfId="5166" xr:uid="{00000000-0005-0000-0000-0000DF120000}"/>
    <cellStyle name="Output 2 2 4" xfId="5115" xr:uid="{00000000-0005-0000-0000-0000E0120000}"/>
    <cellStyle name="Output 2 2 4 2" xfId="5199" xr:uid="{00000000-0005-0000-0000-0000E1120000}"/>
    <cellStyle name="Output 2 2 5" xfId="5156" xr:uid="{00000000-0005-0000-0000-0000E2120000}"/>
    <cellStyle name="Output 2 3" xfId="3520" xr:uid="{00000000-0005-0000-0000-0000E3120000}"/>
    <cellStyle name="Output 2 3 2" xfId="5139" xr:uid="{00000000-0005-0000-0000-0000E4120000}"/>
    <cellStyle name="Output 2 3 2 2" xfId="5223" xr:uid="{00000000-0005-0000-0000-0000E5120000}"/>
    <cellStyle name="Output 2 3 3" xfId="5180" xr:uid="{00000000-0005-0000-0000-0000E6120000}"/>
    <cellStyle name="Output 2 4" xfId="5090" xr:uid="{00000000-0005-0000-0000-0000E7120000}"/>
    <cellStyle name="Output 2 4 2" xfId="5143" xr:uid="{00000000-0005-0000-0000-0000E8120000}"/>
    <cellStyle name="Output 2 4 2 2" xfId="5227" xr:uid="{00000000-0005-0000-0000-0000E9120000}"/>
    <cellStyle name="Output 2 4 3" xfId="5184" xr:uid="{00000000-0005-0000-0000-0000EA120000}"/>
    <cellStyle name="Output 2 5" xfId="5114" xr:uid="{00000000-0005-0000-0000-0000EB120000}"/>
    <cellStyle name="Output 2 5 2" xfId="5198" xr:uid="{00000000-0005-0000-0000-0000EC120000}"/>
    <cellStyle name="Output 2 6" xfId="5155" xr:uid="{00000000-0005-0000-0000-0000ED120000}"/>
    <cellStyle name="Output 3" xfId="2634" xr:uid="{00000000-0005-0000-0000-0000EE120000}"/>
    <cellStyle name="Output 3 2" xfId="5132" xr:uid="{00000000-0005-0000-0000-0000EF120000}"/>
    <cellStyle name="Output 3 2 2" xfId="5216" xr:uid="{00000000-0005-0000-0000-0000F0120000}"/>
    <cellStyle name="Output 3 3" xfId="5173" xr:uid="{00000000-0005-0000-0000-0000F1120000}"/>
    <cellStyle name="Output 4" xfId="2635" xr:uid="{00000000-0005-0000-0000-0000F2120000}"/>
    <cellStyle name="Output 4 2" xfId="5129" xr:uid="{00000000-0005-0000-0000-0000F3120000}"/>
    <cellStyle name="Output 4 2 2" xfId="5213" xr:uid="{00000000-0005-0000-0000-0000F4120000}"/>
    <cellStyle name="Output 4 3" xfId="5072" xr:uid="{00000000-0005-0000-0000-0000F5120000}"/>
    <cellStyle name="Output 4 4" xfId="5170" xr:uid="{00000000-0005-0000-0000-0000F6120000}"/>
    <cellStyle name="Output 5" xfId="2636" xr:uid="{00000000-0005-0000-0000-0000F7120000}"/>
    <cellStyle name="Output 5 2" xfId="5107" xr:uid="{00000000-0005-0000-0000-0000F8120000}"/>
    <cellStyle name="Output 5 2 2" xfId="5191" xr:uid="{00000000-0005-0000-0000-0000F9120000}"/>
    <cellStyle name="Output 5 3" xfId="5037" xr:uid="{00000000-0005-0000-0000-0000FA120000}"/>
    <cellStyle name="Output 5 4" xfId="5046" xr:uid="{00000000-0005-0000-0000-0000FB120000}"/>
    <cellStyle name="Output 6" xfId="2632" xr:uid="{00000000-0005-0000-0000-0000FC120000}"/>
    <cellStyle name="Output Amounts" xfId="2637" xr:uid="{00000000-0005-0000-0000-0000FD120000}"/>
    <cellStyle name="Output Column Headings" xfId="2638" xr:uid="{00000000-0005-0000-0000-0000FE120000}"/>
    <cellStyle name="Output Line Items" xfId="2639" xr:uid="{00000000-0005-0000-0000-0000FF120000}"/>
    <cellStyle name="Output Report Heading" xfId="2640" xr:uid="{00000000-0005-0000-0000-000000130000}"/>
    <cellStyle name="Output Report Title" xfId="2641" xr:uid="{00000000-0005-0000-0000-000001130000}"/>
    <cellStyle name="OVERWRITE" xfId="2642" xr:uid="{00000000-0005-0000-0000-000002130000}"/>
    <cellStyle name="Page" xfId="84" xr:uid="{00000000-0005-0000-0000-000003130000}"/>
    <cellStyle name="Page Heading" xfId="2643" xr:uid="{00000000-0005-0000-0000-000004130000}"/>
    <cellStyle name="Page Heading Large" xfId="2644" xr:uid="{00000000-0005-0000-0000-000005130000}"/>
    <cellStyle name="Page Heading Small" xfId="2645" xr:uid="{00000000-0005-0000-0000-000006130000}"/>
    <cellStyle name="Page Number" xfId="2646" xr:uid="{00000000-0005-0000-0000-000007130000}"/>
    <cellStyle name="Page Title (Blue/Gray)" xfId="2647" xr:uid="{00000000-0005-0000-0000-000008130000}"/>
    <cellStyle name="Page Title (Blue/Gray) 2" xfId="3290" xr:uid="{00000000-0005-0000-0000-000009130000}"/>
    <cellStyle name="Pah" xfId="2648" xr:uid="{00000000-0005-0000-0000-00000A130000}"/>
    <cellStyle name="Pah 2" xfId="2649" xr:uid="{00000000-0005-0000-0000-00000B130000}"/>
    <cellStyle name="parameter entry" xfId="5682" xr:uid="{00000000-0005-0000-0000-00000C130000}"/>
    <cellStyle name="Parcel" xfId="85" xr:uid="{00000000-0005-0000-0000-00000D130000}"/>
    <cellStyle name="Parcel 2" xfId="3072" xr:uid="{00000000-0005-0000-0000-00000E130000}"/>
    <cellStyle name="Parcel 2 2" xfId="3740" xr:uid="{00000000-0005-0000-0000-00000F130000}"/>
    <cellStyle name="Parcel 2 3" xfId="3811" xr:uid="{00000000-0005-0000-0000-000010130000}"/>
    <cellStyle name="Parcel 2 3 2" xfId="3986" xr:uid="{00000000-0005-0000-0000-000011130000}"/>
    <cellStyle name="Parcel 2 4" xfId="3897" xr:uid="{00000000-0005-0000-0000-000012130000}"/>
    <cellStyle name="Parcel 2 4 2" xfId="3992" xr:uid="{00000000-0005-0000-0000-000013130000}"/>
    <cellStyle name="Parcel 2 5" xfId="3330" xr:uid="{00000000-0005-0000-0000-000014130000}"/>
    <cellStyle name="Parcel 3" xfId="3066" xr:uid="{00000000-0005-0000-0000-000015130000}"/>
    <cellStyle name="Parcel 3 2" xfId="3810" xr:uid="{00000000-0005-0000-0000-000016130000}"/>
    <cellStyle name="Parcel 3 2 2" xfId="3985" xr:uid="{00000000-0005-0000-0000-000017130000}"/>
    <cellStyle name="Parcel 3 3" xfId="3895" xr:uid="{00000000-0005-0000-0000-000018130000}"/>
    <cellStyle name="Parcel 3 3 2" xfId="3991" xr:uid="{00000000-0005-0000-0000-000019130000}"/>
    <cellStyle name="Parcel 3 4" xfId="3327" xr:uid="{00000000-0005-0000-0000-00001A130000}"/>
    <cellStyle name="Parcel 4" xfId="3782" xr:uid="{00000000-0005-0000-0000-00001B130000}"/>
    <cellStyle name="Parcel 4 2" xfId="3980" xr:uid="{00000000-0005-0000-0000-00001C130000}"/>
    <cellStyle name="Parcel 5" xfId="218" xr:uid="{00000000-0005-0000-0000-00001D130000}"/>
    <cellStyle name="Parcel 6" xfId="5681" xr:uid="{00000000-0005-0000-0000-00001E130000}"/>
    <cellStyle name="Parent" xfId="2650" xr:uid="{00000000-0005-0000-0000-00001F130000}"/>
    <cellStyle name="Parent 2" xfId="3291" xr:uid="{00000000-0005-0000-0000-000020130000}"/>
    <cellStyle name="Parent 3" xfId="3140" xr:uid="{00000000-0005-0000-0000-000021130000}"/>
    <cellStyle name="Pattern" xfId="2651" xr:uid="{00000000-0005-0000-0000-000022130000}"/>
    <cellStyle name="patterns" xfId="2652" xr:uid="{00000000-0005-0000-0000-000023130000}"/>
    <cellStyle name="PB Table Heading" xfId="2653" xr:uid="{00000000-0005-0000-0000-000024130000}"/>
    <cellStyle name="PB Table Heading 2" xfId="3292" xr:uid="{00000000-0005-0000-0000-000025130000}"/>
    <cellStyle name="PB Table Highlight1" xfId="2654" xr:uid="{00000000-0005-0000-0000-000026130000}"/>
    <cellStyle name="PB Table Highlight2" xfId="2655" xr:uid="{00000000-0005-0000-0000-000027130000}"/>
    <cellStyle name="PB Table Highlight2 2" xfId="3881" xr:uid="{00000000-0005-0000-0000-000028130000}"/>
    <cellStyle name="PB Table Highlight3" xfId="2656" xr:uid="{00000000-0005-0000-0000-000029130000}"/>
    <cellStyle name="PB Table Highlight3 2" xfId="3882" xr:uid="{00000000-0005-0000-0000-00002A130000}"/>
    <cellStyle name="PB Table Standard Row" xfId="2657" xr:uid="{00000000-0005-0000-0000-00002B130000}"/>
    <cellStyle name="PB Table Subtotal Row" xfId="2658" xr:uid="{00000000-0005-0000-0000-00002C130000}"/>
    <cellStyle name="PB Table Subtotal Row 2" xfId="3293" xr:uid="{00000000-0005-0000-0000-00002D130000}"/>
    <cellStyle name="PB Table Total Row" xfId="2659" xr:uid="{00000000-0005-0000-0000-00002E130000}"/>
    <cellStyle name="pb_page_heading_LS" xfId="5850" xr:uid="{00000000-0005-0000-0000-00002F130000}"/>
    <cellStyle name="Per Acre" xfId="2660" xr:uid="{00000000-0005-0000-0000-000030130000}"/>
    <cellStyle name="per.style" xfId="2661" xr:uid="{00000000-0005-0000-0000-000031130000}"/>
    <cellStyle name="Perc1" xfId="2662" xr:uid="{00000000-0005-0000-0000-000032130000}"/>
    <cellStyle name="Percen - Style1" xfId="2663" xr:uid="{00000000-0005-0000-0000-000033130000}"/>
    <cellStyle name="Percen - Style2" xfId="5683" xr:uid="{00000000-0005-0000-0000-000034130000}"/>
    <cellStyle name="Percen - Style3" xfId="2664" xr:uid="{00000000-0005-0000-0000-000035130000}"/>
    <cellStyle name="Percen - Style3 2" xfId="5529" xr:uid="{00000000-0005-0000-0000-000036130000}"/>
    <cellStyle name="Percent" xfId="3" builtinId="5"/>
    <cellStyle name="Percent (2)" xfId="2665" xr:uid="{00000000-0005-0000-0000-000038130000}"/>
    <cellStyle name="Percent [0%]" xfId="2666" xr:uid="{00000000-0005-0000-0000-000039130000}"/>
    <cellStyle name="Percent [0.00%]" xfId="2667" xr:uid="{00000000-0005-0000-0000-00003A130000}"/>
    <cellStyle name="Percent [0]" xfId="2668" xr:uid="{00000000-0005-0000-0000-00003B130000}"/>
    <cellStyle name="Percent [0] 2" xfId="2669" xr:uid="{00000000-0005-0000-0000-00003C130000}"/>
    <cellStyle name="Percent [00]" xfId="2670" xr:uid="{00000000-0005-0000-0000-00003D130000}"/>
    <cellStyle name="Percent [00] 2" xfId="2671" xr:uid="{00000000-0005-0000-0000-00003E130000}"/>
    <cellStyle name="Percent [1]" xfId="5684" xr:uid="{00000000-0005-0000-0000-00003F130000}"/>
    <cellStyle name="Percent [2]" xfId="86" xr:uid="{00000000-0005-0000-0000-000040130000}"/>
    <cellStyle name="Percent [2] 2" xfId="2672" xr:uid="{00000000-0005-0000-0000-000041130000}"/>
    <cellStyle name="Percent [2] 2 2" xfId="2673" xr:uid="{00000000-0005-0000-0000-000042130000}"/>
    <cellStyle name="Percent [2] 2 2 2" xfId="2674" xr:uid="{00000000-0005-0000-0000-000043130000}"/>
    <cellStyle name="Percent [2] 2 3" xfId="2675" xr:uid="{00000000-0005-0000-0000-000044130000}"/>
    <cellStyle name="Percent [2] 3" xfId="2676" xr:uid="{00000000-0005-0000-0000-000045130000}"/>
    <cellStyle name="Percent [2] 4" xfId="4666" xr:uid="{00000000-0005-0000-0000-000046130000}"/>
    <cellStyle name="Percent [2] 5" xfId="4667" xr:uid="{00000000-0005-0000-0000-000047130000}"/>
    <cellStyle name="Percent [2] 6" xfId="4668" xr:uid="{00000000-0005-0000-0000-000048130000}"/>
    <cellStyle name="Percent [2] 7" xfId="4669" xr:uid="{00000000-0005-0000-0000-000049130000}"/>
    <cellStyle name="Percent [2] 8" xfId="4670" xr:uid="{00000000-0005-0000-0000-00004A130000}"/>
    <cellStyle name="Percent [2] 9" xfId="4671" xr:uid="{00000000-0005-0000-0000-00004B130000}"/>
    <cellStyle name="percent 1 decimal" xfId="2677" xr:uid="{00000000-0005-0000-0000-00004C130000}"/>
    <cellStyle name="Percent 10" xfId="155" xr:uid="{00000000-0005-0000-0000-00004D130000}"/>
    <cellStyle name="Percent 10 2" xfId="2679" xr:uid="{00000000-0005-0000-0000-00004E130000}"/>
    <cellStyle name="Percent 10 3" xfId="3090" xr:uid="{00000000-0005-0000-0000-00004F130000}"/>
    <cellStyle name="Percent 10 3 2" xfId="3749" xr:uid="{00000000-0005-0000-0000-000050130000}"/>
    <cellStyle name="Percent 10 3 3" xfId="3819" xr:uid="{00000000-0005-0000-0000-000051130000}"/>
    <cellStyle name="Percent 10 3 4" xfId="3906" xr:uid="{00000000-0005-0000-0000-000052130000}"/>
    <cellStyle name="Percent 10 3 5" xfId="3339" xr:uid="{00000000-0005-0000-0000-000053130000}"/>
    <cellStyle name="Percent 10 4" xfId="2678" xr:uid="{00000000-0005-0000-0000-000054130000}"/>
    <cellStyle name="Percent 11" xfId="164" xr:uid="{00000000-0005-0000-0000-000055130000}"/>
    <cellStyle name="Percent 12" xfId="2973" xr:uid="{00000000-0005-0000-0000-000056130000}"/>
    <cellStyle name="Percent 12 2" xfId="4672" xr:uid="{00000000-0005-0000-0000-000057130000}"/>
    <cellStyle name="Percent 13" xfId="2959" xr:uid="{00000000-0005-0000-0000-000058130000}"/>
    <cellStyle name="Percent 13 2" xfId="4673" xr:uid="{00000000-0005-0000-0000-000059130000}"/>
    <cellStyle name="Percent 14" xfId="2972" xr:uid="{00000000-0005-0000-0000-00005A130000}"/>
    <cellStyle name="Percent 14 2" xfId="4674" xr:uid="{00000000-0005-0000-0000-00005B130000}"/>
    <cellStyle name="Percent 14 3" xfId="4675" xr:uid="{00000000-0005-0000-0000-00005C130000}"/>
    <cellStyle name="Percent 14 4" xfId="4676" xr:uid="{00000000-0005-0000-0000-00005D130000}"/>
    <cellStyle name="Percent 14 5" xfId="4677" xr:uid="{00000000-0005-0000-0000-00005E130000}"/>
    <cellStyle name="Percent 14 5 2" xfId="4678" xr:uid="{00000000-0005-0000-0000-00005F130000}"/>
    <cellStyle name="Percent 14 5 3" xfId="4679" xr:uid="{00000000-0005-0000-0000-000060130000}"/>
    <cellStyle name="Percent 15" xfId="2958" xr:uid="{00000000-0005-0000-0000-000061130000}"/>
    <cellStyle name="Percent 15 2" xfId="4680" xr:uid="{00000000-0005-0000-0000-000062130000}"/>
    <cellStyle name="Percent 15 3" xfId="4681" xr:uid="{00000000-0005-0000-0000-000063130000}"/>
    <cellStyle name="Percent 16" xfId="2985" xr:uid="{00000000-0005-0000-0000-000064130000}"/>
    <cellStyle name="Percent 16 2" xfId="4682" xr:uid="{00000000-0005-0000-0000-000065130000}"/>
    <cellStyle name="Percent 16 3" xfId="4683" xr:uid="{00000000-0005-0000-0000-000066130000}"/>
    <cellStyle name="Percent 16 3 2" xfId="4684" xr:uid="{00000000-0005-0000-0000-000067130000}"/>
    <cellStyle name="Percent 16 3 3" xfId="4685" xr:uid="{00000000-0005-0000-0000-000068130000}"/>
    <cellStyle name="Percent 16 4" xfId="4686" xr:uid="{00000000-0005-0000-0000-000069130000}"/>
    <cellStyle name="Percent 17" xfId="2989" xr:uid="{00000000-0005-0000-0000-00006A130000}"/>
    <cellStyle name="Percent 17 2" xfId="4687" xr:uid="{00000000-0005-0000-0000-00006B130000}"/>
    <cellStyle name="Percent 18" xfId="2990" xr:uid="{00000000-0005-0000-0000-00006C130000}"/>
    <cellStyle name="Percent 18 2" xfId="4688" xr:uid="{00000000-0005-0000-0000-00006D130000}"/>
    <cellStyle name="Percent 19" xfId="2996" xr:uid="{00000000-0005-0000-0000-00006E130000}"/>
    <cellStyle name="Percent 2" xfId="8" xr:uid="{00000000-0005-0000-0000-00006F130000}"/>
    <cellStyle name="Percent 2 10" xfId="2680" xr:uid="{00000000-0005-0000-0000-000070130000}"/>
    <cellStyle name="Percent 2 10 2" xfId="4853" xr:uid="{00000000-0005-0000-0000-000071130000}"/>
    <cellStyle name="Percent 2 10 3" xfId="5101" xr:uid="{00000000-0005-0000-0000-000072130000}"/>
    <cellStyle name="Percent 2 11" xfId="2681" xr:uid="{00000000-0005-0000-0000-000073130000}"/>
    <cellStyle name="Percent 2 12" xfId="2682" xr:uid="{00000000-0005-0000-0000-000074130000}"/>
    <cellStyle name="Percent 2 13" xfId="2683" xr:uid="{00000000-0005-0000-0000-000075130000}"/>
    <cellStyle name="Percent 2 14" xfId="2684" xr:uid="{00000000-0005-0000-0000-000076130000}"/>
    <cellStyle name="Percent 2 15" xfId="2685" xr:uid="{00000000-0005-0000-0000-000077130000}"/>
    <cellStyle name="Percent 2 16" xfId="2686" xr:uid="{00000000-0005-0000-0000-000078130000}"/>
    <cellStyle name="Percent 2 17" xfId="2687" xr:uid="{00000000-0005-0000-0000-000079130000}"/>
    <cellStyle name="Percent 2 18" xfId="2688" xr:uid="{00000000-0005-0000-0000-00007A130000}"/>
    <cellStyle name="Percent 2 19" xfId="2689" xr:uid="{00000000-0005-0000-0000-00007B130000}"/>
    <cellStyle name="Percent 2 2" xfId="87" xr:uid="{00000000-0005-0000-0000-00007C130000}"/>
    <cellStyle name="Percent 2 2 10" xfId="3578" xr:uid="{00000000-0005-0000-0000-00007D130000}"/>
    <cellStyle name="Percent 2 2 11" xfId="3522" xr:uid="{00000000-0005-0000-0000-00007E130000}"/>
    <cellStyle name="Percent 2 2 2" xfId="123" xr:uid="{00000000-0005-0000-0000-00007F130000}"/>
    <cellStyle name="Percent 2 2 2 2" xfId="2692" xr:uid="{00000000-0005-0000-0000-000080130000}"/>
    <cellStyle name="Percent 2 2 2 2 2" xfId="5686" xr:uid="{00000000-0005-0000-0000-000081130000}"/>
    <cellStyle name="Percent 2 2 2 3" xfId="3042" xr:uid="{00000000-0005-0000-0000-000082130000}"/>
    <cellStyle name="Percent 2 2 2 4" xfId="2691" xr:uid="{00000000-0005-0000-0000-000083130000}"/>
    <cellStyle name="Percent 2 2 2 5" xfId="5685" xr:uid="{00000000-0005-0000-0000-000084130000}"/>
    <cellStyle name="Percent 2 2 3" xfId="160" xr:uid="{00000000-0005-0000-0000-000085130000}"/>
    <cellStyle name="Percent 2 2 3 2" xfId="2694" xr:uid="{00000000-0005-0000-0000-000086130000}"/>
    <cellStyle name="Percent 2 2 3 3" xfId="3095" xr:uid="{00000000-0005-0000-0000-000087130000}"/>
    <cellStyle name="Percent 2 2 3 3 2" xfId="3754" xr:uid="{00000000-0005-0000-0000-000088130000}"/>
    <cellStyle name="Percent 2 2 3 3 3" xfId="3824" xr:uid="{00000000-0005-0000-0000-000089130000}"/>
    <cellStyle name="Percent 2 2 3 3 4" xfId="3911" xr:uid="{00000000-0005-0000-0000-00008A130000}"/>
    <cellStyle name="Percent 2 2 3 3 5" xfId="3344" xr:uid="{00000000-0005-0000-0000-00008B130000}"/>
    <cellStyle name="Percent 2 2 3 4" xfId="2693" xr:uid="{00000000-0005-0000-0000-00008C130000}"/>
    <cellStyle name="Percent 2 2 4" xfId="2695" xr:uid="{00000000-0005-0000-0000-00008D130000}"/>
    <cellStyle name="Percent 2 2 4 2" xfId="2696" xr:uid="{00000000-0005-0000-0000-00008E130000}"/>
    <cellStyle name="Percent 2 2 5" xfId="2697" xr:uid="{00000000-0005-0000-0000-00008F130000}"/>
    <cellStyle name="Percent 2 2 5 2" xfId="2698" xr:uid="{00000000-0005-0000-0000-000090130000}"/>
    <cellStyle name="Percent 2 2 6" xfId="2699" xr:uid="{00000000-0005-0000-0000-000091130000}"/>
    <cellStyle name="Percent 2 2 6 2" xfId="2700" xr:uid="{00000000-0005-0000-0000-000092130000}"/>
    <cellStyle name="Percent 2 2 7" xfId="2701" xr:uid="{00000000-0005-0000-0000-000093130000}"/>
    <cellStyle name="Percent 2 2 7 2" xfId="2702" xr:uid="{00000000-0005-0000-0000-000094130000}"/>
    <cellStyle name="Percent 2 2 8" xfId="2703" xr:uid="{00000000-0005-0000-0000-000095130000}"/>
    <cellStyle name="Percent 2 2 8 2" xfId="2704" xr:uid="{00000000-0005-0000-0000-000096130000}"/>
    <cellStyle name="Percent 2 2 9" xfId="2690" xr:uid="{00000000-0005-0000-0000-000097130000}"/>
    <cellStyle name="Percent 2 20" xfId="2705" xr:uid="{00000000-0005-0000-0000-000098130000}"/>
    <cellStyle name="Percent 2 21" xfId="2706" xr:uid="{00000000-0005-0000-0000-000099130000}"/>
    <cellStyle name="Percent 2 22" xfId="2707" xr:uid="{00000000-0005-0000-0000-00009A130000}"/>
    <cellStyle name="Percent 2 23" xfId="2708" xr:uid="{00000000-0005-0000-0000-00009B130000}"/>
    <cellStyle name="Percent 2 24" xfId="2709" xr:uid="{00000000-0005-0000-0000-00009C130000}"/>
    <cellStyle name="Percent 2 25" xfId="2710" xr:uid="{00000000-0005-0000-0000-00009D130000}"/>
    <cellStyle name="Percent 2 26" xfId="2711" xr:uid="{00000000-0005-0000-0000-00009E130000}"/>
    <cellStyle name="Percent 2 27" xfId="2712" xr:uid="{00000000-0005-0000-0000-00009F130000}"/>
    <cellStyle name="Percent 2 28" xfId="2713" xr:uid="{00000000-0005-0000-0000-0000A0130000}"/>
    <cellStyle name="Percent 2 29" xfId="2714" xr:uid="{00000000-0005-0000-0000-0000A1130000}"/>
    <cellStyle name="Percent 2 3" xfId="158" xr:uid="{00000000-0005-0000-0000-0000A2130000}"/>
    <cellStyle name="Percent 2 3 2" xfId="3093" xr:uid="{00000000-0005-0000-0000-0000A3130000}"/>
    <cellStyle name="Percent 2 3 2 2" xfId="3752" xr:uid="{00000000-0005-0000-0000-0000A4130000}"/>
    <cellStyle name="Percent 2 3 2 3" xfId="3822" xr:uid="{00000000-0005-0000-0000-0000A5130000}"/>
    <cellStyle name="Percent 2 3 2 4" xfId="3909" xr:uid="{00000000-0005-0000-0000-0000A6130000}"/>
    <cellStyle name="Percent 2 3 2 5" xfId="3342" xr:uid="{00000000-0005-0000-0000-0000A7130000}"/>
    <cellStyle name="Percent 2 3 3" xfId="3691" xr:uid="{00000000-0005-0000-0000-0000A8130000}"/>
    <cellStyle name="Percent 2 3 3 2" xfId="5687" xr:uid="{00000000-0005-0000-0000-0000A9130000}"/>
    <cellStyle name="Percent 2 3 4" xfId="3523" xr:uid="{00000000-0005-0000-0000-0000AA130000}"/>
    <cellStyle name="Percent 2 3 5" xfId="2715" xr:uid="{00000000-0005-0000-0000-0000AB130000}"/>
    <cellStyle name="Percent 2 30" xfId="2716" xr:uid="{00000000-0005-0000-0000-0000AC130000}"/>
    <cellStyle name="Percent 2 31" xfId="2717" xr:uid="{00000000-0005-0000-0000-0000AD130000}"/>
    <cellStyle name="Percent 2 31 2" xfId="2718" xr:uid="{00000000-0005-0000-0000-0000AE130000}"/>
    <cellStyle name="Percent 2 32" xfId="2719" xr:uid="{00000000-0005-0000-0000-0000AF130000}"/>
    <cellStyle name="Percent 2 32 2" xfId="2720" xr:uid="{00000000-0005-0000-0000-0000B0130000}"/>
    <cellStyle name="Percent 2 33" xfId="2721" xr:uid="{00000000-0005-0000-0000-0000B1130000}"/>
    <cellStyle name="Percent 2 33 2" xfId="2722" xr:uid="{00000000-0005-0000-0000-0000B2130000}"/>
    <cellStyle name="Percent 2 34" xfId="2723" xr:uid="{00000000-0005-0000-0000-0000B3130000}"/>
    <cellStyle name="Percent 2 34 2" xfId="2724" xr:uid="{00000000-0005-0000-0000-0000B4130000}"/>
    <cellStyle name="Percent 2 35" xfId="2725" xr:uid="{00000000-0005-0000-0000-0000B5130000}"/>
    <cellStyle name="Percent 2 35 2" xfId="2726" xr:uid="{00000000-0005-0000-0000-0000B6130000}"/>
    <cellStyle name="Percent 2 36" xfId="2727" xr:uid="{00000000-0005-0000-0000-0000B7130000}"/>
    <cellStyle name="Percent 2 36 2" xfId="2728" xr:uid="{00000000-0005-0000-0000-0000B8130000}"/>
    <cellStyle name="Percent 2 37" xfId="2729" xr:uid="{00000000-0005-0000-0000-0000B9130000}"/>
    <cellStyle name="Percent 2 37 2" xfId="2730" xr:uid="{00000000-0005-0000-0000-0000BA130000}"/>
    <cellStyle name="Percent 2 38" xfId="5026" xr:uid="{00000000-0005-0000-0000-0000BB130000}"/>
    <cellStyle name="Percent 2 39" xfId="29" xr:uid="{00000000-0005-0000-0000-0000BC130000}"/>
    <cellStyle name="Percent 2 4" xfId="2731" xr:uid="{00000000-0005-0000-0000-0000BD130000}"/>
    <cellStyle name="Percent 2 4 2" xfId="3692" xr:uid="{00000000-0005-0000-0000-0000BE130000}"/>
    <cellStyle name="Percent 2 4 2 2" xfId="5689" xr:uid="{00000000-0005-0000-0000-0000BF130000}"/>
    <cellStyle name="Percent 2 4 3" xfId="3524" xr:uid="{00000000-0005-0000-0000-0000C0130000}"/>
    <cellStyle name="Percent 2 4 4" xfId="5688" xr:uid="{00000000-0005-0000-0000-0000C1130000}"/>
    <cellStyle name="Percent 2 5" xfId="2732" xr:uid="{00000000-0005-0000-0000-0000C2130000}"/>
    <cellStyle name="Percent 2 5 2" xfId="4689" xr:uid="{00000000-0005-0000-0000-0000C3130000}"/>
    <cellStyle name="Percent 2 5 3" xfId="5690" xr:uid="{00000000-0005-0000-0000-0000C4130000}"/>
    <cellStyle name="Percent 2 6" xfId="2733" xr:uid="{00000000-0005-0000-0000-0000C5130000}"/>
    <cellStyle name="Percent 2 6 2" xfId="4690" xr:uid="{00000000-0005-0000-0000-0000C6130000}"/>
    <cellStyle name="Percent 2 6 3" xfId="5100" xr:uid="{00000000-0005-0000-0000-0000C7130000}"/>
    <cellStyle name="Percent 2 7" xfId="2734" xr:uid="{00000000-0005-0000-0000-0000C8130000}"/>
    <cellStyle name="Percent 2 7 2" xfId="4691" xr:uid="{00000000-0005-0000-0000-0000C9130000}"/>
    <cellStyle name="Percent 2 8" xfId="2735" xr:uid="{00000000-0005-0000-0000-0000CA130000}"/>
    <cellStyle name="Percent 2 8 2" xfId="4692" xr:uid="{00000000-0005-0000-0000-0000CB130000}"/>
    <cellStyle name="Percent 2 9" xfId="2736" xr:uid="{00000000-0005-0000-0000-0000CC130000}"/>
    <cellStyle name="Percent 2 9 2" xfId="4693" xr:uid="{00000000-0005-0000-0000-0000CD130000}"/>
    <cellStyle name="percent 2 decimal" xfId="2737" xr:uid="{00000000-0005-0000-0000-0000CE130000}"/>
    <cellStyle name="Percent 20" xfId="243" xr:uid="{00000000-0005-0000-0000-0000CF130000}"/>
    <cellStyle name="Percent 21" xfId="3061" xr:uid="{00000000-0005-0000-0000-0000D0130000}"/>
    <cellStyle name="Percent 22" xfId="3081" xr:uid="{00000000-0005-0000-0000-0000D1130000}"/>
    <cellStyle name="Percent 23" xfId="3074" xr:uid="{00000000-0005-0000-0000-0000D2130000}"/>
    <cellStyle name="Percent 24" xfId="3369" xr:uid="{00000000-0005-0000-0000-0000D3130000}"/>
    <cellStyle name="Percent 25" xfId="3704" xr:uid="{00000000-0005-0000-0000-0000D4130000}"/>
    <cellStyle name="Percent 26" xfId="3702" xr:uid="{00000000-0005-0000-0000-0000D5130000}"/>
    <cellStyle name="Percent 27" xfId="3653" xr:uid="{00000000-0005-0000-0000-0000D6130000}"/>
    <cellStyle name="Percent 28" xfId="3781" xr:uid="{00000000-0005-0000-0000-0000D7130000}"/>
    <cellStyle name="Percent 29" xfId="3833" xr:uid="{00000000-0005-0000-0000-0000D8130000}"/>
    <cellStyle name="Percent 3" xfId="24" xr:uid="{00000000-0005-0000-0000-0000D9130000}"/>
    <cellStyle name="Percent 3 10" xfId="4694" xr:uid="{00000000-0005-0000-0000-0000DA130000}"/>
    <cellStyle name="Percent 3 10 2" xfId="4695" xr:uid="{00000000-0005-0000-0000-0000DB130000}"/>
    <cellStyle name="Percent 3 11" xfId="4696" xr:uid="{00000000-0005-0000-0000-0000DC130000}"/>
    <cellStyle name="Percent 3 12" xfId="4854" xr:uid="{00000000-0005-0000-0000-0000DD130000}"/>
    <cellStyle name="Percent 3 13" xfId="4893" xr:uid="{00000000-0005-0000-0000-0000DE130000}"/>
    <cellStyle name="Percent 3 14" xfId="4917" xr:uid="{00000000-0005-0000-0000-0000DF130000}"/>
    <cellStyle name="Percent 3 15" xfId="4949" xr:uid="{00000000-0005-0000-0000-0000E0130000}"/>
    <cellStyle name="Percent 3 16" xfId="4971" xr:uid="{00000000-0005-0000-0000-0000E1130000}"/>
    <cellStyle name="Percent 3 17" xfId="5005" xr:uid="{00000000-0005-0000-0000-0000E2130000}"/>
    <cellStyle name="Percent 3 18" xfId="5237" xr:uid="{00000000-0005-0000-0000-0000E3130000}"/>
    <cellStyle name="Percent 3 19" xfId="5265" xr:uid="{00000000-0005-0000-0000-0000E4130000}"/>
    <cellStyle name="Percent 3 2" xfId="133" xr:uid="{00000000-0005-0000-0000-0000E5130000}"/>
    <cellStyle name="Percent 3 2 10" xfId="5241" xr:uid="{00000000-0005-0000-0000-0000E6130000}"/>
    <cellStyle name="Percent 3 2 11" xfId="5269" xr:uid="{00000000-0005-0000-0000-0000E7130000}"/>
    <cellStyle name="Percent 3 2 12" xfId="5296" xr:uid="{00000000-0005-0000-0000-0000E8130000}"/>
    <cellStyle name="Percent 3 2 2" xfId="182" xr:uid="{00000000-0005-0000-0000-0000E9130000}"/>
    <cellStyle name="Percent 3 2 2 10" xfId="5277" xr:uid="{00000000-0005-0000-0000-0000EA130000}"/>
    <cellStyle name="Percent 3 2 2 11" xfId="5304" xr:uid="{00000000-0005-0000-0000-0000EB130000}"/>
    <cellStyle name="Percent 3 2 2 2" xfId="3731" xr:uid="{00000000-0005-0000-0000-0000EC130000}"/>
    <cellStyle name="Percent 3 2 2 2 2" xfId="5691" xr:uid="{00000000-0005-0000-0000-0000ED130000}"/>
    <cellStyle name="Percent 3 2 2 3" xfId="3526" xr:uid="{00000000-0005-0000-0000-0000EE130000}"/>
    <cellStyle name="Percent 3 2 2 4" xfId="3047" xr:uid="{00000000-0005-0000-0000-0000EF130000}"/>
    <cellStyle name="Percent 3 2 2 5" xfId="4905" xr:uid="{00000000-0005-0000-0000-0000F0130000}"/>
    <cellStyle name="Percent 3 2 2 6" xfId="4929" xr:uid="{00000000-0005-0000-0000-0000F1130000}"/>
    <cellStyle name="Percent 3 2 2 7" xfId="4983" xr:uid="{00000000-0005-0000-0000-0000F2130000}"/>
    <cellStyle name="Percent 3 2 2 8" xfId="5017" xr:uid="{00000000-0005-0000-0000-0000F3130000}"/>
    <cellStyle name="Percent 3 2 2 9" xfId="5249" xr:uid="{00000000-0005-0000-0000-0000F4130000}"/>
    <cellStyle name="Percent 3 2 3" xfId="174" xr:uid="{00000000-0005-0000-0000-0000F5130000}"/>
    <cellStyle name="Percent 3 2 3 2" xfId="2738" xr:uid="{00000000-0005-0000-0000-0000F6130000}"/>
    <cellStyle name="Percent 3 2 3 3" xfId="4697" xr:uid="{00000000-0005-0000-0000-0000F7130000}"/>
    <cellStyle name="Percent 3 2 4" xfId="3597" xr:uid="{00000000-0005-0000-0000-0000F8130000}"/>
    <cellStyle name="Percent 3 2 5" xfId="3525" xr:uid="{00000000-0005-0000-0000-0000F9130000}"/>
    <cellStyle name="Percent 3 2 6" xfId="4897" xr:uid="{00000000-0005-0000-0000-0000FA130000}"/>
    <cellStyle name="Percent 3 2 7" xfId="4921" xr:uid="{00000000-0005-0000-0000-0000FB130000}"/>
    <cellStyle name="Percent 3 2 8" xfId="4975" xr:uid="{00000000-0005-0000-0000-0000FC130000}"/>
    <cellStyle name="Percent 3 2 9" xfId="5009" xr:uid="{00000000-0005-0000-0000-0000FD130000}"/>
    <cellStyle name="Percent 3 20" xfId="5292" xr:uid="{00000000-0005-0000-0000-0000FE130000}"/>
    <cellStyle name="Percent 3 3" xfId="178" xr:uid="{00000000-0005-0000-0000-0000FF130000}"/>
    <cellStyle name="Percent 3 3 10" xfId="5300" xr:uid="{00000000-0005-0000-0000-000000140000}"/>
    <cellStyle name="Percent 3 3 2" xfId="4699" xr:uid="{00000000-0005-0000-0000-000001140000}"/>
    <cellStyle name="Percent 3 3 2 2" xfId="5645" xr:uid="{00000000-0005-0000-0000-000002140000}"/>
    <cellStyle name="Percent 3 3 2 3" xfId="5692" xr:uid="{00000000-0005-0000-0000-000003140000}"/>
    <cellStyle name="Percent 3 3 3" xfId="4698" xr:uid="{00000000-0005-0000-0000-000004140000}"/>
    <cellStyle name="Percent 3 3 3 2" xfId="5601" xr:uid="{00000000-0005-0000-0000-000005140000}"/>
    <cellStyle name="Percent 3 3 4" xfId="4901" xr:uid="{00000000-0005-0000-0000-000006140000}"/>
    <cellStyle name="Percent 3 3 5" xfId="4925" xr:uid="{00000000-0005-0000-0000-000007140000}"/>
    <cellStyle name="Percent 3 3 6" xfId="4979" xr:uid="{00000000-0005-0000-0000-000008140000}"/>
    <cellStyle name="Percent 3 3 7" xfId="5013" xr:uid="{00000000-0005-0000-0000-000009140000}"/>
    <cellStyle name="Percent 3 3 8" xfId="5245" xr:uid="{00000000-0005-0000-0000-00000A140000}"/>
    <cellStyle name="Percent 3 3 9" xfId="5273" xr:uid="{00000000-0005-0000-0000-00000B140000}"/>
    <cellStyle name="Percent 3 4" xfId="169" xr:uid="{00000000-0005-0000-0000-00000C140000}"/>
    <cellStyle name="Percent 3 4 2" xfId="4700" xr:uid="{00000000-0005-0000-0000-00000D140000}"/>
    <cellStyle name="Percent 3 4 2 2" xfId="5693" xr:uid="{00000000-0005-0000-0000-00000E140000}"/>
    <cellStyle name="Percent 3 5" xfId="4701" xr:uid="{00000000-0005-0000-0000-00000F140000}"/>
    <cellStyle name="Percent 3 5 2" xfId="5694" xr:uid="{00000000-0005-0000-0000-000010140000}"/>
    <cellStyle name="Percent 3 6" xfId="4702" xr:uid="{00000000-0005-0000-0000-000011140000}"/>
    <cellStyle name="Percent 3 7" xfId="4703" xr:uid="{00000000-0005-0000-0000-000012140000}"/>
    <cellStyle name="Percent 3 8" xfId="4704" xr:uid="{00000000-0005-0000-0000-000013140000}"/>
    <cellStyle name="Percent 3 9" xfId="4705" xr:uid="{00000000-0005-0000-0000-000014140000}"/>
    <cellStyle name="Percent 30" xfId="3884" xr:uid="{00000000-0005-0000-0000-000015140000}"/>
    <cellStyle name="Percent 31" xfId="3870" xr:uid="{00000000-0005-0000-0000-000016140000}"/>
    <cellStyle name="Percent 32" xfId="3106" xr:uid="{00000000-0005-0000-0000-000017140000}"/>
    <cellStyle name="Percent 33" xfId="3315" xr:uid="{00000000-0005-0000-0000-000018140000}"/>
    <cellStyle name="Percent 34" xfId="3916" xr:uid="{00000000-0005-0000-0000-000019140000}"/>
    <cellStyle name="Percent 35" xfId="185" xr:uid="{00000000-0005-0000-0000-00001A140000}"/>
    <cellStyle name="Percent 36" xfId="4706" xr:uid="{00000000-0005-0000-0000-00001B140000}"/>
    <cellStyle name="Percent 37" xfId="4707" xr:uid="{00000000-0005-0000-0000-00001C140000}"/>
    <cellStyle name="Percent 38" xfId="4708" xr:uid="{00000000-0005-0000-0000-00001D140000}"/>
    <cellStyle name="Percent 39" xfId="4709" xr:uid="{00000000-0005-0000-0000-00001E140000}"/>
    <cellStyle name="Percent 4" xfId="88" xr:uid="{00000000-0005-0000-0000-00001F140000}"/>
    <cellStyle name="Percent 4 10" xfId="2739" xr:uid="{00000000-0005-0000-0000-000020140000}"/>
    <cellStyle name="Percent 4 11" xfId="3579" xr:uid="{00000000-0005-0000-0000-000021140000}"/>
    <cellStyle name="Percent 4 11 2" xfId="4710" xr:uid="{00000000-0005-0000-0000-000022140000}"/>
    <cellStyle name="Percent 4 12" xfId="3370" xr:uid="{00000000-0005-0000-0000-000023140000}"/>
    <cellStyle name="Percent 4 12 2" xfId="4855" xr:uid="{00000000-0005-0000-0000-000024140000}"/>
    <cellStyle name="Percent 4 13" xfId="4910" xr:uid="{00000000-0005-0000-0000-000025140000}"/>
    <cellStyle name="Percent 4 2" xfId="134" xr:uid="{00000000-0005-0000-0000-000026140000}"/>
    <cellStyle name="Percent 4 2 2" xfId="3048" xr:uid="{00000000-0005-0000-0000-000027140000}"/>
    <cellStyle name="Percent 4 2 2 2" xfId="3732" xr:uid="{00000000-0005-0000-0000-000028140000}"/>
    <cellStyle name="Percent 4 2 2 2 2" xfId="5695" xr:uid="{00000000-0005-0000-0000-000029140000}"/>
    <cellStyle name="Percent 4 2 2 3" xfId="3560" xr:uid="{00000000-0005-0000-0000-00002A140000}"/>
    <cellStyle name="Percent 4 2 2 4" xfId="3863" xr:uid="{00000000-0005-0000-0000-00002B140000}"/>
    <cellStyle name="Percent 4 2 2 5" xfId="4857" xr:uid="{00000000-0005-0000-0000-00002C140000}"/>
    <cellStyle name="Percent 4 2 2 6" xfId="5085" xr:uid="{00000000-0005-0000-0000-00002D140000}"/>
    <cellStyle name="Percent 4 2 3" xfId="2740" xr:uid="{00000000-0005-0000-0000-00002E140000}"/>
    <cellStyle name="Percent 4 2 3 2" xfId="4856" xr:uid="{00000000-0005-0000-0000-00002F140000}"/>
    <cellStyle name="Percent 4 2 3 3" xfId="5697" xr:uid="{00000000-0005-0000-0000-000030140000}"/>
    <cellStyle name="Percent 4 2 4" xfId="3598" xr:uid="{00000000-0005-0000-0000-000031140000}"/>
    <cellStyle name="Percent 4 2 5" xfId="3527" xr:uid="{00000000-0005-0000-0000-000032140000}"/>
    <cellStyle name="Percent 4 2 6" xfId="3848" xr:uid="{00000000-0005-0000-0000-000033140000}"/>
    <cellStyle name="Percent 4 2 7" xfId="4711" xr:uid="{00000000-0005-0000-0000-000034140000}"/>
    <cellStyle name="Percent 4 2 8" xfId="5059" xr:uid="{00000000-0005-0000-0000-000035140000}"/>
    <cellStyle name="Percent 4 3" xfId="2741" xr:uid="{00000000-0005-0000-0000-000036140000}"/>
    <cellStyle name="Percent 4 3 2" xfId="4713" xr:uid="{00000000-0005-0000-0000-000037140000}"/>
    <cellStyle name="Percent 4 3 2 2" xfId="5699" xr:uid="{00000000-0005-0000-0000-000038140000}"/>
    <cellStyle name="Percent 4 3 3" xfId="4714" xr:uid="{00000000-0005-0000-0000-000039140000}"/>
    <cellStyle name="Percent 4 3 4" xfId="4712" xr:uid="{00000000-0005-0000-0000-00003A140000}"/>
    <cellStyle name="Percent 4 3 5" xfId="5698" xr:uid="{00000000-0005-0000-0000-00003B140000}"/>
    <cellStyle name="Percent 4 4" xfId="2742" xr:uid="{00000000-0005-0000-0000-00003C140000}"/>
    <cellStyle name="Percent 4 4 2" xfId="4715" xr:uid="{00000000-0005-0000-0000-00003D140000}"/>
    <cellStyle name="Percent 4 4 3" xfId="5700" xr:uid="{00000000-0005-0000-0000-00003E140000}"/>
    <cellStyle name="Percent 4 5" xfId="2743" xr:uid="{00000000-0005-0000-0000-00003F140000}"/>
    <cellStyle name="Percent 4 5 2" xfId="4716" xr:uid="{00000000-0005-0000-0000-000040140000}"/>
    <cellStyle name="Percent 4 6" xfId="2744" xr:uid="{00000000-0005-0000-0000-000041140000}"/>
    <cellStyle name="Percent 4 6 2" xfId="4717" xr:uid="{00000000-0005-0000-0000-000042140000}"/>
    <cellStyle name="Percent 4 7" xfId="2745" xr:uid="{00000000-0005-0000-0000-000043140000}"/>
    <cellStyle name="Percent 4 7 2" xfId="4718" xr:uid="{00000000-0005-0000-0000-000044140000}"/>
    <cellStyle name="Percent 4 8" xfId="2746" xr:uid="{00000000-0005-0000-0000-000045140000}"/>
    <cellStyle name="Percent 4 9" xfId="3028" xr:uid="{00000000-0005-0000-0000-000046140000}"/>
    <cellStyle name="Percent 4 9 2" xfId="4719" xr:uid="{00000000-0005-0000-0000-000047140000}"/>
    <cellStyle name="Percent 40" xfId="4720" xr:uid="{00000000-0005-0000-0000-000048140000}"/>
    <cellStyle name="Percent 41" xfId="4721" xr:uid="{00000000-0005-0000-0000-000049140000}"/>
    <cellStyle name="Percent 42" xfId="4722" xr:uid="{00000000-0005-0000-0000-00004A140000}"/>
    <cellStyle name="Percent 43" xfId="4723" xr:uid="{00000000-0005-0000-0000-00004B140000}"/>
    <cellStyle name="Percent 43 2" xfId="4724" xr:uid="{00000000-0005-0000-0000-00004C140000}"/>
    <cellStyle name="Percent 44" xfId="4725" xr:uid="{00000000-0005-0000-0000-00004D140000}"/>
    <cellStyle name="Percent 44 2" xfId="4726" xr:uid="{00000000-0005-0000-0000-00004E140000}"/>
    <cellStyle name="Percent 45" xfId="4727" xr:uid="{00000000-0005-0000-0000-00004F140000}"/>
    <cellStyle name="Percent 45 2" xfId="4728" xr:uid="{00000000-0005-0000-0000-000050140000}"/>
    <cellStyle name="Percent 46" xfId="4729" xr:uid="{00000000-0005-0000-0000-000051140000}"/>
    <cellStyle name="Percent 46 2" xfId="4730" xr:uid="{00000000-0005-0000-0000-000052140000}"/>
    <cellStyle name="Percent 47" xfId="4731" xr:uid="{00000000-0005-0000-0000-000053140000}"/>
    <cellStyle name="Percent 48" xfId="4732" xr:uid="{00000000-0005-0000-0000-000054140000}"/>
    <cellStyle name="Percent 49" xfId="4733" xr:uid="{00000000-0005-0000-0000-000055140000}"/>
    <cellStyle name="Percent 5" xfId="110" xr:uid="{00000000-0005-0000-0000-000056140000}"/>
    <cellStyle name="Percent 5 10" xfId="4734" xr:uid="{00000000-0005-0000-0000-000057140000}"/>
    <cellStyle name="Percent 5 11" xfId="4735" xr:uid="{00000000-0005-0000-0000-000058140000}"/>
    <cellStyle name="Percent 5 12" xfId="5256" xr:uid="{00000000-0005-0000-0000-000059140000}"/>
    <cellStyle name="Percent 5 13" xfId="5282" xr:uid="{00000000-0005-0000-0000-00005A140000}"/>
    <cellStyle name="Percent 5 14" xfId="5312" xr:uid="{00000000-0005-0000-0000-00005B140000}"/>
    <cellStyle name="Percent 5 2" xfId="117" xr:uid="{00000000-0005-0000-0000-00005C140000}"/>
    <cellStyle name="Percent 5 2 2" xfId="2747" xr:uid="{00000000-0005-0000-0000-00005D140000}"/>
    <cellStyle name="Percent 5 2 2 2" xfId="5703" xr:uid="{00000000-0005-0000-0000-00005E140000}"/>
    <cellStyle name="Percent 5 2 2 3" xfId="5702" xr:uid="{00000000-0005-0000-0000-00005F140000}"/>
    <cellStyle name="Percent 5 2 3" xfId="4736" xr:uid="{00000000-0005-0000-0000-000060140000}"/>
    <cellStyle name="Percent 5 2 3 2" xfId="5704" xr:uid="{00000000-0005-0000-0000-000061140000}"/>
    <cellStyle name="Percent 5 2 4" xfId="5701" xr:uid="{00000000-0005-0000-0000-000062140000}"/>
    <cellStyle name="Percent 5 3" xfId="2748" xr:uid="{00000000-0005-0000-0000-000063140000}"/>
    <cellStyle name="Percent 5 3 2" xfId="4738" xr:uid="{00000000-0005-0000-0000-000064140000}"/>
    <cellStyle name="Percent 5 3 2 2" xfId="5401" xr:uid="{00000000-0005-0000-0000-000065140000}"/>
    <cellStyle name="Percent 5 3 3" xfId="4737" xr:uid="{00000000-0005-0000-0000-000066140000}"/>
    <cellStyle name="Percent 5 3 4" xfId="5705" xr:uid="{00000000-0005-0000-0000-000067140000}"/>
    <cellStyle name="Percent 5 4" xfId="4739" xr:uid="{00000000-0005-0000-0000-000068140000}"/>
    <cellStyle name="Percent 5 4 2" xfId="5706" xr:uid="{00000000-0005-0000-0000-000069140000}"/>
    <cellStyle name="Percent 5 5" xfId="4740" xr:uid="{00000000-0005-0000-0000-00006A140000}"/>
    <cellStyle name="Percent 5 6" xfId="4741" xr:uid="{00000000-0005-0000-0000-00006B140000}"/>
    <cellStyle name="Percent 5 7" xfId="4742" xr:uid="{00000000-0005-0000-0000-00006C140000}"/>
    <cellStyle name="Percent 5 8" xfId="4743" xr:uid="{00000000-0005-0000-0000-00006D140000}"/>
    <cellStyle name="Percent 5 9" xfId="4744" xr:uid="{00000000-0005-0000-0000-00006E140000}"/>
    <cellStyle name="Percent 5 9 2" xfId="4745" xr:uid="{00000000-0005-0000-0000-00006F140000}"/>
    <cellStyle name="Percent 50" xfId="4746" xr:uid="{00000000-0005-0000-0000-000070140000}"/>
    <cellStyle name="Percent 51" xfId="4747" xr:uid="{00000000-0005-0000-0000-000071140000}"/>
    <cellStyle name="Percent 52" xfId="4748" xr:uid="{00000000-0005-0000-0000-000072140000}"/>
    <cellStyle name="Percent 53" xfId="4749" xr:uid="{00000000-0005-0000-0000-000073140000}"/>
    <cellStyle name="Percent 53 2" xfId="4750" xr:uid="{00000000-0005-0000-0000-000074140000}"/>
    <cellStyle name="Percent 54" xfId="4751" xr:uid="{00000000-0005-0000-0000-000075140000}"/>
    <cellStyle name="Percent 55" xfId="4752" xr:uid="{00000000-0005-0000-0000-000076140000}"/>
    <cellStyle name="Percent 56" xfId="4753" xr:uid="{00000000-0005-0000-0000-000077140000}"/>
    <cellStyle name="Percent 57" xfId="4754" xr:uid="{00000000-0005-0000-0000-000078140000}"/>
    <cellStyle name="Percent 58" xfId="4755" xr:uid="{00000000-0005-0000-0000-000079140000}"/>
    <cellStyle name="Percent 59" xfId="4756" xr:uid="{00000000-0005-0000-0000-00007A140000}"/>
    <cellStyle name="Percent 6" xfId="142" xr:uid="{00000000-0005-0000-0000-00007B140000}"/>
    <cellStyle name="Percent 6 2" xfId="2749" xr:uid="{00000000-0005-0000-0000-00007C140000}"/>
    <cellStyle name="Percent 6 2 2" xfId="5709" xr:uid="{00000000-0005-0000-0000-00007D140000}"/>
    <cellStyle name="Percent 6 2 3" xfId="5708" xr:uid="{00000000-0005-0000-0000-00007E140000}"/>
    <cellStyle name="Percent 6 3" xfId="3604" xr:uid="{00000000-0005-0000-0000-00007F140000}"/>
    <cellStyle name="Percent 6 3 2" xfId="5710" xr:uid="{00000000-0005-0000-0000-000080140000}"/>
    <cellStyle name="Percent 6 4" xfId="3373" xr:uid="{00000000-0005-0000-0000-000081140000}"/>
    <cellStyle name="Percent 6 5" xfId="5707" xr:uid="{00000000-0005-0000-0000-000082140000}"/>
    <cellStyle name="Percent 60" xfId="4852" xr:uid="{00000000-0005-0000-0000-000083140000}"/>
    <cellStyle name="Percent 61" xfId="4876" xr:uid="{00000000-0005-0000-0000-000084140000}"/>
    <cellStyle name="Percent 62" xfId="4884" xr:uid="{00000000-0005-0000-0000-000085140000}"/>
    <cellStyle name="Percent 63" xfId="4889" xr:uid="{00000000-0005-0000-0000-000086140000}"/>
    <cellStyle name="Percent 64" xfId="4913" xr:uid="{00000000-0005-0000-0000-000087140000}"/>
    <cellStyle name="Percent 65" xfId="4947" xr:uid="{00000000-0005-0000-0000-000088140000}"/>
    <cellStyle name="Percent 66" xfId="4941" xr:uid="{00000000-0005-0000-0000-000089140000}"/>
    <cellStyle name="Percent 67" xfId="4948" xr:uid="{00000000-0005-0000-0000-00008A140000}"/>
    <cellStyle name="Percent 68" xfId="4939" xr:uid="{00000000-0005-0000-0000-00008B140000}"/>
    <cellStyle name="Percent 69" xfId="4967" xr:uid="{00000000-0005-0000-0000-00008C140000}"/>
    <cellStyle name="Percent 7" xfId="146" xr:uid="{00000000-0005-0000-0000-00008D140000}"/>
    <cellStyle name="Percent 7 2" xfId="3606" xr:uid="{00000000-0005-0000-0000-00008E140000}"/>
    <cellStyle name="Percent 7 2 2" xfId="4757" xr:uid="{00000000-0005-0000-0000-00008F140000}"/>
    <cellStyle name="Percent 7 3" xfId="3533" xr:uid="{00000000-0005-0000-0000-000090140000}"/>
    <cellStyle name="Percent 7 3 2" xfId="4759" xr:uid="{00000000-0005-0000-0000-000091140000}"/>
    <cellStyle name="Percent 7 3 2 2" xfId="4760" xr:uid="{00000000-0005-0000-0000-000092140000}"/>
    <cellStyle name="Percent 7 3 3" xfId="4761" xr:uid="{00000000-0005-0000-0000-000093140000}"/>
    <cellStyle name="Percent 7 3 4" xfId="4762" xr:uid="{00000000-0005-0000-0000-000094140000}"/>
    <cellStyle name="Percent 7 3 5" xfId="4763" xr:uid="{00000000-0005-0000-0000-000095140000}"/>
    <cellStyle name="Percent 7 3 5 2" xfId="4764" xr:uid="{00000000-0005-0000-0000-000096140000}"/>
    <cellStyle name="Percent 7 3 5 3" xfId="4765" xr:uid="{00000000-0005-0000-0000-000097140000}"/>
    <cellStyle name="Percent 7 3 6" xfId="4758" xr:uid="{00000000-0005-0000-0000-000098140000}"/>
    <cellStyle name="Percent 7 4" xfId="4766" xr:uid="{00000000-0005-0000-0000-000099140000}"/>
    <cellStyle name="Percent 7 4 2" xfId="4767" xr:uid="{00000000-0005-0000-0000-00009A140000}"/>
    <cellStyle name="Percent 7 5" xfId="4768" xr:uid="{00000000-0005-0000-0000-00009B140000}"/>
    <cellStyle name="Percent 7 5 2" xfId="4769" xr:uid="{00000000-0005-0000-0000-00009C140000}"/>
    <cellStyle name="Percent 7 6" xfId="4770" xr:uid="{00000000-0005-0000-0000-00009D140000}"/>
    <cellStyle name="Percent 7 7" xfId="4771" xr:uid="{00000000-0005-0000-0000-00009E140000}"/>
    <cellStyle name="Percent 7 8" xfId="5711" xr:uid="{00000000-0005-0000-0000-00009F140000}"/>
    <cellStyle name="Percent 70" xfId="4990" xr:uid="{00000000-0005-0000-0000-0000A0140000}"/>
    <cellStyle name="Percent 71" xfId="4994" xr:uid="{00000000-0005-0000-0000-0000A1140000}"/>
    <cellStyle name="Percent 72" xfId="4998" xr:uid="{00000000-0005-0000-0000-0000A2140000}"/>
    <cellStyle name="Percent 73" xfId="5001" xr:uid="{00000000-0005-0000-0000-0000A3140000}"/>
    <cellStyle name="Percent 74" xfId="5023" xr:uid="{00000000-0005-0000-0000-0000A4140000}"/>
    <cellStyle name="Percent 75" xfId="5055" xr:uid="{00000000-0005-0000-0000-0000A5140000}"/>
    <cellStyle name="Percent 76" xfId="5150" xr:uid="{00000000-0005-0000-0000-0000A6140000}"/>
    <cellStyle name="Percent 77" xfId="5038" xr:uid="{00000000-0005-0000-0000-0000A7140000}"/>
    <cellStyle name="Percent 78" xfId="5232" xr:uid="{00000000-0005-0000-0000-0000A8140000}"/>
    <cellStyle name="Percent 79" xfId="5252" xr:uid="{00000000-0005-0000-0000-0000A9140000}"/>
    <cellStyle name="Percent 8" xfId="149" xr:uid="{00000000-0005-0000-0000-0000AA140000}"/>
    <cellStyle name="Percent 8 2" xfId="3084" xr:uid="{00000000-0005-0000-0000-0000AB140000}"/>
    <cellStyle name="Percent 8 2 2" xfId="4772" xr:uid="{00000000-0005-0000-0000-0000AC140000}"/>
    <cellStyle name="Percent 8 2 2 2" xfId="4773" xr:uid="{00000000-0005-0000-0000-0000AD140000}"/>
    <cellStyle name="Percent 8 2 3" xfId="4774" xr:uid="{00000000-0005-0000-0000-0000AE140000}"/>
    <cellStyle name="Percent 8 2 4" xfId="4775" xr:uid="{00000000-0005-0000-0000-0000AF140000}"/>
    <cellStyle name="Percent 8 2 5" xfId="4776" xr:uid="{00000000-0005-0000-0000-0000B0140000}"/>
    <cellStyle name="Percent 8 3" xfId="3693" xr:uid="{00000000-0005-0000-0000-0000B1140000}"/>
    <cellStyle name="Percent 8 3 2" xfId="4777" xr:uid="{00000000-0005-0000-0000-0000B2140000}"/>
    <cellStyle name="Percent 8 4" xfId="2750" xr:uid="{00000000-0005-0000-0000-0000B3140000}"/>
    <cellStyle name="Percent 8 4 2" xfId="4778" xr:uid="{00000000-0005-0000-0000-0000B4140000}"/>
    <cellStyle name="Percent 8 5" xfId="4779" xr:uid="{00000000-0005-0000-0000-0000B5140000}"/>
    <cellStyle name="Percent 8 6" xfId="4780" xr:uid="{00000000-0005-0000-0000-0000B6140000}"/>
    <cellStyle name="Percent 8 7" xfId="4781" xr:uid="{00000000-0005-0000-0000-0000B7140000}"/>
    <cellStyle name="Percent 8 8" xfId="4782" xr:uid="{00000000-0005-0000-0000-0000B8140000}"/>
    <cellStyle name="Percent 80" xfId="5261" xr:uid="{00000000-0005-0000-0000-0000B9140000}"/>
    <cellStyle name="Percent 81" xfId="5288" xr:uid="{00000000-0005-0000-0000-0000BA140000}"/>
    <cellStyle name="Percent 82" xfId="5306" xr:uid="{00000000-0005-0000-0000-0000BB140000}"/>
    <cellStyle name="Percent 83" xfId="19" xr:uid="{00000000-0005-0000-0000-0000BC140000}"/>
    <cellStyle name="Percent 84" xfId="5317" xr:uid="{00000000-0005-0000-0000-0000BD140000}"/>
    <cellStyle name="Percent 85" xfId="5321" xr:uid="{00000000-0005-0000-0000-0000BE140000}"/>
    <cellStyle name="Percent 86" xfId="5336" xr:uid="{00000000-0005-0000-0000-0000BF140000}"/>
    <cellStyle name="Percent 87" xfId="5723" xr:uid="{00000000-0005-0000-0000-0000C0140000}"/>
    <cellStyle name="Percent 88" xfId="5839" xr:uid="{00000000-0005-0000-0000-0000C1140000}"/>
    <cellStyle name="Percent 89" xfId="5844" xr:uid="{00000000-0005-0000-0000-0000C2140000}"/>
    <cellStyle name="Percent 9" xfId="154" xr:uid="{00000000-0005-0000-0000-0000C3140000}"/>
    <cellStyle name="Percent 9 2" xfId="2752" xr:uid="{00000000-0005-0000-0000-0000C4140000}"/>
    <cellStyle name="Percent 9 2 2" xfId="4784" xr:uid="{00000000-0005-0000-0000-0000C5140000}"/>
    <cellStyle name="Percent 9 2 2 2" xfId="4785" xr:uid="{00000000-0005-0000-0000-0000C6140000}"/>
    <cellStyle name="Percent 9 2 3" xfId="4786" xr:uid="{00000000-0005-0000-0000-0000C7140000}"/>
    <cellStyle name="Percent 9 2 4" xfId="4783" xr:uid="{00000000-0005-0000-0000-0000C8140000}"/>
    <cellStyle name="Percent 9 3" xfId="3089" xr:uid="{00000000-0005-0000-0000-0000C9140000}"/>
    <cellStyle name="Percent 9 3 2" xfId="3748" xr:uid="{00000000-0005-0000-0000-0000CA140000}"/>
    <cellStyle name="Percent 9 3 2 2" xfId="4788" xr:uid="{00000000-0005-0000-0000-0000CB140000}"/>
    <cellStyle name="Percent 9 3 3" xfId="3818" xr:uid="{00000000-0005-0000-0000-0000CC140000}"/>
    <cellStyle name="Percent 9 3 4" xfId="3905" xr:uid="{00000000-0005-0000-0000-0000CD140000}"/>
    <cellStyle name="Percent 9 3 5" xfId="3338" xr:uid="{00000000-0005-0000-0000-0000CE140000}"/>
    <cellStyle name="Percent 9 3 6" xfId="4787" xr:uid="{00000000-0005-0000-0000-0000CF140000}"/>
    <cellStyle name="Percent 9 4" xfId="2751" xr:uid="{00000000-0005-0000-0000-0000D0140000}"/>
    <cellStyle name="Percent 9 4 2" xfId="4790" xr:uid="{00000000-0005-0000-0000-0000D1140000}"/>
    <cellStyle name="Percent 9 4 3" xfId="4789" xr:uid="{00000000-0005-0000-0000-0000D2140000}"/>
    <cellStyle name="Percent 9 5" xfId="4791" xr:uid="{00000000-0005-0000-0000-0000D3140000}"/>
    <cellStyle name="Percent 9 6" xfId="4792" xr:uid="{00000000-0005-0000-0000-0000D4140000}"/>
    <cellStyle name="Percent 9 7" xfId="4793" xr:uid="{00000000-0005-0000-0000-0000D5140000}"/>
    <cellStyle name="Percent 9 8" xfId="4794" xr:uid="{00000000-0005-0000-0000-0000D6140000}"/>
    <cellStyle name="Percent Comma" xfId="5593" xr:uid="{00000000-0005-0000-0000-0000D7140000}"/>
    <cellStyle name="Percent Hard" xfId="2753" xr:uid="{00000000-0005-0000-0000-0000D8140000}"/>
    <cellStyle name="percent no decimal" xfId="2754" xr:uid="{00000000-0005-0000-0000-0000D9140000}"/>
    <cellStyle name="Percent(4places)TotTop" xfId="2755" xr:uid="{00000000-0005-0000-0000-0000DA140000}"/>
    <cellStyle name="Percent1" xfId="2756" xr:uid="{00000000-0005-0000-0000-0000DB140000}"/>
    <cellStyle name="Percent1Blue" xfId="2757" xr:uid="{00000000-0005-0000-0000-0000DC140000}"/>
    <cellStyle name="Percent2" xfId="2758" xr:uid="{00000000-0005-0000-0000-0000DD140000}"/>
    <cellStyle name="Percent2Blue" xfId="2759" xr:uid="{00000000-0005-0000-0000-0000DE140000}"/>
    <cellStyle name="PercentageParen" xfId="5712" xr:uid="{00000000-0005-0000-0000-0000DF140000}"/>
    <cellStyle name="PercentPresentation" xfId="5713" xr:uid="{00000000-0005-0000-0000-0000E0140000}"/>
    <cellStyle name="PercentTotal" xfId="2760" xr:uid="{00000000-0005-0000-0000-0000E1140000}"/>
    <cellStyle name="Phase 2" xfId="2761" xr:uid="{00000000-0005-0000-0000-0000E2140000}"/>
    <cellStyle name="Phase 2 2" xfId="2762" xr:uid="{00000000-0005-0000-0000-0000E3140000}"/>
    <cellStyle name="POPS" xfId="5714" xr:uid="{00000000-0005-0000-0000-0000E4140000}"/>
    <cellStyle name="Porcentaje" xfId="5715" xr:uid="{00000000-0005-0000-0000-0000E5140000}"/>
    <cellStyle name="Pounds" xfId="2763" xr:uid="{00000000-0005-0000-0000-0000E6140000}"/>
    <cellStyle name="Pourcentage_agree" xfId="2764" xr:uid="{00000000-0005-0000-0000-0000E7140000}"/>
    <cellStyle name="PrePop Currency (0)" xfId="2765" xr:uid="{00000000-0005-0000-0000-0000E8140000}"/>
    <cellStyle name="PrePop Currency (0) 2" xfId="2766" xr:uid="{00000000-0005-0000-0000-0000E9140000}"/>
    <cellStyle name="PrePop Currency (2)" xfId="2767" xr:uid="{00000000-0005-0000-0000-0000EA140000}"/>
    <cellStyle name="PrePop Currency (2) 2" xfId="2768" xr:uid="{00000000-0005-0000-0000-0000EB140000}"/>
    <cellStyle name="PrePop Units (0)" xfId="2769" xr:uid="{00000000-0005-0000-0000-0000EC140000}"/>
    <cellStyle name="PrePop Units (0) 2" xfId="2770" xr:uid="{00000000-0005-0000-0000-0000ED140000}"/>
    <cellStyle name="PrePop Units (1)" xfId="2771" xr:uid="{00000000-0005-0000-0000-0000EE140000}"/>
    <cellStyle name="PrePop Units (1) 2" xfId="2772" xr:uid="{00000000-0005-0000-0000-0000EF140000}"/>
    <cellStyle name="PrePop Units (2)" xfId="2773" xr:uid="{00000000-0005-0000-0000-0000F0140000}"/>
    <cellStyle name="PrePop Units (2) 2" xfId="2774" xr:uid="{00000000-0005-0000-0000-0000F1140000}"/>
    <cellStyle name="PresentationZero" xfId="5717" xr:uid="{00000000-0005-0000-0000-0000F2140000}"/>
    <cellStyle name="Price" xfId="2775" xr:uid="{00000000-0005-0000-0000-0000F3140000}"/>
    <cellStyle name="Price 2" xfId="5718" xr:uid="{00000000-0005-0000-0000-0000F4140000}"/>
    <cellStyle name="PriceUn" xfId="2776" xr:uid="{00000000-0005-0000-0000-0000F5140000}"/>
    <cellStyle name="pricing" xfId="2777" xr:uid="{00000000-0005-0000-0000-0000F6140000}"/>
    <cellStyle name="Procent_BINV" xfId="2778" xr:uid="{00000000-0005-0000-0000-0000F7140000}"/>
    <cellStyle name="Product Title" xfId="2779" xr:uid="{00000000-0005-0000-0000-0000F8140000}"/>
    <cellStyle name="Project" xfId="89" xr:uid="{00000000-0005-0000-0000-0000F9140000}"/>
    <cellStyle name="Project 2" xfId="3760" xr:uid="{00000000-0005-0000-0000-0000FA140000}"/>
    <cellStyle name="Project 3" xfId="3580" xr:uid="{00000000-0005-0000-0000-0000FB140000}"/>
    <cellStyle name="Project 4" xfId="3111" xr:uid="{00000000-0005-0000-0000-0000FC140000}"/>
    <cellStyle name="PSChar" xfId="2780" xr:uid="{00000000-0005-0000-0000-0000FD140000}"/>
    <cellStyle name="PSDate" xfId="2781" xr:uid="{00000000-0005-0000-0000-0000FE140000}"/>
    <cellStyle name="PSDec" xfId="2782" xr:uid="{00000000-0005-0000-0000-0000FF140000}"/>
    <cellStyle name="PSHeading" xfId="2783" xr:uid="{00000000-0005-0000-0000-000000150000}"/>
    <cellStyle name="PSHeading 2" xfId="3769" xr:uid="{00000000-0005-0000-0000-000001150000}"/>
    <cellStyle name="PSHeading 3" xfId="3294" xr:uid="{00000000-0005-0000-0000-000002150000}"/>
    <cellStyle name="PSHeading 4" xfId="3139" xr:uid="{00000000-0005-0000-0000-000003150000}"/>
    <cellStyle name="PSInt" xfId="2784" xr:uid="{00000000-0005-0000-0000-000004150000}"/>
    <cellStyle name="PSSpacer" xfId="2785" xr:uid="{00000000-0005-0000-0000-000005150000}"/>
    <cellStyle name="qTR" xfId="2786" xr:uid="{00000000-0005-0000-0000-000006150000}"/>
    <cellStyle name="Quarter" xfId="2787" xr:uid="{00000000-0005-0000-0000-000007150000}"/>
    <cellStyle name="Randy" xfId="2788" xr:uid="{00000000-0005-0000-0000-000008150000}"/>
    <cellStyle name="rate" xfId="5719" xr:uid="{00000000-0005-0000-0000-000009150000}"/>
    <cellStyle name="RateCell" xfId="2789" xr:uid="{00000000-0005-0000-0000-00000A150000}"/>
    <cellStyle name="RateHdr" xfId="2790" xr:uid="{00000000-0005-0000-0000-00000B150000}"/>
    <cellStyle name="Ratio" xfId="5720" xr:uid="{00000000-0005-0000-0000-00000C150000}"/>
    <cellStyle name="Ratio Comma" xfId="5721" xr:uid="{00000000-0005-0000-0000-00000D150000}"/>
    <cellStyle name="Ratio_270 Model 3-24-02v19" xfId="5558" xr:uid="{00000000-0005-0000-0000-00000E150000}"/>
    <cellStyle name="regstoresfromspecstores" xfId="2791" xr:uid="{00000000-0005-0000-0000-00000F150000}"/>
    <cellStyle name="Report_Name" xfId="5722" xr:uid="{00000000-0005-0000-0000-000010150000}"/>
    <cellStyle name="RESIDUAL ASSET" xfId="2792" xr:uid="{00000000-0005-0000-0000-000011150000}"/>
    <cellStyle name="RETAIL SHOP" xfId="2793" xr:uid="{00000000-0005-0000-0000-000012150000}"/>
    <cellStyle name="RETAIL SHOP 2" xfId="2794" xr:uid="{00000000-0005-0000-0000-000013150000}"/>
    <cellStyle name="RevList" xfId="2795" xr:uid="{00000000-0005-0000-0000-000014150000}"/>
    <cellStyle name="Right" xfId="2796" xr:uid="{00000000-0005-0000-0000-000015150000}"/>
    <cellStyle name="Right 2" xfId="5388" xr:uid="{00000000-0005-0000-0000-000016150000}"/>
    <cellStyle name="Right Margin" xfId="90" xr:uid="{00000000-0005-0000-0000-000017150000}"/>
    <cellStyle name="Right Margin 2" xfId="5724" xr:uid="{00000000-0005-0000-0000-000018150000}"/>
    <cellStyle name="Right Margin 3" xfId="5725" xr:uid="{00000000-0005-0000-0000-000019150000}"/>
    <cellStyle name="RM" xfId="5726" xr:uid="{00000000-0005-0000-0000-00001A150000}"/>
    <cellStyle name="s" xfId="2797" xr:uid="{00000000-0005-0000-0000-00001B150000}"/>
    <cellStyle name="s loan repayment" xfId="5727" xr:uid="{00000000-0005-0000-0000-00001C150000}"/>
    <cellStyle name="s]_x000d__x000a_spooler=yes_x000d__x000a_run=_x000d__x000a_Beep=yes_x000d__x000a_NullPort=None_x000d__x000a_BorderWidth=3_x000d__x000a_CursorBlinkRate=530_x000d__x000a_DoubleClickSpeed=452_x000d__x000a_Programs=com " xfId="2798" xr:uid="{00000000-0005-0000-0000-00001D150000}"/>
    <cellStyle name="s]_x000d__x000a_spooler=yes_x000d__x000a_run=_x000d__x000a_Beep=yes_x000d__x000a_NullPort=None_x000d__x000a_BorderWidth=3_x000d__x000a_CursorBlinkRate=530_x000d__x000a_DoubleClickSpeed=452_x000d__x000a_Programs=com  2" xfId="2799" xr:uid="{00000000-0005-0000-0000-00001E150000}"/>
    <cellStyle name="s_Cash Flow for Tener 072210" xfId="2800" xr:uid="{00000000-0005-0000-0000-00001F150000}"/>
    <cellStyle name="SAPBEXaggData" xfId="5728" xr:uid="{00000000-0005-0000-0000-000020150000}"/>
    <cellStyle name="SAPBEXaggData 2" xfId="5803" xr:uid="{00000000-0005-0000-0000-000021150000}"/>
    <cellStyle name="SAPBEXaggDataEmph" xfId="5729" xr:uid="{00000000-0005-0000-0000-000022150000}"/>
    <cellStyle name="SAPBEXaggDataEmph 2" xfId="5804" xr:uid="{00000000-0005-0000-0000-000023150000}"/>
    <cellStyle name="SAPBEXaggItem" xfId="5730" xr:uid="{00000000-0005-0000-0000-000024150000}"/>
    <cellStyle name="SAPBEXaggItem 2" xfId="5805" xr:uid="{00000000-0005-0000-0000-000025150000}"/>
    <cellStyle name="SAPBEXaggItemX" xfId="5731" xr:uid="{00000000-0005-0000-0000-000026150000}"/>
    <cellStyle name="SAPBEXaggItemX 2" xfId="5806" xr:uid="{00000000-0005-0000-0000-000027150000}"/>
    <cellStyle name="SAPBEXchaText" xfId="5732" xr:uid="{00000000-0005-0000-0000-000028150000}"/>
    <cellStyle name="SAPBEXchaText 2" xfId="5807" xr:uid="{00000000-0005-0000-0000-000029150000}"/>
    <cellStyle name="SAPBEXexcBad7" xfId="5652" xr:uid="{00000000-0005-0000-0000-00002A150000}"/>
    <cellStyle name="SAPBEXexcBad7 2" xfId="5800" xr:uid="{00000000-0005-0000-0000-00002B150000}"/>
    <cellStyle name="SAPBEXexcBad8" xfId="5733" xr:uid="{00000000-0005-0000-0000-00002C150000}"/>
    <cellStyle name="SAPBEXexcBad8 2" xfId="5808" xr:uid="{00000000-0005-0000-0000-00002D150000}"/>
    <cellStyle name="SAPBEXexcBad9" xfId="5734" xr:uid="{00000000-0005-0000-0000-00002E150000}"/>
    <cellStyle name="SAPBEXexcBad9 2" xfId="5809" xr:uid="{00000000-0005-0000-0000-00002F150000}"/>
    <cellStyle name="SAPBEXexcCritical4" xfId="5735" xr:uid="{00000000-0005-0000-0000-000030150000}"/>
    <cellStyle name="SAPBEXexcCritical4 2" xfId="5810" xr:uid="{00000000-0005-0000-0000-000031150000}"/>
    <cellStyle name="SAPBEXexcCritical5" xfId="5736" xr:uid="{00000000-0005-0000-0000-000032150000}"/>
    <cellStyle name="SAPBEXexcCritical5 2" xfId="5811" xr:uid="{00000000-0005-0000-0000-000033150000}"/>
    <cellStyle name="SAPBEXexcCritical6" xfId="5716" xr:uid="{00000000-0005-0000-0000-000034150000}"/>
    <cellStyle name="SAPBEXexcCritical6 2" xfId="5802" xr:uid="{00000000-0005-0000-0000-000035150000}"/>
    <cellStyle name="SAPBEXexcGood1" xfId="5737" xr:uid="{00000000-0005-0000-0000-000036150000}"/>
    <cellStyle name="SAPBEXexcGood1 2" xfId="5812" xr:uid="{00000000-0005-0000-0000-000037150000}"/>
    <cellStyle name="SAPBEXexcGood2" xfId="5738" xr:uid="{00000000-0005-0000-0000-000038150000}"/>
    <cellStyle name="SAPBEXexcGood2 2" xfId="5813" xr:uid="{00000000-0005-0000-0000-000039150000}"/>
    <cellStyle name="SAPBEXexcGood3" xfId="5739" xr:uid="{00000000-0005-0000-0000-00003A150000}"/>
    <cellStyle name="SAPBEXexcGood3 2" xfId="5814" xr:uid="{00000000-0005-0000-0000-00003B150000}"/>
    <cellStyle name="SAPBEXfilterDrill" xfId="5740" xr:uid="{00000000-0005-0000-0000-00003C150000}"/>
    <cellStyle name="SAPBEXfilterDrill 2" xfId="5815" xr:uid="{00000000-0005-0000-0000-00003D150000}"/>
    <cellStyle name="SAPBEXfilterItem" xfId="5741" xr:uid="{00000000-0005-0000-0000-00003E150000}"/>
    <cellStyle name="SAPBEXfilterText" xfId="5742" xr:uid="{00000000-0005-0000-0000-00003F150000}"/>
    <cellStyle name="SAPBEXformats" xfId="5743" xr:uid="{00000000-0005-0000-0000-000040150000}"/>
    <cellStyle name="SAPBEXformats 2" xfId="5816" xr:uid="{00000000-0005-0000-0000-000041150000}"/>
    <cellStyle name="SAPBEXheaderItem" xfId="5744" xr:uid="{00000000-0005-0000-0000-000042150000}"/>
    <cellStyle name="SAPBEXheaderItem 2" xfId="5817" xr:uid="{00000000-0005-0000-0000-000043150000}"/>
    <cellStyle name="SAPBEXheaderText" xfId="5745" xr:uid="{00000000-0005-0000-0000-000044150000}"/>
    <cellStyle name="SAPBEXheaderText 2" xfId="5818" xr:uid="{00000000-0005-0000-0000-000045150000}"/>
    <cellStyle name="SAPBEXHLevel0" xfId="5746" xr:uid="{00000000-0005-0000-0000-000046150000}"/>
    <cellStyle name="SAPBEXHLevel0 2" xfId="5819" xr:uid="{00000000-0005-0000-0000-000047150000}"/>
    <cellStyle name="SAPBEXHLevel0X" xfId="5747" xr:uid="{00000000-0005-0000-0000-000048150000}"/>
    <cellStyle name="SAPBEXHLevel0X 2" xfId="5820" xr:uid="{00000000-0005-0000-0000-000049150000}"/>
    <cellStyle name="SAPBEXHLevel1" xfId="5748" xr:uid="{00000000-0005-0000-0000-00004A150000}"/>
    <cellStyle name="SAPBEXHLevel1 2" xfId="5821" xr:uid="{00000000-0005-0000-0000-00004B150000}"/>
    <cellStyle name="SAPBEXHLevel1X" xfId="5749" xr:uid="{00000000-0005-0000-0000-00004C150000}"/>
    <cellStyle name="SAPBEXHLevel1X 2" xfId="5822" xr:uid="{00000000-0005-0000-0000-00004D150000}"/>
    <cellStyle name="SAPBEXHLevel2" xfId="5750" xr:uid="{00000000-0005-0000-0000-00004E150000}"/>
    <cellStyle name="SAPBEXHLevel2 2" xfId="5823" xr:uid="{00000000-0005-0000-0000-00004F150000}"/>
    <cellStyle name="SAPBEXHLevel2X" xfId="5751" xr:uid="{00000000-0005-0000-0000-000050150000}"/>
    <cellStyle name="SAPBEXHLevel2X 2" xfId="5824" xr:uid="{00000000-0005-0000-0000-000051150000}"/>
    <cellStyle name="SAPBEXHLevel3" xfId="5752" xr:uid="{00000000-0005-0000-0000-000052150000}"/>
    <cellStyle name="SAPBEXHLevel3 2" xfId="5825" xr:uid="{00000000-0005-0000-0000-000053150000}"/>
    <cellStyle name="SAPBEXHLevel3X" xfId="5753" xr:uid="{00000000-0005-0000-0000-000054150000}"/>
    <cellStyle name="SAPBEXHLevel3X 2" xfId="5826" xr:uid="{00000000-0005-0000-0000-000055150000}"/>
    <cellStyle name="SAPBEXresData" xfId="5754" xr:uid="{00000000-0005-0000-0000-000056150000}"/>
    <cellStyle name="SAPBEXresData 2" xfId="5827" xr:uid="{00000000-0005-0000-0000-000057150000}"/>
    <cellStyle name="SAPBEXresDataEmph" xfId="5755" xr:uid="{00000000-0005-0000-0000-000058150000}"/>
    <cellStyle name="SAPBEXresDataEmph 2" xfId="5828" xr:uid="{00000000-0005-0000-0000-000059150000}"/>
    <cellStyle name="SAPBEXresItem" xfId="5756" xr:uid="{00000000-0005-0000-0000-00005A150000}"/>
    <cellStyle name="SAPBEXresItem 2" xfId="5829" xr:uid="{00000000-0005-0000-0000-00005B150000}"/>
    <cellStyle name="SAPBEXresItemX" xfId="5757" xr:uid="{00000000-0005-0000-0000-00005C150000}"/>
    <cellStyle name="SAPBEXresItemX 2" xfId="5830" xr:uid="{00000000-0005-0000-0000-00005D150000}"/>
    <cellStyle name="SAPBEXstdData" xfId="5758" xr:uid="{00000000-0005-0000-0000-00005E150000}"/>
    <cellStyle name="SAPBEXstdData 2" xfId="5831" xr:uid="{00000000-0005-0000-0000-00005F150000}"/>
    <cellStyle name="SAPBEXstdDataEmph" xfId="5759" xr:uid="{00000000-0005-0000-0000-000060150000}"/>
    <cellStyle name="SAPBEXstdDataEmph 2" xfId="5832" xr:uid="{00000000-0005-0000-0000-000061150000}"/>
    <cellStyle name="SAPBEXstdItem" xfId="5760" xr:uid="{00000000-0005-0000-0000-000062150000}"/>
    <cellStyle name="SAPBEXstdItem 2" xfId="5833" xr:uid="{00000000-0005-0000-0000-000063150000}"/>
    <cellStyle name="SAPBEXstdItemX" xfId="5564" xr:uid="{00000000-0005-0000-0000-000064150000}"/>
    <cellStyle name="SAPBEXstdItemX 2" xfId="5795" xr:uid="{00000000-0005-0000-0000-000065150000}"/>
    <cellStyle name="SAPBEXtitle" xfId="5761" xr:uid="{00000000-0005-0000-0000-000066150000}"/>
    <cellStyle name="SAPBEXundefined" xfId="5762" xr:uid="{00000000-0005-0000-0000-000067150000}"/>
    <cellStyle name="SAPBEXundefined 2" xfId="5834" xr:uid="{00000000-0005-0000-0000-000068150000}"/>
    <cellStyle name="Scenario" xfId="91" xr:uid="{00000000-0005-0000-0000-000069150000}"/>
    <cellStyle name="Scenario 2" xfId="2801" xr:uid="{00000000-0005-0000-0000-00006A150000}"/>
    <cellStyle name="Scenario 2 2" xfId="3694" xr:uid="{00000000-0005-0000-0000-00006B150000}"/>
    <cellStyle name="Scenario 2 3" xfId="3799" xr:uid="{00000000-0005-0000-0000-00006C150000}"/>
    <cellStyle name="Scenario 2 4" xfId="3296" xr:uid="{00000000-0005-0000-0000-00006D150000}"/>
    <cellStyle name="Scenario 3" xfId="3068" xr:uid="{00000000-0005-0000-0000-00006E150000}"/>
    <cellStyle name="Scenario 3 2" xfId="3896" xr:uid="{00000000-0005-0000-0000-00006F150000}"/>
    <cellStyle name="Scenario 4" xfId="219" xr:uid="{00000000-0005-0000-0000-000070150000}"/>
    <cellStyle name="Scenario 5" xfId="5763" xr:uid="{00000000-0005-0000-0000-000071150000}"/>
    <cellStyle name="SchedGen" xfId="2802" xr:uid="{00000000-0005-0000-0000-000072150000}"/>
    <cellStyle name="SchedValue" xfId="2803" xr:uid="{00000000-0005-0000-0000-000073150000}"/>
    <cellStyle name="SchedValue2" xfId="2804" xr:uid="{00000000-0005-0000-0000-000074150000}"/>
    <cellStyle name="ScotchRule" xfId="2805" xr:uid="{00000000-0005-0000-0000-000075150000}"/>
    <cellStyle name="SEA VIEW OFF 4 FL" xfId="2806" xr:uid="{00000000-0005-0000-0000-000076150000}"/>
    <cellStyle name="SEA VIEW OFF 4 FL 2" xfId="2807" xr:uid="{00000000-0005-0000-0000-000077150000}"/>
    <cellStyle name="sea VIEW OFFICE - 1ST FL" xfId="2808" xr:uid="{00000000-0005-0000-0000-000078150000}"/>
    <cellStyle name="sea VIEW OFFICE - 1ST FL 2" xfId="2809" xr:uid="{00000000-0005-0000-0000-000079150000}"/>
    <cellStyle name="SEA VIEW OFFICE 2&amp;3" xfId="2810" xr:uid="{00000000-0005-0000-0000-00007A150000}"/>
    <cellStyle name="SEA VIEW OFFICE 2&amp;3 2" xfId="2811" xr:uid="{00000000-0005-0000-0000-00007B150000}"/>
    <cellStyle name="Second Heading_dynex lihtcperm" xfId="2812" xr:uid="{00000000-0005-0000-0000-00007C150000}"/>
    <cellStyle name="Section" xfId="5764" xr:uid="{00000000-0005-0000-0000-00007D150000}"/>
    <cellStyle name="SectionTitle" xfId="2813" xr:uid="{00000000-0005-0000-0000-00007E150000}"/>
    <cellStyle name="Separador de milhares [0]_Arrendamiraflores" xfId="2814" xr:uid="{00000000-0005-0000-0000-00007F150000}"/>
    <cellStyle name="shade" xfId="4795" xr:uid="{00000000-0005-0000-0000-000080150000}"/>
    <cellStyle name="shade 10" xfId="4796" xr:uid="{00000000-0005-0000-0000-000081150000}"/>
    <cellStyle name="shade 11" xfId="4797" xr:uid="{00000000-0005-0000-0000-000082150000}"/>
    <cellStyle name="shade 12" xfId="4798" xr:uid="{00000000-0005-0000-0000-000083150000}"/>
    <cellStyle name="shade 13" xfId="4799" xr:uid="{00000000-0005-0000-0000-000084150000}"/>
    <cellStyle name="shade 14" xfId="4800" xr:uid="{00000000-0005-0000-0000-000085150000}"/>
    <cellStyle name="shade 15" xfId="4801" xr:uid="{00000000-0005-0000-0000-000086150000}"/>
    <cellStyle name="shade 16" xfId="4802" xr:uid="{00000000-0005-0000-0000-000087150000}"/>
    <cellStyle name="shade 17" xfId="4803" xr:uid="{00000000-0005-0000-0000-000088150000}"/>
    <cellStyle name="shade 18" xfId="4804" xr:uid="{00000000-0005-0000-0000-000089150000}"/>
    <cellStyle name="shade 19" xfId="4805" xr:uid="{00000000-0005-0000-0000-00008A150000}"/>
    <cellStyle name="shade 2" xfId="4806" xr:uid="{00000000-0005-0000-0000-00008B150000}"/>
    <cellStyle name="shade 2 2" xfId="4807" xr:uid="{00000000-0005-0000-0000-00008C150000}"/>
    <cellStyle name="shade 20" xfId="4808" xr:uid="{00000000-0005-0000-0000-00008D150000}"/>
    <cellStyle name="shade 21" xfId="4809" xr:uid="{00000000-0005-0000-0000-00008E150000}"/>
    <cellStyle name="shade 22" xfId="4810" xr:uid="{00000000-0005-0000-0000-00008F150000}"/>
    <cellStyle name="shade 23" xfId="4811" xr:uid="{00000000-0005-0000-0000-000090150000}"/>
    <cellStyle name="shade 24" xfId="4812" xr:uid="{00000000-0005-0000-0000-000091150000}"/>
    <cellStyle name="shade 25" xfId="4813" xr:uid="{00000000-0005-0000-0000-000092150000}"/>
    <cellStyle name="shade 26" xfId="4814" xr:uid="{00000000-0005-0000-0000-000093150000}"/>
    <cellStyle name="shade 27" xfId="4815" xr:uid="{00000000-0005-0000-0000-000094150000}"/>
    <cellStyle name="shade 28" xfId="4816" xr:uid="{00000000-0005-0000-0000-000095150000}"/>
    <cellStyle name="shade 29" xfId="4817" xr:uid="{00000000-0005-0000-0000-000096150000}"/>
    <cellStyle name="shade 3" xfId="4818" xr:uid="{00000000-0005-0000-0000-000097150000}"/>
    <cellStyle name="Shade 30" xfId="5765" xr:uid="{00000000-0005-0000-0000-000098150000}"/>
    <cellStyle name="Shade 31" xfId="5835" xr:uid="{00000000-0005-0000-0000-000099150000}"/>
    <cellStyle name="shade 4" xfId="4819" xr:uid="{00000000-0005-0000-0000-00009A150000}"/>
    <cellStyle name="shade 5" xfId="4820" xr:uid="{00000000-0005-0000-0000-00009B150000}"/>
    <cellStyle name="shade 6" xfId="4821" xr:uid="{00000000-0005-0000-0000-00009C150000}"/>
    <cellStyle name="shade 7" xfId="4822" xr:uid="{00000000-0005-0000-0000-00009D150000}"/>
    <cellStyle name="shade 8" xfId="4823" xr:uid="{00000000-0005-0000-0000-00009E150000}"/>
    <cellStyle name="shade 9" xfId="4824" xr:uid="{00000000-0005-0000-0000-00009F150000}"/>
    <cellStyle name="shade_Input 2 - Sources of Funds" xfId="5846" xr:uid="{00000000-0005-0000-0000-0000A0150000}"/>
    <cellStyle name="Shaded" xfId="2815" xr:uid="{00000000-0005-0000-0000-0000A1150000}"/>
    <cellStyle name="SHADEDSTORES" xfId="2816" xr:uid="{00000000-0005-0000-0000-0000A2150000}"/>
    <cellStyle name="SHADEDSTORES 2" xfId="3695" xr:uid="{00000000-0005-0000-0000-0000A3150000}"/>
    <cellStyle name="SHADEDSTORES 2 2" xfId="3962" xr:uid="{00000000-0005-0000-0000-0000A4150000}"/>
    <cellStyle name="Shading" xfId="2817" xr:uid="{00000000-0005-0000-0000-0000A5150000}"/>
    <cellStyle name="Shares" xfId="5766" xr:uid="{00000000-0005-0000-0000-0000A6150000}"/>
    <cellStyle name="Sheet 0 Background" xfId="2818" xr:uid="{00000000-0005-0000-0000-0000A7150000}"/>
    <cellStyle name="Sheet_0_ 2 Table Border" xfId="2819" xr:uid="{00000000-0005-0000-0000-0000A8150000}"/>
    <cellStyle name="ShOut" xfId="2820" xr:uid="{00000000-0005-0000-0000-0000A9150000}"/>
    <cellStyle name="ShOut 2" xfId="2821" xr:uid="{00000000-0005-0000-0000-0000AA150000}"/>
    <cellStyle name="ShOut 2 2" xfId="2822" xr:uid="{00000000-0005-0000-0000-0000AB150000}"/>
    <cellStyle name="ShOut 2 2 2" xfId="2823" xr:uid="{00000000-0005-0000-0000-0000AC150000}"/>
    <cellStyle name="ShOut 2 3" xfId="2824" xr:uid="{00000000-0005-0000-0000-0000AD150000}"/>
    <cellStyle name="ShOut 2_120403-Utica-3rd Flr Gym" xfId="2825" xr:uid="{00000000-0005-0000-0000-0000AE150000}"/>
    <cellStyle name="ShOut 3" xfId="2826" xr:uid="{00000000-0005-0000-0000-0000AF150000}"/>
    <cellStyle name="ShOut_120403-Utica-3rd Flr Gym" xfId="2827" xr:uid="{00000000-0005-0000-0000-0000B0150000}"/>
    <cellStyle name="Single Accounting" xfId="2828" xr:uid="{00000000-0005-0000-0000-0000B1150000}"/>
    <cellStyle name="Single Accounting 2" xfId="4825" xr:uid="{00000000-0005-0000-0000-0000B2150000}"/>
    <cellStyle name="SingleLineAcctgn" xfId="5767" xr:uid="{00000000-0005-0000-0000-0000B3150000}"/>
    <cellStyle name="SingleLinePercent" xfId="5768" xr:uid="{00000000-0005-0000-0000-0000B4150000}"/>
    <cellStyle name="specstores" xfId="2829" xr:uid="{00000000-0005-0000-0000-0000B5150000}"/>
    <cellStyle name="Standaard_BINV" xfId="2830" xr:uid="{00000000-0005-0000-0000-0000B6150000}"/>
    <cellStyle name="Standard_Anpassen der Amortisation" xfId="104" xr:uid="{00000000-0005-0000-0000-0000B7150000}"/>
    <cellStyle name="Stock Comma" xfId="5770" xr:uid="{00000000-0005-0000-0000-0000B8150000}"/>
    <cellStyle name="Stock Price" xfId="5771" xr:uid="{00000000-0005-0000-0000-0000B9150000}"/>
    <cellStyle name="STYL1 - Style1" xfId="3371" xr:uid="{00000000-0005-0000-0000-0000BA150000}"/>
    <cellStyle name="STYL1 - Style1 2" xfId="3545" xr:uid="{00000000-0005-0000-0000-0000BB150000}"/>
    <cellStyle name="STYL1 - Style1 3" xfId="4826" xr:uid="{00000000-0005-0000-0000-0000BC150000}"/>
    <cellStyle name="STYL1 - Style1 4" xfId="4827" xr:uid="{00000000-0005-0000-0000-0000BD150000}"/>
    <cellStyle name="Style 1" xfId="2831" xr:uid="{00000000-0005-0000-0000-0000BE150000}"/>
    <cellStyle name="Style 1 2" xfId="2832" xr:uid="{00000000-0005-0000-0000-0000BF150000}"/>
    <cellStyle name="Style 1 2 2" xfId="2833" xr:uid="{00000000-0005-0000-0000-0000C0150000}"/>
    <cellStyle name="Style 1 2 2 2" xfId="2834" xr:uid="{00000000-0005-0000-0000-0000C1150000}"/>
    <cellStyle name="Style 1 2 3" xfId="2835" xr:uid="{00000000-0005-0000-0000-0000C2150000}"/>
    <cellStyle name="Style 1 3" xfId="2836" xr:uid="{00000000-0005-0000-0000-0000C3150000}"/>
    <cellStyle name="Style 1 4" xfId="5772" xr:uid="{00000000-0005-0000-0000-0000C4150000}"/>
    <cellStyle name="Style 1_88 Richardson 80-20 1-31-12 Invest Memo" xfId="2837" xr:uid="{00000000-0005-0000-0000-0000C5150000}"/>
    <cellStyle name="Style 2" xfId="2838" xr:uid="{00000000-0005-0000-0000-0000C6150000}"/>
    <cellStyle name="Style 2 2" xfId="2839" xr:uid="{00000000-0005-0000-0000-0000C7150000}"/>
    <cellStyle name="Style 2 2 2" xfId="2840" xr:uid="{00000000-0005-0000-0000-0000C8150000}"/>
    <cellStyle name="Style 2 2 2 2" xfId="2841" xr:uid="{00000000-0005-0000-0000-0000C9150000}"/>
    <cellStyle name="Style 2 2 3" xfId="2842" xr:uid="{00000000-0005-0000-0000-0000CA150000}"/>
    <cellStyle name="Style 2 2_120403-Utica-3rd Flr Gym" xfId="2843" xr:uid="{00000000-0005-0000-0000-0000CB150000}"/>
    <cellStyle name="Style 2 3" xfId="2844" xr:uid="{00000000-0005-0000-0000-0000CC150000}"/>
    <cellStyle name="Style 2_120403-Utica-3rd Flr Gym" xfId="2845" xr:uid="{00000000-0005-0000-0000-0000CD150000}"/>
    <cellStyle name="Style１" xfId="2846" xr:uid="{00000000-0005-0000-0000-0000CE150000}"/>
    <cellStyle name="STYLE1 - Style1" xfId="2847" xr:uid="{00000000-0005-0000-0000-0000CF150000}"/>
    <cellStyle name="STYLE2 - Style2" xfId="2848" xr:uid="{00000000-0005-0000-0000-0000D0150000}"/>
    <cellStyle name="STYLE3 - Style3" xfId="2849" xr:uid="{00000000-0005-0000-0000-0000D1150000}"/>
    <cellStyle name="STYLE4 - Style4" xfId="2850" xr:uid="{00000000-0005-0000-0000-0000D2150000}"/>
    <cellStyle name="Subhead" xfId="92" xr:uid="{00000000-0005-0000-0000-0000D3150000}"/>
    <cellStyle name="Subhead 2" xfId="3761" xr:uid="{00000000-0005-0000-0000-0000D4150000}"/>
    <cellStyle name="Subhead 3" xfId="3581" xr:uid="{00000000-0005-0000-0000-0000D5150000}"/>
    <cellStyle name="Subhead 4" xfId="3113" xr:uid="{00000000-0005-0000-0000-0000D6150000}"/>
    <cellStyle name="Subheader" xfId="93" xr:uid="{00000000-0005-0000-0000-0000D7150000}"/>
    <cellStyle name="Subheader 2" xfId="4880" xr:uid="{00000000-0005-0000-0000-0000D8150000}"/>
    <cellStyle name="Subtitle" xfId="2851" xr:uid="{00000000-0005-0000-0000-0000D9150000}"/>
    <cellStyle name="Subtitle - No ScotchRule" xfId="5773" xr:uid="{00000000-0005-0000-0000-0000DA150000}"/>
    <cellStyle name="Subtotal" xfId="94" xr:uid="{00000000-0005-0000-0000-0000DB150000}"/>
    <cellStyle name="Subtotal 2" xfId="3029" xr:uid="{00000000-0005-0000-0000-0000DC150000}"/>
    <cellStyle name="Subtotal 2 2" xfId="3725" xr:uid="{00000000-0005-0000-0000-0000DD150000}"/>
    <cellStyle name="Subtotal 2 2 2" xfId="3971" xr:uid="{00000000-0005-0000-0000-0000DE150000}"/>
    <cellStyle name="SubTotal 3" xfId="2852" xr:uid="{00000000-0005-0000-0000-0000DF150000}"/>
    <cellStyle name="SubTotal 3 2" xfId="3698" xr:uid="{00000000-0005-0000-0000-0000E0150000}"/>
    <cellStyle name="SubTotal 3 3" xfId="3800" xr:uid="{00000000-0005-0000-0000-0000E1150000}"/>
    <cellStyle name="SubTotal 3 3 2" xfId="3983" xr:uid="{00000000-0005-0000-0000-0000E2150000}"/>
    <cellStyle name="Subtotal 4" xfId="3064" xr:uid="{00000000-0005-0000-0000-0000E3150000}"/>
    <cellStyle name="Subtotal 4 2" xfId="3737" xr:uid="{00000000-0005-0000-0000-0000E4150000}"/>
    <cellStyle name="Subtotal 4 2 2" xfId="3972" xr:uid="{00000000-0005-0000-0000-0000E5150000}"/>
    <cellStyle name="Subtotal 4 3" xfId="3325" xr:uid="{00000000-0005-0000-0000-0000E6150000}"/>
    <cellStyle name="Subtotal 5" xfId="3073" xr:uid="{00000000-0005-0000-0000-0000E7150000}"/>
    <cellStyle name="Subtotal 5 2" xfId="3741" xr:uid="{00000000-0005-0000-0000-0000E8150000}"/>
    <cellStyle name="Subtotal 5 2 2" xfId="3975" xr:uid="{00000000-0005-0000-0000-0000E9150000}"/>
    <cellStyle name="Subtotal 5 3" xfId="3331" xr:uid="{00000000-0005-0000-0000-0000EA150000}"/>
    <cellStyle name="Subtotal 6" xfId="3582" xr:uid="{00000000-0005-0000-0000-0000EB150000}"/>
    <cellStyle name="Subtotal 6 2" xfId="3932" xr:uid="{00000000-0005-0000-0000-0000EC150000}"/>
    <cellStyle name="Subtotal 7" xfId="220" xr:uid="{00000000-0005-0000-0000-0000ED150000}"/>
    <cellStyle name="Subtotal 8" xfId="5696" xr:uid="{00000000-0005-0000-0000-0000EE150000}"/>
    <cellStyle name="Subtotal 9" xfId="5801" xr:uid="{00000000-0005-0000-0000-0000EF150000}"/>
    <cellStyle name="summary" xfId="95" xr:uid="{00000000-0005-0000-0000-0000F0150000}"/>
    <cellStyle name="summary 2" xfId="3762" xr:uid="{00000000-0005-0000-0000-0000F1150000}"/>
    <cellStyle name="summary 3" xfId="3583" xr:uid="{00000000-0005-0000-0000-0000F2150000}"/>
    <cellStyle name="summary 4" xfId="3114" xr:uid="{00000000-0005-0000-0000-0000F3150000}"/>
    <cellStyle name="Superscript" xfId="2853" xr:uid="{00000000-0005-0000-0000-0000F4150000}"/>
    <cellStyle name="T MART" xfId="2854" xr:uid="{00000000-0005-0000-0000-0000F5150000}"/>
    <cellStyle name="T MART 2" xfId="2855" xr:uid="{00000000-0005-0000-0000-0000F6150000}"/>
    <cellStyle name="T MART CORE" xfId="2856" xr:uid="{00000000-0005-0000-0000-0000F7150000}"/>
    <cellStyle name="T MART CORE 2" xfId="2857" xr:uid="{00000000-0005-0000-0000-0000F8150000}"/>
    <cellStyle name="T MART PERIMETER" xfId="2858" xr:uid="{00000000-0005-0000-0000-0000F9150000}"/>
    <cellStyle name="T MART PERIMETER 2" xfId="2859" xr:uid="{00000000-0005-0000-0000-0000FA150000}"/>
    <cellStyle name="T10" xfId="2860" xr:uid="{00000000-0005-0000-0000-0000FB150000}"/>
    <cellStyle name="Table Col Head" xfId="2861" xr:uid="{00000000-0005-0000-0000-0000FC150000}"/>
    <cellStyle name="Table Head" xfId="2862" xr:uid="{00000000-0005-0000-0000-0000FD150000}"/>
    <cellStyle name="Table Head Aligned" xfId="2863" xr:uid="{00000000-0005-0000-0000-0000FE150000}"/>
    <cellStyle name="Table Head Aligned 2" xfId="3699" xr:uid="{00000000-0005-0000-0000-0000FF150000}"/>
    <cellStyle name="Table Head Aligned 3" xfId="3801" xr:uid="{00000000-0005-0000-0000-000000160000}"/>
    <cellStyle name="Table Head Aligned 4" xfId="3309" xr:uid="{00000000-0005-0000-0000-000001160000}"/>
    <cellStyle name="Table Head Blue" xfId="2864" xr:uid="{00000000-0005-0000-0000-000002160000}"/>
    <cellStyle name="Table Head Green" xfId="2865" xr:uid="{00000000-0005-0000-0000-000003160000}"/>
    <cellStyle name="Table Head Green 2" xfId="3700" xr:uid="{00000000-0005-0000-0000-000004160000}"/>
    <cellStyle name="Table Head Green 3" xfId="3802" xr:uid="{00000000-0005-0000-0000-000005160000}"/>
    <cellStyle name="Table Head Green 4" xfId="3310" xr:uid="{00000000-0005-0000-0000-000006160000}"/>
    <cellStyle name="Table Label" xfId="2866" xr:uid="{00000000-0005-0000-0000-000007160000}"/>
    <cellStyle name="Table Label 2" xfId="3701" xr:uid="{00000000-0005-0000-0000-000008160000}"/>
    <cellStyle name="Table Label 2 2" xfId="3963" xr:uid="{00000000-0005-0000-0000-000009160000}"/>
    <cellStyle name="Table Label 3" xfId="3311" xr:uid="{00000000-0005-0000-0000-00000A160000}"/>
    <cellStyle name="Table Label 4" xfId="3138" xr:uid="{00000000-0005-0000-0000-00000B160000}"/>
    <cellStyle name="Table Sub Head" xfId="2867" xr:uid="{00000000-0005-0000-0000-00000C160000}"/>
    <cellStyle name="Table Title" xfId="2868" xr:uid="{00000000-0005-0000-0000-00000D160000}"/>
    <cellStyle name="Table Title 2" xfId="5774" xr:uid="{00000000-0005-0000-0000-00000E160000}"/>
    <cellStyle name="Table Units" xfId="2869" xr:uid="{00000000-0005-0000-0000-00000F160000}"/>
    <cellStyle name="Table Units 2" xfId="3883" xr:uid="{00000000-0005-0000-0000-000010160000}"/>
    <cellStyle name="Table Units 3" xfId="5440" xr:uid="{00000000-0005-0000-0000-000011160000}"/>
    <cellStyle name="tbcNumberInput" xfId="4858" xr:uid="{00000000-0005-0000-0000-000012160000}"/>
    <cellStyle name="tbcNumberInput 2" xfId="4859" xr:uid="{00000000-0005-0000-0000-000013160000}"/>
    <cellStyle name="tbcNumberInput 3" xfId="4860" xr:uid="{00000000-0005-0000-0000-000014160000}"/>
    <cellStyle name="tcbAccount" xfId="4861" xr:uid="{00000000-0005-0000-0000-000015160000}"/>
    <cellStyle name="tcbLinkedToOtherSheet" xfId="4862" xr:uid="{00000000-0005-0000-0000-000016160000}"/>
    <cellStyle name="tcbManualInput" xfId="4863" xr:uid="{00000000-0005-0000-0000-000017160000}"/>
    <cellStyle name="tcbManualInput 2" xfId="4864" xr:uid="{00000000-0005-0000-0000-000018160000}"/>
    <cellStyle name="tcbMonthYr" xfId="4865" xr:uid="{00000000-0005-0000-0000-000019160000}"/>
    <cellStyle name="tcbPercentInput" xfId="4866" xr:uid="{00000000-0005-0000-0000-00001A160000}"/>
    <cellStyle name="tcbPFSummaryTitles" xfId="4867" xr:uid="{00000000-0005-0000-0000-00001B160000}"/>
    <cellStyle name="tcbPFSummaryTitles 2" xfId="4868" xr:uid="{00000000-0005-0000-0000-00001C160000}"/>
    <cellStyle name="tcbPFSummaryTitles 2 2" xfId="4954" xr:uid="{00000000-0005-0000-0000-00001D160000}"/>
    <cellStyle name="tcbPFSummaryTitles 2 3" xfId="4959" xr:uid="{00000000-0005-0000-0000-00001E160000}"/>
    <cellStyle name="tcbPFSummaryTitles 3" xfId="4869" xr:uid="{00000000-0005-0000-0000-00001F160000}"/>
    <cellStyle name="tcbPFSummaryTitles 3 2" xfId="4955" xr:uid="{00000000-0005-0000-0000-000020160000}"/>
    <cellStyle name="tcbPFSummaryTitles 3 3" xfId="4960" xr:uid="{00000000-0005-0000-0000-000021160000}"/>
    <cellStyle name="tcbPFSummaryTitles 4" xfId="4953" xr:uid="{00000000-0005-0000-0000-000022160000}"/>
    <cellStyle name="tcbPFSummaryTitles 5" xfId="4958" xr:uid="{00000000-0005-0000-0000-000023160000}"/>
    <cellStyle name="tcbTextInput" xfId="4870" xr:uid="{00000000-0005-0000-0000-000024160000}"/>
    <cellStyle name="tcbTextInput 2" xfId="4871" xr:uid="{00000000-0005-0000-0000-000025160000}"/>
    <cellStyle name="test" xfId="5775" xr:uid="{00000000-0005-0000-0000-000026160000}"/>
    <cellStyle name="Text" xfId="96" xr:uid="{00000000-0005-0000-0000-000027160000}"/>
    <cellStyle name="Text 2" xfId="3030" xr:uid="{00000000-0005-0000-0000-000028160000}"/>
    <cellStyle name="Text 3" xfId="2870" xr:uid="{00000000-0005-0000-0000-000029160000}"/>
    <cellStyle name="Text 8" xfId="2871" xr:uid="{00000000-0005-0000-0000-00002A160000}"/>
    <cellStyle name="text cells" xfId="97" xr:uid="{00000000-0005-0000-0000-00002B160000}"/>
    <cellStyle name="Text Indent A" xfId="2872" xr:uid="{00000000-0005-0000-0000-00002C160000}"/>
    <cellStyle name="Text Indent B" xfId="2873" xr:uid="{00000000-0005-0000-0000-00002D160000}"/>
    <cellStyle name="Text Indent B 2" xfId="2874" xr:uid="{00000000-0005-0000-0000-00002E160000}"/>
    <cellStyle name="Text Indent C" xfId="2875" xr:uid="{00000000-0005-0000-0000-00002F160000}"/>
    <cellStyle name="Text Indent C 2" xfId="2876" xr:uid="{00000000-0005-0000-0000-000030160000}"/>
    <cellStyle name="Thous" xfId="2877" xr:uid="{00000000-0005-0000-0000-000031160000}"/>
    <cellStyle name="Times 10" xfId="2878" xr:uid="{00000000-0005-0000-0000-000032160000}"/>
    <cellStyle name="Times 12" xfId="2879" xr:uid="{00000000-0005-0000-0000-000033160000}"/>
    <cellStyle name="Times New Roman" xfId="2880" xr:uid="{00000000-0005-0000-0000-000034160000}"/>
    <cellStyle name="times roman" xfId="2881" xr:uid="{00000000-0005-0000-0000-000035160000}"/>
    <cellStyle name="Title - No ScotchRule" xfId="5777" xr:uid="{00000000-0005-0000-0000-000036160000}"/>
    <cellStyle name="Title 2" xfId="2883" xr:uid="{00000000-0005-0000-0000-000037160000}"/>
    <cellStyle name="Title 2 2" xfId="3529" xr:uid="{00000000-0005-0000-0000-000038160000}"/>
    <cellStyle name="Title 2 3" xfId="3528" xr:uid="{00000000-0005-0000-0000-000039160000}"/>
    <cellStyle name="title 2 4" xfId="4828" xr:uid="{00000000-0005-0000-0000-00003A160000}"/>
    <cellStyle name="Title 3" xfId="2884" xr:uid="{00000000-0005-0000-0000-00003B160000}"/>
    <cellStyle name="title 3 2" xfId="4829" xr:uid="{00000000-0005-0000-0000-00003C160000}"/>
    <cellStyle name="Title 4" xfId="2885" xr:uid="{00000000-0005-0000-0000-00003D160000}"/>
    <cellStyle name="title 4 2" xfId="4830" xr:uid="{00000000-0005-0000-0000-00003E160000}"/>
    <cellStyle name="Title 5" xfId="2886" xr:uid="{00000000-0005-0000-0000-00003F160000}"/>
    <cellStyle name="title 5 2" xfId="4831" xr:uid="{00000000-0005-0000-0000-000040160000}"/>
    <cellStyle name="Title 6" xfId="2882" xr:uid="{00000000-0005-0000-0000-000041160000}"/>
    <cellStyle name="title 6 2" xfId="4832" xr:uid="{00000000-0005-0000-0000-000042160000}"/>
    <cellStyle name="title 7" xfId="4833" xr:uid="{00000000-0005-0000-0000-000043160000}"/>
    <cellStyle name="title 8" xfId="4834" xr:uid="{00000000-0005-0000-0000-000044160000}"/>
    <cellStyle name="title 9" xfId="4835" xr:uid="{00000000-0005-0000-0000-000045160000}"/>
    <cellStyle name="Title1" xfId="2887" xr:uid="{00000000-0005-0000-0000-000046160000}"/>
    <cellStyle name="Title1 2" xfId="5778" xr:uid="{00000000-0005-0000-0000-000047160000}"/>
    <cellStyle name="Title10" xfId="2888" xr:uid="{00000000-0005-0000-0000-000048160000}"/>
    <cellStyle name="Title2" xfId="2889" xr:uid="{00000000-0005-0000-0000-000049160000}"/>
    <cellStyle name="Title2 2" xfId="3703" xr:uid="{00000000-0005-0000-0000-00004A160000}"/>
    <cellStyle name="Title2 2 2" xfId="3964" xr:uid="{00000000-0005-0000-0000-00004B160000}"/>
    <cellStyle name="Title2 3" xfId="3312" xr:uid="{00000000-0005-0000-0000-00004C160000}"/>
    <cellStyle name="Title2 4" xfId="3121" xr:uid="{00000000-0005-0000-0000-00004D160000}"/>
    <cellStyle name="Title2 5" xfId="5779" xr:uid="{00000000-0005-0000-0000-00004E160000}"/>
    <cellStyle name="Title8" xfId="2890" xr:uid="{00000000-0005-0000-0000-00004F160000}"/>
    <cellStyle name="Title8Left" xfId="2891" xr:uid="{00000000-0005-0000-0000-000050160000}"/>
    <cellStyle name="TitleCenter" xfId="2892" xr:uid="{00000000-0005-0000-0000-000051160000}"/>
    <cellStyle name="TitleII" xfId="5780" xr:uid="{00000000-0005-0000-0000-000052160000}"/>
    <cellStyle name="TitleLeft" xfId="2893" xr:uid="{00000000-0005-0000-0000-000053160000}"/>
    <cellStyle name="Titolo1" xfId="2894" xr:uid="{00000000-0005-0000-0000-000054160000}"/>
    <cellStyle name="Titolo2" xfId="2895" xr:uid="{00000000-0005-0000-0000-000055160000}"/>
    <cellStyle name="Titolo3" xfId="2896" xr:uid="{00000000-0005-0000-0000-000056160000}"/>
    <cellStyle name="tom" xfId="5362" xr:uid="{00000000-0005-0000-0000-000057160000}"/>
    <cellStyle name="tom 2" xfId="5674" xr:uid="{00000000-0005-0000-0000-000058160000}"/>
    <cellStyle name="Top and Bottom Border" xfId="2897" xr:uid="{00000000-0005-0000-0000-000059160000}"/>
    <cellStyle name="Top and Bottom Border 2" xfId="3705" xr:uid="{00000000-0005-0000-0000-00005A160000}"/>
    <cellStyle name="Top and Bottom Border 2 2" xfId="3965" xr:uid="{00000000-0005-0000-0000-00005B160000}"/>
    <cellStyle name="Top and Bottom Border 3" xfId="3313" xr:uid="{00000000-0005-0000-0000-00005C160000}"/>
    <cellStyle name="Top and Bottom Border 4" xfId="3915" xr:uid="{00000000-0005-0000-0000-00005D160000}"/>
    <cellStyle name="Top Edge" xfId="5781" xr:uid="{00000000-0005-0000-0000-00005E160000}"/>
    <cellStyle name="Top Line" xfId="98" xr:uid="{00000000-0005-0000-0000-00005F160000}"/>
    <cellStyle name="Top Line 2" xfId="3115" xr:uid="{00000000-0005-0000-0000-000060160000}"/>
    <cellStyle name="Top Line_less complicated amort model(1)" xfId="5147" xr:uid="{00000000-0005-0000-0000-000061160000}"/>
    <cellStyle name="topline" xfId="2898" xr:uid="{00000000-0005-0000-0000-000062160000}"/>
    <cellStyle name="TopThick" xfId="2899" xr:uid="{00000000-0005-0000-0000-000063160000}"/>
    <cellStyle name="Total 10" xfId="2956" xr:uid="{00000000-0005-0000-0000-000064160000}"/>
    <cellStyle name="TOTAL 2" xfId="2901" xr:uid="{00000000-0005-0000-0000-000065160000}"/>
    <cellStyle name="Total 2 10" xfId="3772" xr:uid="{00000000-0005-0000-0000-000066160000}"/>
    <cellStyle name="Total 2 10 2" xfId="3978" xr:uid="{00000000-0005-0000-0000-000067160000}"/>
    <cellStyle name="Total 2 11" xfId="5060" xr:uid="{00000000-0005-0000-0000-000068160000}"/>
    <cellStyle name="Total 2 12" xfId="5157" xr:uid="{00000000-0005-0000-0000-000069160000}"/>
    <cellStyle name="Total 2 13" xfId="5782" xr:uid="{00000000-0005-0000-0000-00006A160000}"/>
    <cellStyle name="Total 2 14" xfId="5836" xr:uid="{00000000-0005-0000-0000-00006B160000}"/>
    <cellStyle name="Total 2 2" xfId="3531" xr:uid="{00000000-0005-0000-0000-00006C160000}"/>
    <cellStyle name="Total 2 2 2" xfId="5089" xr:uid="{00000000-0005-0000-0000-00006D160000}"/>
    <cellStyle name="Total 2 2 2 2" xfId="5141" xr:uid="{00000000-0005-0000-0000-00006E160000}"/>
    <cellStyle name="Total 2 2 2 2 2" xfId="5225" xr:uid="{00000000-0005-0000-0000-00006F160000}"/>
    <cellStyle name="Total 2 2 2 3" xfId="5182" xr:uid="{00000000-0005-0000-0000-000070160000}"/>
    <cellStyle name="Total 2 2 3" xfId="5062" xr:uid="{00000000-0005-0000-0000-000071160000}"/>
    <cellStyle name="Total 2 2 3 2" xfId="5118" xr:uid="{00000000-0005-0000-0000-000072160000}"/>
    <cellStyle name="Total 2 2 3 2 2" xfId="5202" xr:uid="{00000000-0005-0000-0000-000073160000}"/>
    <cellStyle name="Total 2 2 3 3" xfId="5159" xr:uid="{00000000-0005-0000-0000-000074160000}"/>
    <cellStyle name="Total 2 2 4" xfId="5117" xr:uid="{00000000-0005-0000-0000-000075160000}"/>
    <cellStyle name="Total 2 2 4 2" xfId="5201" xr:uid="{00000000-0005-0000-0000-000076160000}"/>
    <cellStyle name="Total 2 2 5" xfId="5158" xr:uid="{00000000-0005-0000-0000-000077160000}"/>
    <cellStyle name="TOTAL 2 3" xfId="3706" xr:uid="{00000000-0005-0000-0000-000078160000}"/>
    <cellStyle name="Total 2 3 2" xfId="5144" xr:uid="{00000000-0005-0000-0000-000079160000}"/>
    <cellStyle name="Total 2 3 2 2" xfId="5228" xr:uid="{00000000-0005-0000-0000-00007A160000}"/>
    <cellStyle name="Total 2 3 3" xfId="5091" xr:uid="{00000000-0005-0000-0000-00007B160000}"/>
    <cellStyle name="Total 2 3 4" xfId="5185" xr:uid="{00000000-0005-0000-0000-00007C160000}"/>
    <cellStyle name="TOTAL 2 4" xfId="3770" xr:uid="{00000000-0005-0000-0000-00007D160000}"/>
    <cellStyle name="Total 2 4 2" xfId="5116" xr:uid="{00000000-0005-0000-0000-00007E160000}"/>
    <cellStyle name="Total 2 4 3" xfId="5200" xr:uid="{00000000-0005-0000-0000-00007F160000}"/>
    <cellStyle name="TOTAL 2 5" xfId="3764" xr:uid="{00000000-0005-0000-0000-000080160000}"/>
    <cellStyle name="TOTAL 2 6" xfId="3768" xr:uid="{00000000-0005-0000-0000-000081160000}"/>
    <cellStyle name="Total 2 7" xfId="3530" xr:uid="{00000000-0005-0000-0000-000082160000}"/>
    <cellStyle name="Total 2 7 2" xfId="3929" xr:uid="{00000000-0005-0000-0000-000083160000}"/>
    <cellStyle name="Total 2 8" xfId="3690" xr:uid="{00000000-0005-0000-0000-000084160000}"/>
    <cellStyle name="Total 2 8 2" xfId="3961" xr:uid="{00000000-0005-0000-0000-000085160000}"/>
    <cellStyle name="Total 2 9" xfId="3777" xr:uid="{00000000-0005-0000-0000-000086160000}"/>
    <cellStyle name="Total 2 9 2" xfId="3979" xr:uid="{00000000-0005-0000-0000-000087160000}"/>
    <cellStyle name="TOTAL 3" xfId="2902" xr:uid="{00000000-0005-0000-0000-000088160000}"/>
    <cellStyle name="Total 3 2" xfId="5131" xr:uid="{00000000-0005-0000-0000-000089160000}"/>
    <cellStyle name="Total 3 2 2" xfId="5215" xr:uid="{00000000-0005-0000-0000-00008A160000}"/>
    <cellStyle name="Total 3 3" xfId="5079" xr:uid="{00000000-0005-0000-0000-00008B160000}"/>
    <cellStyle name="Total 3 4" xfId="5172" xr:uid="{00000000-0005-0000-0000-00008C160000}"/>
    <cellStyle name="Total 4" xfId="2903" xr:uid="{00000000-0005-0000-0000-00008D160000}"/>
    <cellStyle name="Total 4 2" xfId="5128" xr:uid="{00000000-0005-0000-0000-00008E160000}"/>
    <cellStyle name="Total 4 2 2" xfId="5212" xr:uid="{00000000-0005-0000-0000-00008F160000}"/>
    <cellStyle name="Total 4 3" xfId="5169" xr:uid="{00000000-0005-0000-0000-000090160000}"/>
    <cellStyle name="Total 5" xfId="2904" xr:uid="{00000000-0005-0000-0000-000091160000}"/>
    <cellStyle name="Total 5 2" xfId="5108" xr:uid="{00000000-0005-0000-0000-000092160000}"/>
    <cellStyle name="Total 5 2 2" xfId="5192" xr:uid="{00000000-0005-0000-0000-000093160000}"/>
    <cellStyle name="Total 5 3" xfId="5061" xr:uid="{00000000-0005-0000-0000-000094160000}"/>
    <cellStyle name="Total 6" xfId="2900" xr:uid="{00000000-0005-0000-0000-000095160000}"/>
    <cellStyle name="Total 7" xfId="2975" xr:uid="{00000000-0005-0000-0000-000096160000}"/>
    <cellStyle name="Total 8" xfId="2957" xr:uid="{00000000-0005-0000-0000-000097160000}"/>
    <cellStyle name="Total 9" xfId="2974" xr:uid="{00000000-0005-0000-0000-000098160000}"/>
    <cellStyle name="TOTAL AREA" xfId="2905" xr:uid="{00000000-0005-0000-0000-000099160000}"/>
    <cellStyle name="Totals" xfId="2906" xr:uid="{00000000-0005-0000-0000-00009A160000}"/>
    <cellStyle name="TotalsCells" xfId="5783" xr:uid="{00000000-0005-0000-0000-00009B160000}"/>
    <cellStyle name="TotalsCells 2" xfId="5837" xr:uid="{00000000-0005-0000-0000-00009C160000}"/>
    <cellStyle name="TotalsComma" xfId="2907" xr:uid="{00000000-0005-0000-0000-00009D160000}"/>
    <cellStyle name="TotShade" xfId="2908" xr:uid="{00000000-0005-0000-0000-00009E160000}"/>
    <cellStyle name="TransVal" xfId="2909" xr:uid="{00000000-0005-0000-0000-00009F160000}"/>
    <cellStyle name="ubordinated Debt" xfId="2910" xr:uid="{00000000-0005-0000-0000-0000A0160000}"/>
    <cellStyle name="ubordinated Debt 2" xfId="5784" xr:uid="{00000000-0005-0000-0000-0000A1160000}"/>
    <cellStyle name="Undefiniert" xfId="2911" xr:uid="{00000000-0005-0000-0000-0000A2160000}"/>
    <cellStyle name="underline 1 decimal" xfId="2912" xr:uid="{00000000-0005-0000-0000-0000A3160000}"/>
    <cellStyle name="underline 2 decimals" xfId="2913" xr:uid="{00000000-0005-0000-0000-0000A4160000}"/>
    <cellStyle name="underline flush left" xfId="2914" xr:uid="{00000000-0005-0000-0000-0000A5160000}"/>
    <cellStyle name="underline no decimals" xfId="2915" xr:uid="{00000000-0005-0000-0000-0000A6160000}"/>
    <cellStyle name="UnlockedCell" xfId="5663" xr:uid="{00000000-0005-0000-0000-0000A7160000}"/>
    <cellStyle name="Unprot" xfId="4836" xr:uid="{00000000-0005-0000-0000-0000A8160000}"/>
    <cellStyle name="Unprot$" xfId="4837" xr:uid="{00000000-0005-0000-0000-0000A9160000}"/>
    <cellStyle name="Unprotect" xfId="4838" xr:uid="{00000000-0005-0000-0000-0000AA160000}"/>
    <cellStyle name="User_Defined_A" xfId="5785" xr:uid="{00000000-0005-0000-0000-0000AB160000}"/>
    <cellStyle name="UserInputedText" xfId="5786" xr:uid="{00000000-0005-0000-0000-0000AC160000}"/>
    <cellStyle name="Valuta (0)_Foglio1 (2)" xfId="2916" xr:uid="{00000000-0005-0000-0000-0000AD160000}"/>
    <cellStyle name="Valuta [0]_BINV" xfId="2917" xr:uid="{00000000-0005-0000-0000-0000AE160000}"/>
    <cellStyle name="Valuta_BINV" xfId="2918" xr:uid="{00000000-0005-0000-0000-0000AF160000}"/>
    <cellStyle name="Vírgula_Arrendamiraflores" xfId="2919" xr:uid="{00000000-0005-0000-0000-0000B0160000}"/>
    <cellStyle name="w12" xfId="2920" xr:uid="{00000000-0005-0000-0000-0000B1160000}"/>
    <cellStyle name="Währung [0]_Compiling Utility Macros" xfId="105" xr:uid="{00000000-0005-0000-0000-0000B2160000}"/>
    <cellStyle name="Währung_Compiling Utility Macros" xfId="106" xr:uid="{00000000-0005-0000-0000-0000B3160000}"/>
    <cellStyle name="Walutowy [0]_Arkusz1" xfId="2921" xr:uid="{00000000-0005-0000-0000-0000B4160000}"/>
    <cellStyle name="Walutowy_Arkusz1" xfId="2922" xr:uid="{00000000-0005-0000-0000-0000B5160000}"/>
    <cellStyle name="Warning Text 2" xfId="2924" xr:uid="{00000000-0005-0000-0000-0000B6160000}"/>
    <cellStyle name="Warning Text 3" xfId="2925" xr:uid="{00000000-0005-0000-0000-0000B7160000}"/>
    <cellStyle name="Warning Text 4" xfId="2926" xr:uid="{00000000-0005-0000-0000-0000B8160000}"/>
    <cellStyle name="Warning Text 5" xfId="2927" xr:uid="{00000000-0005-0000-0000-0000B9160000}"/>
    <cellStyle name="Warning Text 6" xfId="2923" xr:uid="{00000000-0005-0000-0000-0000BA160000}"/>
    <cellStyle name="White" xfId="2928" xr:uid="{00000000-0005-0000-0000-0000BB160000}"/>
    <cellStyle name="WholeNumber" xfId="5788" xr:uid="{00000000-0005-0000-0000-0000BC160000}"/>
    <cellStyle name="x" xfId="2929" xr:uid="{00000000-0005-0000-0000-0000BD160000}"/>
    <cellStyle name="y" xfId="2930" xr:uid="{00000000-0005-0000-0000-0000BE160000}"/>
    <cellStyle name="y_Cash Flow for Tener 072210" xfId="2931" xr:uid="{00000000-0005-0000-0000-0000BF160000}"/>
    <cellStyle name="y_Citrix_2pgr2" xfId="2932" xr:uid="{00000000-0005-0000-0000-0000C0160000}"/>
    <cellStyle name="y_Citrix_2pgr2_Cash Flow for Tener 072210" xfId="2933" xr:uid="{00000000-0005-0000-0000-0000C1160000}"/>
    <cellStyle name="y_Iron-Steel" xfId="2934" xr:uid="{00000000-0005-0000-0000-0000C2160000}"/>
    <cellStyle name="y_Iron-Steel_Cash Flow for Tener 072210" xfId="2935" xr:uid="{00000000-0005-0000-0000-0000C3160000}"/>
    <cellStyle name="y_MERQ_6-14_V8" xfId="2936" xr:uid="{00000000-0005-0000-0000-0000C4160000}"/>
    <cellStyle name="y_MERQ_6-14_V8_Cash Flow for Tener 072210" xfId="2937" xr:uid="{00000000-0005-0000-0000-0000C5160000}"/>
    <cellStyle name="y_RATL_SRNA synergies" xfId="2938" xr:uid="{00000000-0005-0000-0000-0000C6160000}"/>
    <cellStyle name="y_RATL_SRNA synergies_Cash Flow for Tener 072210" xfId="2939" xr:uid="{00000000-0005-0000-0000-0000C7160000}"/>
    <cellStyle name="y_Valuation_Jan2" xfId="2940" xr:uid="{00000000-0005-0000-0000-0000C8160000}"/>
    <cellStyle name="y_Valuation_Jan2_Cash Flow for Tener 072210" xfId="2941" xr:uid="{00000000-0005-0000-0000-0000C9160000}"/>
    <cellStyle name="Year" xfId="2942" xr:uid="{00000000-0005-0000-0000-0000CA160000}"/>
    <cellStyle name="Year only" xfId="2943" xr:uid="{00000000-0005-0000-0000-0000CB160000}"/>
    <cellStyle name="Year_88 Richardson 80-20 1-31-12 Invest Memo" xfId="2944" xr:uid="{00000000-0005-0000-0000-0000CC160000}"/>
    <cellStyle name="Years" xfId="2945" xr:uid="{00000000-0005-0000-0000-0000CD160000}"/>
    <cellStyle name="Years 2" xfId="3887" xr:uid="{00000000-0005-0000-0000-0000CE160000}"/>
    <cellStyle name="Yen" xfId="2946" xr:uid="{00000000-0005-0000-0000-0000CF160000}"/>
    <cellStyle name="Yen 2" xfId="4840" xr:uid="{00000000-0005-0000-0000-0000D0160000}"/>
    <cellStyle name="Yen 3" xfId="4839" xr:uid="{00000000-0005-0000-0000-0000D1160000}"/>
    <cellStyle name="YES NO" xfId="2947" xr:uid="{00000000-0005-0000-0000-0000D2160000}"/>
    <cellStyle name="YES NO 2" xfId="3888" xr:uid="{00000000-0005-0000-0000-0000D3160000}"/>
    <cellStyle name="Zaph Call 11pt" xfId="2948" xr:uid="{00000000-0005-0000-0000-0000D4160000}"/>
    <cellStyle name="型番" xfId="2949" xr:uid="{00000000-0005-0000-0000-0000D5160000}"/>
    <cellStyle name="桁区切り [0.00]_Book2" xfId="2950" xr:uid="{00000000-0005-0000-0000-0000D6160000}"/>
    <cellStyle name="桁区切り_AssetBalance Template" xfId="2951" xr:uid="{00000000-0005-0000-0000-0000D7160000}"/>
    <cellStyle name="標準_1Q01SS-backup_Megalon 3Q2" xfId="2952" xr:uid="{00000000-0005-0000-0000-0000D8160000}"/>
    <cellStyle name="通貨 [0.00]_Book2" xfId="2953" xr:uid="{00000000-0005-0000-0000-0000D9160000}"/>
    <cellStyle name="通貨_Book2" xfId="2954" xr:uid="{00000000-0005-0000-0000-0000DA160000}"/>
  </cellStyles>
  <dxfs count="8">
    <dxf>
      <font>
        <color rgb="FFFF0000"/>
      </font>
    </dxf>
    <dxf>
      <font>
        <strike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ill>
        <patternFill>
          <bgColor indexed="10"/>
        </patternFill>
      </fill>
    </dxf>
    <dxf>
      <font>
        <b/>
        <i val="0"/>
        <condense val="0"/>
        <extend val="0"/>
      </font>
      <fill>
        <patternFill>
          <bgColor indexed="11"/>
        </patternFill>
      </fill>
    </dxf>
    <dxf>
      <font>
        <condense val="0"/>
        <extend val="0"/>
        <color indexed="10"/>
      </font>
    </dxf>
  </dxfs>
  <tableStyles count="1" defaultTableStyle="TableStyleMedium2" defaultPivotStyle="PivotStyleLight16">
    <tableStyle name="Table Style 1" pivot="0" count="0" xr9:uid="{00000000-0011-0000-FFFF-FFFF00000000}"/>
  </tableStyles>
  <colors>
    <mruColors>
      <color rgb="FF0013C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38101</xdr:colOff>
      <xdr:row>29</xdr:row>
      <xdr:rowOff>85725</xdr:rowOff>
    </xdr:from>
    <xdr:to>
      <xdr:col>2</xdr:col>
      <xdr:colOff>609601</xdr:colOff>
      <xdr:row>32</xdr:row>
      <xdr:rowOff>152401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8101" y="4400550"/>
          <a:ext cx="3124200" cy="5524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solidFill>
              <a:latin typeface="Arial" panose="020B0604020202020204" pitchFamily="34" charset="0"/>
              <a:cs typeface="Arial" panose="020B0604020202020204" pitchFamily="34" charset="0"/>
            </a:rPr>
            <a:t>*SOURCES</a:t>
          </a:r>
        </a:p>
        <a:p>
          <a:r>
            <a:rPr lang="en-US" sz="1000">
              <a:solidFill>
                <a:schemeClr val="tx1"/>
              </a:solidFill>
              <a:latin typeface="Arial" panose="020B0604020202020204" pitchFamily="34" charset="0"/>
              <a:cs typeface="Arial" panose="020B0604020202020204" pitchFamily="34" charset="0"/>
            </a:rPr>
            <a:t>AHC:</a:t>
          </a:r>
          <a:r>
            <a:rPr lang="en-US" sz="1000" baseline="0">
              <a:solidFill>
                <a:schemeClr val="tx1"/>
              </a:solidFill>
              <a:latin typeface="Arial" panose="020B0604020202020204" pitchFamily="34" charset="0"/>
              <a:cs typeface="Arial" panose="020B0604020202020204" pitchFamily="34" charset="0"/>
            </a:rPr>
            <a:t> post-construction: 9 months</a:t>
          </a:r>
        </a:p>
        <a:p>
          <a:r>
            <a:rPr lang="en-US" sz="1000" baseline="0">
              <a:solidFill>
                <a:schemeClr val="tx1"/>
              </a:solidFill>
              <a:latin typeface="Arial" panose="020B0604020202020204" pitchFamily="34" charset="0"/>
              <a:cs typeface="Arial" panose="020B0604020202020204" pitchFamily="34" charset="0"/>
            </a:rPr>
            <a:t>Developer Fee: after construction loan payoff</a:t>
          </a:r>
          <a:endParaRPr lang="en-US" sz="1000">
            <a:solidFill>
              <a:schemeClr val="tx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1028700</xdr:colOff>
      <xdr:row>6</xdr:row>
      <xdr:rowOff>133350</xdr:rowOff>
    </xdr:from>
    <xdr:to>
      <xdr:col>8</xdr:col>
      <xdr:colOff>1152525</xdr:colOff>
      <xdr:row>9</xdr:row>
      <xdr:rowOff>95250</xdr:rowOff>
    </xdr:to>
    <xdr:cxnSp macro="">
      <xdr:nvCxnSpPr>
        <xdr:cNvPr id="9" name="Straight Arrow Connector 8">
          <a:extLst>
            <a:ext uri="{FF2B5EF4-FFF2-40B4-BE49-F238E27FC236}">
              <a16:creationId xmlns:a16="http://schemas.microsoft.com/office/drawing/2014/main" id="{9F9D75B2-32A1-1A7B-D427-356141808D91}"/>
            </a:ext>
          </a:extLst>
        </xdr:cNvPr>
        <xdr:cNvCxnSpPr/>
      </xdr:nvCxnSpPr>
      <xdr:spPr>
        <a:xfrm flipV="1">
          <a:off x="12011025" y="1276350"/>
          <a:ext cx="1371600" cy="571500"/>
        </a:xfrm>
        <a:prstGeom prst="straightConnector1">
          <a:avLst/>
        </a:prstGeom>
        <a:ln w="25400">
          <a:solidFill>
            <a:schemeClr val="accent2"/>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1028700</xdr:colOff>
      <xdr:row>10</xdr:row>
      <xdr:rowOff>114300</xdr:rowOff>
    </xdr:from>
    <xdr:to>
      <xdr:col>8</xdr:col>
      <xdr:colOff>1200150</xdr:colOff>
      <xdr:row>11</xdr:row>
      <xdr:rowOff>123825</xdr:rowOff>
    </xdr:to>
    <xdr:cxnSp macro="">
      <xdr:nvCxnSpPr>
        <xdr:cNvPr id="11" name="Straight Arrow Connector 10">
          <a:extLst>
            <a:ext uri="{FF2B5EF4-FFF2-40B4-BE49-F238E27FC236}">
              <a16:creationId xmlns:a16="http://schemas.microsoft.com/office/drawing/2014/main" id="{6BF262B3-5EDC-4F0F-BB38-E75E2E8DC01B}"/>
            </a:ext>
          </a:extLst>
        </xdr:cNvPr>
        <xdr:cNvCxnSpPr/>
      </xdr:nvCxnSpPr>
      <xdr:spPr>
        <a:xfrm flipV="1">
          <a:off x="12011025" y="2057400"/>
          <a:ext cx="1419225" cy="209550"/>
        </a:xfrm>
        <a:prstGeom prst="straightConnector1">
          <a:avLst/>
        </a:prstGeom>
        <a:ln w="25400">
          <a:solidFill>
            <a:schemeClr val="accent2"/>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1009650</xdr:colOff>
      <xdr:row>14</xdr:row>
      <xdr:rowOff>85725</xdr:rowOff>
    </xdr:from>
    <xdr:to>
      <xdr:col>8</xdr:col>
      <xdr:colOff>1228725</xdr:colOff>
      <xdr:row>14</xdr:row>
      <xdr:rowOff>114300</xdr:rowOff>
    </xdr:to>
    <xdr:cxnSp macro="">
      <xdr:nvCxnSpPr>
        <xdr:cNvPr id="13" name="Straight Arrow Connector 12">
          <a:extLst>
            <a:ext uri="{FF2B5EF4-FFF2-40B4-BE49-F238E27FC236}">
              <a16:creationId xmlns:a16="http://schemas.microsoft.com/office/drawing/2014/main" id="{483BBEF1-4084-498A-8AE4-9E7CFC39DB63}"/>
            </a:ext>
          </a:extLst>
        </xdr:cNvPr>
        <xdr:cNvCxnSpPr/>
      </xdr:nvCxnSpPr>
      <xdr:spPr>
        <a:xfrm flipV="1">
          <a:off x="11991975" y="2819400"/>
          <a:ext cx="1466850" cy="28575"/>
        </a:xfrm>
        <a:prstGeom prst="straightConnector1">
          <a:avLst/>
        </a:prstGeom>
        <a:ln w="25400">
          <a:solidFill>
            <a:schemeClr val="accent2"/>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o365.sharepoint.com/DEV-DNC/1.%20General%20Admin/1.%20Resources/AMIs/2023/2023%20AMI%20rent%20calcs%20-%203%25%20Marketing%20Band%20-%20(Updated%20HH%20Factor%20+%20Utility%20Allowa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I &amp; Rent"/>
      <sheetName val="AMI Table"/>
      <sheetName val="Sheet1"/>
    </sheetNames>
    <sheetDataSet>
      <sheetData sheetId="0"/>
      <sheetData sheetId="1" refreshError="1"/>
      <sheetData sheetId="2">
        <row r="1">
          <cell r="A1" t="str">
            <v>New Construction/Special Needs</v>
          </cell>
        </row>
        <row r="2">
          <cell r="A2" t="str">
            <v>Preservation/Rehab</v>
          </cell>
        </row>
      </sheetData>
    </sheetDataSet>
  </externalBook>
</externalLink>
</file>

<file path=xl/persons/person.xml><?xml version="1.0" encoding="utf-8"?>
<personList xmlns="http://schemas.microsoft.com/office/spreadsheetml/2018/threadedcomments" xmlns:x="http://schemas.openxmlformats.org/spreadsheetml/2006/main">
  <person displayName="Adler, Em" id="{383C3B5F-3F52-4048-83EB-24ED7B4D088A}" userId="S::adlere@hpd.nyc.gov::e8ccaafa-3e44-4600-bf5c-2c9ec3b52ec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5" dT="2024-11-12T20:41:35.17" personId="{383C3B5F-3F52-4048-83EB-24ED7B4D088A}" id="{43B0B32B-23CF-49BE-913D-BBDAC7ECFF54}">
    <text>+20K per DU if passivhaus</text>
  </threadedComment>
  <threadedComment ref="A46" dT="2024-11-12T20:41:42.77" personId="{383C3B5F-3F52-4048-83EB-24ED7B4D088A}" id="{4B6B013C-8F4D-4838-81B6-CE1D70644EDA}">
    <text>+20K per DU if passivhaus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6D13-BC73-4BBF-A0CD-2E71D44EE156}">
  <dimension ref="A1:H9"/>
  <sheetViews>
    <sheetView workbookViewId="0">
      <selection activeCell="A2" sqref="A2"/>
    </sheetView>
  </sheetViews>
  <sheetFormatPr defaultRowHeight="14.25"/>
  <cols>
    <col min="1" max="8" width="11.73046875" customWidth="1"/>
  </cols>
  <sheetData>
    <row r="1" spans="1:8" ht="15.4">
      <c r="A1" s="459"/>
      <c r="B1" s="460"/>
      <c r="C1" s="460"/>
      <c r="D1" s="460"/>
      <c r="E1" s="460"/>
      <c r="F1" s="460"/>
      <c r="G1" s="460"/>
      <c r="H1" s="460"/>
    </row>
    <row r="2" spans="1:8" ht="15.4">
      <c r="A2" s="459" t="s">
        <v>0</v>
      </c>
      <c r="B2" s="460"/>
      <c r="C2" s="460"/>
      <c r="D2" s="460"/>
      <c r="E2" s="460"/>
      <c r="F2" s="460"/>
      <c r="G2" s="460"/>
      <c r="H2" s="460"/>
    </row>
    <row r="4" spans="1:8" ht="15.4">
      <c r="A4" s="461" t="s">
        <v>1</v>
      </c>
      <c r="B4" s="462"/>
      <c r="C4" s="462"/>
      <c r="D4" s="462"/>
      <c r="E4" s="462"/>
      <c r="F4" s="462"/>
      <c r="G4" s="462"/>
      <c r="H4" s="462"/>
    </row>
    <row r="5" spans="1:8" ht="15.4">
      <c r="A5" s="461"/>
      <c r="B5" s="462"/>
      <c r="C5" s="462"/>
      <c r="D5" s="462"/>
      <c r="E5" s="462"/>
      <c r="F5" s="462"/>
      <c r="G5" s="462"/>
      <c r="H5" s="462"/>
    </row>
    <row r="6" spans="1:8" ht="49.5" customHeight="1">
      <c r="A6" s="674" t="s">
        <v>2</v>
      </c>
      <c r="B6" s="674"/>
      <c r="C6" s="674"/>
      <c r="D6" s="674"/>
      <c r="E6" s="674"/>
      <c r="F6" s="674"/>
      <c r="G6" s="674"/>
      <c r="H6" s="674"/>
    </row>
    <row r="7" spans="1:8" ht="15.4">
      <c r="A7" s="463"/>
      <c r="B7" s="463"/>
      <c r="C7" s="463"/>
      <c r="D7" s="463"/>
      <c r="E7" s="463"/>
      <c r="F7" s="463"/>
      <c r="G7" s="463"/>
      <c r="H7" s="463"/>
    </row>
    <row r="8" spans="1:8" ht="48.75" customHeight="1">
      <c r="A8" s="674" t="s">
        <v>3</v>
      </c>
      <c r="B8" s="674"/>
      <c r="C8" s="674"/>
      <c r="D8" s="674"/>
      <c r="E8" s="674"/>
      <c r="F8" s="674"/>
      <c r="G8" s="674"/>
      <c r="H8" s="674"/>
    </row>
    <row r="9" spans="1:8">
      <c r="A9" s="464"/>
      <c r="B9" s="464"/>
      <c r="C9" s="464"/>
      <c r="D9" s="464"/>
      <c r="E9" s="464"/>
      <c r="F9" s="464"/>
      <c r="G9" s="464"/>
      <c r="H9" s="464"/>
    </row>
  </sheetData>
  <mergeCells count="2">
    <mergeCell ref="A6:H6"/>
    <mergeCell ref="A8:H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55"/>
  <sheetViews>
    <sheetView tabSelected="1" zoomScaleNormal="100" zoomScaleSheetLayoutView="85" workbookViewId="0">
      <selection activeCell="F17" sqref="F17"/>
    </sheetView>
  </sheetViews>
  <sheetFormatPr defaultColWidth="9.1328125" defaultRowHeight="13.5"/>
  <cols>
    <col min="1" max="1" width="57.1328125" style="89" customWidth="1"/>
    <col min="2" max="2" width="19.1328125" style="152" bestFit="1" customWidth="1"/>
    <col min="3" max="3" width="18.73046875" style="152" customWidth="1"/>
    <col min="4" max="4" width="20.59765625" style="152" bestFit="1" customWidth="1"/>
    <col min="5" max="9" width="18.73046875" style="89" customWidth="1"/>
    <col min="10" max="10" width="28.3984375" style="89" customWidth="1"/>
    <col min="11" max="17" width="18.73046875" style="89" customWidth="1"/>
    <col min="18" max="18" width="13.265625" style="89" bestFit="1" customWidth="1"/>
    <col min="19" max="16384" width="9.1328125" style="89"/>
  </cols>
  <sheetData>
    <row r="1" spans="1:17" ht="14.25">
      <c r="A1" s="202" t="str">
        <f>'Project Overview'!A1</f>
        <v>Project Name</v>
      </c>
      <c r="B1" s="268">
        <f>'Project Overview'!B1</f>
        <v>0</v>
      </c>
      <c r="C1" s="269" t="s">
        <v>268</v>
      </c>
      <c r="D1" s="270">
        <f>'Project Overview'!$E$3</f>
        <v>0</v>
      </c>
      <c r="E1" s="202"/>
      <c r="F1" s="271"/>
      <c r="G1" s="271"/>
      <c r="H1" s="271"/>
      <c r="I1" s="271"/>
      <c r="J1" s="271"/>
      <c r="K1" s="271"/>
      <c r="L1" s="271"/>
      <c r="M1" s="271"/>
      <c r="N1" s="271"/>
      <c r="O1" s="271"/>
      <c r="P1" s="271"/>
      <c r="Q1" s="271"/>
    </row>
    <row r="2" spans="1:17" ht="14.25">
      <c r="A2" s="202" t="str">
        <f>'Project Overview'!A2</f>
        <v>Developer</v>
      </c>
      <c r="B2" s="272">
        <f>'Project Overview'!B2</f>
        <v>0</v>
      </c>
      <c r="C2" s="269" t="s">
        <v>269</v>
      </c>
      <c r="D2" s="269">
        <f>'Project Overview'!$E$22</f>
        <v>0</v>
      </c>
      <c r="E2" s="202"/>
      <c r="F2" s="271"/>
      <c r="G2" s="271"/>
      <c r="H2" s="271"/>
      <c r="I2" s="271"/>
      <c r="J2" s="271"/>
      <c r="K2" s="271"/>
      <c r="L2" s="271"/>
      <c r="M2" s="271"/>
      <c r="N2" s="271"/>
      <c r="O2" s="271"/>
      <c r="P2" s="271"/>
      <c r="Q2" s="271"/>
    </row>
    <row r="3" spans="1:17" ht="14.25">
      <c r="A3" s="202" t="str">
        <f>'Project Overview'!A3</f>
        <v>Address</v>
      </c>
      <c r="B3" s="268">
        <f>'Project Overview'!B3</f>
        <v>0</v>
      </c>
      <c r="C3" s="269" t="s">
        <v>270</v>
      </c>
      <c r="D3" s="273"/>
      <c r="E3" s="457"/>
      <c r="F3" s="271"/>
      <c r="G3" s="271"/>
      <c r="H3" s="271"/>
      <c r="I3" s="271"/>
      <c r="J3" s="271"/>
      <c r="K3" s="271"/>
      <c r="L3" s="271"/>
      <c r="M3" s="271"/>
      <c r="N3" s="271"/>
      <c r="O3" s="271"/>
      <c r="P3" s="271"/>
      <c r="Q3" s="271"/>
    </row>
    <row r="4" spans="1:17" ht="14.25">
      <c r="A4" s="202" t="str">
        <f>'Project Overview'!A4</f>
        <v>BBL</v>
      </c>
      <c r="B4" s="268">
        <f>'Project Overview'!B4</f>
        <v>0</v>
      </c>
      <c r="C4" s="269" t="s">
        <v>271</v>
      </c>
      <c r="D4" s="273"/>
      <c r="E4" s="457"/>
      <c r="F4" s="271"/>
      <c r="G4" s="271"/>
      <c r="H4" s="271"/>
      <c r="I4" s="271"/>
      <c r="J4" s="271"/>
      <c r="K4" s="271"/>
      <c r="L4" s="271"/>
      <c r="M4" s="271"/>
      <c r="N4" s="271"/>
      <c r="O4" s="271"/>
      <c r="P4" s="271"/>
      <c r="Q4" s="271"/>
    </row>
    <row r="5" spans="1:17" ht="14.25">
      <c r="A5" s="271"/>
      <c r="B5" s="274"/>
      <c r="C5" s="274"/>
      <c r="D5" s="274"/>
      <c r="E5" s="271"/>
      <c r="F5" s="271"/>
      <c r="G5" s="271"/>
      <c r="H5" s="271"/>
      <c r="I5" s="271"/>
      <c r="J5" s="271"/>
      <c r="K5" s="271"/>
      <c r="L5" s="271"/>
      <c r="M5" s="271"/>
      <c r="N5" s="271"/>
      <c r="O5" s="271"/>
      <c r="P5" s="271"/>
      <c r="Q5" s="271"/>
    </row>
    <row r="6" spans="1:17" ht="14.25">
      <c r="A6" s="689" t="s">
        <v>272</v>
      </c>
      <c r="B6" s="689"/>
      <c r="C6" s="689"/>
      <c r="D6" s="689"/>
      <c r="E6" s="271"/>
      <c r="F6" s="271"/>
      <c r="G6" s="271"/>
      <c r="H6" s="271"/>
      <c r="I6" s="271"/>
      <c r="J6" s="271"/>
      <c r="K6" s="271"/>
      <c r="L6" s="271"/>
      <c r="M6" s="271"/>
      <c r="N6" s="271"/>
      <c r="O6" s="271"/>
      <c r="P6" s="271"/>
      <c r="Q6" s="271"/>
    </row>
    <row r="7" spans="1:17" ht="14.65" thickBot="1">
      <c r="A7" s="690"/>
      <c r="B7" s="690"/>
      <c r="C7" s="690"/>
      <c r="D7" s="690"/>
      <c r="E7" s="271"/>
      <c r="F7" s="271"/>
      <c r="G7" s="271"/>
      <c r="H7" s="275"/>
      <c r="I7" s="275"/>
      <c r="J7" s="687" t="s">
        <v>70</v>
      </c>
      <c r="K7" s="688"/>
      <c r="L7" s="271"/>
      <c r="M7" s="271"/>
      <c r="N7" s="271"/>
      <c r="O7" s="271"/>
      <c r="P7" s="271"/>
      <c r="Q7" s="271"/>
    </row>
    <row r="8" spans="1:17" ht="14.25">
      <c r="A8" s="276" t="s">
        <v>273</v>
      </c>
      <c r="B8" s="641" t="s">
        <v>58</v>
      </c>
      <c r="C8" s="641" t="s">
        <v>274</v>
      </c>
      <c r="D8" s="641" t="s">
        <v>275</v>
      </c>
      <c r="E8" s="277"/>
      <c r="F8" s="271"/>
      <c r="G8" s="452" t="s">
        <v>418</v>
      </c>
      <c r="H8" s="278"/>
      <c r="I8" s="275"/>
      <c r="J8" s="642" t="s">
        <v>276</v>
      </c>
      <c r="K8" s="643" t="s">
        <v>408</v>
      </c>
      <c r="L8" s="271"/>
      <c r="M8" s="271"/>
      <c r="N8" s="271"/>
      <c r="O8" s="271"/>
      <c r="P8" s="271"/>
      <c r="Q8" s="271"/>
    </row>
    <row r="9" spans="1:17" ht="14.25">
      <c r="A9" s="279" t="s">
        <v>277</v>
      </c>
      <c r="B9" s="274"/>
      <c r="C9" s="280">
        <f>D9*D1</f>
        <v>0</v>
      </c>
      <c r="D9" s="281"/>
      <c r="E9" s="282" t="s">
        <v>278</v>
      </c>
      <c r="F9" s="271"/>
      <c r="G9" s="283">
        <v>300</v>
      </c>
      <c r="H9" s="282" t="s">
        <v>278</v>
      </c>
      <c r="I9" s="284"/>
      <c r="J9" s="642" t="s">
        <v>279</v>
      </c>
      <c r="K9" s="643" t="s">
        <v>409</v>
      </c>
      <c r="L9" s="271"/>
      <c r="M9" s="271"/>
      <c r="N9" s="271"/>
      <c r="O9" s="271"/>
      <c r="P9" s="271"/>
      <c r="Q9" s="271"/>
    </row>
    <row r="10" spans="1:17" ht="14.25">
      <c r="A10" s="279" t="s">
        <v>280</v>
      </c>
      <c r="B10" s="274"/>
      <c r="C10" s="280">
        <f>D10*D3</f>
        <v>0</v>
      </c>
      <c r="D10" s="281"/>
      <c r="E10" s="282" t="s">
        <v>281</v>
      </c>
      <c r="F10" s="271"/>
      <c r="G10" s="283"/>
      <c r="H10" s="282" t="s">
        <v>281</v>
      </c>
      <c r="I10" s="284"/>
      <c r="J10" s="647" t="s">
        <v>410</v>
      </c>
      <c r="K10" s="646" t="s">
        <v>411</v>
      </c>
      <c r="L10" s="271"/>
      <c r="M10" s="271"/>
      <c r="N10" s="271"/>
      <c r="O10" s="271"/>
      <c r="P10" s="271"/>
      <c r="Q10" s="271"/>
    </row>
    <row r="11" spans="1:17" ht="14.25">
      <c r="A11" s="279" t="s">
        <v>282</v>
      </c>
      <c r="B11" s="274"/>
      <c r="C11" s="280">
        <f ca="1">G11*(SUM(C9:C26))</f>
        <v>0</v>
      </c>
      <c r="D11" s="281"/>
      <c r="E11" s="282" t="s">
        <v>283</v>
      </c>
      <c r="F11" s="271"/>
      <c r="G11" s="286">
        <v>0.08</v>
      </c>
      <c r="H11" s="282" t="s">
        <v>283</v>
      </c>
      <c r="I11" s="284"/>
      <c r="J11" s="687" t="s">
        <v>284</v>
      </c>
      <c r="K11" s="688"/>
      <c r="L11" s="271"/>
      <c r="M11" s="271"/>
      <c r="N11" s="271"/>
      <c r="O11" s="271"/>
      <c r="P11" s="271"/>
      <c r="Q11" s="271"/>
    </row>
    <row r="12" spans="1:17" ht="14.25">
      <c r="A12" s="279" t="s">
        <v>284</v>
      </c>
      <c r="B12" s="274"/>
      <c r="C12" s="280">
        <f>D12*D1</f>
        <v>0</v>
      </c>
      <c r="D12" s="281"/>
      <c r="E12" s="282" t="s">
        <v>285</v>
      </c>
      <c r="F12" s="271"/>
      <c r="G12" s="287"/>
      <c r="H12" s="282" t="s">
        <v>285</v>
      </c>
      <c r="I12" s="284"/>
      <c r="J12" s="642" t="s">
        <v>276</v>
      </c>
      <c r="K12" s="643" t="s">
        <v>420</v>
      </c>
      <c r="L12" s="271"/>
      <c r="M12" s="271"/>
      <c r="N12" s="271"/>
      <c r="O12" s="271"/>
      <c r="P12" s="271"/>
      <c r="Q12" s="271"/>
    </row>
    <row r="13" spans="1:17" ht="14.25">
      <c r="A13" s="279" t="s">
        <v>286</v>
      </c>
      <c r="B13" s="274"/>
      <c r="C13" s="280">
        <f>D13*D3</f>
        <v>0</v>
      </c>
      <c r="D13" s="281"/>
      <c r="E13" s="282" t="s">
        <v>287</v>
      </c>
      <c r="F13" s="271"/>
      <c r="G13" s="673" t="s">
        <v>441</v>
      </c>
      <c r="H13" s="282" t="s">
        <v>287</v>
      </c>
      <c r="I13" s="284"/>
      <c r="J13" s="642" t="s">
        <v>288</v>
      </c>
      <c r="K13" s="643" t="s">
        <v>422</v>
      </c>
      <c r="L13" s="271"/>
      <c r="M13" s="271"/>
      <c r="N13" s="271"/>
      <c r="O13" s="271"/>
      <c r="P13" s="271"/>
      <c r="Q13" s="271"/>
    </row>
    <row r="14" spans="1:17" ht="14.25">
      <c r="A14" s="288"/>
      <c r="B14" s="274"/>
      <c r="C14" s="280"/>
      <c r="D14" s="289"/>
      <c r="E14" s="282"/>
      <c r="F14" s="271"/>
      <c r="G14" s="290"/>
      <c r="H14" s="282"/>
      <c r="I14" s="275"/>
      <c r="L14" s="271"/>
      <c r="M14" s="271"/>
      <c r="N14" s="271"/>
      <c r="O14" s="271"/>
      <c r="P14" s="271"/>
      <c r="Q14" s="271"/>
    </row>
    <row r="15" spans="1:17" ht="14.25">
      <c r="A15" s="279" t="s">
        <v>429</v>
      </c>
      <c r="B15" s="274"/>
      <c r="C15" s="280">
        <f>D15*D2</f>
        <v>0</v>
      </c>
      <c r="D15" s="281"/>
      <c r="E15" s="282" t="s">
        <v>289</v>
      </c>
      <c r="F15" s="271"/>
      <c r="G15" s="287"/>
      <c r="H15" s="282" t="s">
        <v>290</v>
      </c>
      <c r="I15" s="284"/>
      <c r="J15" s="687" t="s">
        <v>429</v>
      </c>
      <c r="K15" s="688"/>
      <c r="L15" s="271"/>
      <c r="M15" s="271"/>
      <c r="N15" s="271"/>
      <c r="O15" s="271"/>
      <c r="P15" s="271"/>
      <c r="Q15" s="271"/>
    </row>
    <row r="16" spans="1:17" ht="14.25">
      <c r="A16" s="279" t="s">
        <v>291</v>
      </c>
      <c r="B16" s="274"/>
      <c r="C16" s="280">
        <f>D16*D2</f>
        <v>0</v>
      </c>
      <c r="D16" s="281"/>
      <c r="E16" s="282" t="s">
        <v>289</v>
      </c>
      <c r="F16" s="271"/>
      <c r="G16" s="287" t="s">
        <v>438</v>
      </c>
      <c r="H16" s="282" t="s">
        <v>292</v>
      </c>
      <c r="I16" s="284"/>
      <c r="J16" s="642" t="s">
        <v>430</v>
      </c>
      <c r="K16" s="643" t="s">
        <v>423</v>
      </c>
      <c r="L16" s="271"/>
      <c r="M16" s="271"/>
      <c r="N16" s="271"/>
      <c r="O16" s="271"/>
      <c r="P16" s="271"/>
      <c r="Q16" s="271"/>
    </row>
    <row r="17" spans="1:17" ht="14.25">
      <c r="A17" s="279" t="s">
        <v>293</v>
      </c>
      <c r="B17" s="274"/>
      <c r="C17" s="280">
        <f>D17*D2</f>
        <v>0</v>
      </c>
      <c r="D17" s="281"/>
      <c r="E17" s="282" t="s">
        <v>290</v>
      </c>
      <c r="F17" s="271"/>
      <c r="G17" s="287">
        <v>325</v>
      </c>
      <c r="H17" s="282" t="s">
        <v>290</v>
      </c>
      <c r="I17" s="284"/>
      <c r="J17" s="642" t="s">
        <v>431</v>
      </c>
      <c r="K17" s="643" t="s">
        <v>424</v>
      </c>
      <c r="L17" s="271"/>
      <c r="M17" s="271"/>
      <c r="N17" s="271"/>
      <c r="O17" s="271"/>
      <c r="P17" s="271"/>
      <c r="Q17" s="271"/>
    </row>
    <row r="18" spans="1:17" ht="14.25">
      <c r="A18" s="279" t="s">
        <v>294</v>
      </c>
      <c r="B18" s="274"/>
      <c r="C18" s="280">
        <f>D18*D3</f>
        <v>0</v>
      </c>
      <c r="D18" s="281"/>
      <c r="E18" s="282" t="s">
        <v>281</v>
      </c>
      <c r="F18" s="271"/>
      <c r="G18" s="287">
        <v>600</v>
      </c>
      <c r="H18" s="282" t="s">
        <v>281</v>
      </c>
      <c r="I18" s="284"/>
      <c r="J18" s="642" t="s">
        <v>432</v>
      </c>
      <c r="K18" s="643" t="s">
        <v>425</v>
      </c>
      <c r="L18" s="271"/>
      <c r="M18" s="271"/>
      <c r="N18" s="271"/>
      <c r="O18" s="271"/>
      <c r="P18" s="271"/>
      <c r="Q18" s="271"/>
    </row>
    <row r="19" spans="1:17" ht="14.25">
      <c r="A19" s="288"/>
      <c r="B19" s="274"/>
      <c r="C19" s="280"/>
      <c r="D19" s="280"/>
      <c r="E19" s="282"/>
      <c r="F19" s="271"/>
      <c r="G19" s="283"/>
      <c r="H19" s="282"/>
      <c r="I19" s="284"/>
      <c r="J19" s="642" t="s">
        <v>426</v>
      </c>
      <c r="K19" s="643" t="s">
        <v>427</v>
      </c>
      <c r="L19" s="271"/>
      <c r="M19" s="271"/>
      <c r="N19" s="271"/>
      <c r="O19" s="271"/>
      <c r="P19" s="271"/>
      <c r="Q19" s="271"/>
    </row>
    <row r="20" spans="1:17" ht="14.25">
      <c r="A20" s="279" t="s">
        <v>295</v>
      </c>
      <c r="B20" s="274"/>
      <c r="C20" s="280">
        <f>D20*D1</f>
        <v>0</v>
      </c>
      <c r="D20" s="281"/>
      <c r="E20" s="282" t="s">
        <v>278</v>
      </c>
      <c r="F20" s="271"/>
      <c r="G20" s="283">
        <v>1250</v>
      </c>
      <c r="H20" s="282" t="s">
        <v>278</v>
      </c>
      <c r="J20" s="642" t="s">
        <v>428</v>
      </c>
      <c r="K20" s="643" t="s">
        <v>433</v>
      </c>
      <c r="L20" s="271"/>
      <c r="M20" s="271"/>
      <c r="N20" s="271"/>
      <c r="O20" s="271"/>
      <c r="P20" s="271"/>
      <c r="Q20" s="271"/>
    </row>
    <row r="21" spans="1:17" ht="14.25">
      <c r="A21" s="279" t="s">
        <v>296</v>
      </c>
      <c r="B21" s="274"/>
      <c r="C21" s="280">
        <f>D21*D2</f>
        <v>0</v>
      </c>
      <c r="D21" s="281"/>
      <c r="E21" s="282" t="s">
        <v>290</v>
      </c>
      <c r="F21" s="271"/>
      <c r="G21" s="283">
        <v>150</v>
      </c>
      <c r="H21" s="282" t="s">
        <v>290</v>
      </c>
      <c r="I21" s="284"/>
      <c r="J21" s="642" t="s">
        <v>435</v>
      </c>
      <c r="K21" s="643" t="s">
        <v>434</v>
      </c>
      <c r="L21" s="271"/>
      <c r="M21" s="271"/>
      <c r="N21" s="271"/>
      <c r="O21" s="271"/>
      <c r="P21" s="271"/>
      <c r="Q21" s="271"/>
    </row>
    <row r="22" spans="1:17" ht="14.25">
      <c r="A22" s="279"/>
      <c r="B22" s="274"/>
      <c r="C22" s="280"/>
      <c r="D22" s="280"/>
      <c r="E22" s="282"/>
      <c r="F22" s="271"/>
      <c r="G22" s="283"/>
      <c r="H22" s="282"/>
      <c r="I22" s="284"/>
      <c r="J22" s="642" t="s">
        <v>436</v>
      </c>
      <c r="K22" s="643" t="s">
        <v>437</v>
      </c>
      <c r="L22" s="271"/>
      <c r="M22" s="271"/>
      <c r="N22" s="271"/>
      <c r="O22" s="271"/>
      <c r="P22" s="271"/>
      <c r="Q22" s="271"/>
    </row>
    <row r="23" spans="1:17" ht="14.25">
      <c r="A23" s="279" t="s">
        <v>297</v>
      </c>
      <c r="B23" s="274"/>
      <c r="C23" s="280">
        <f>D4*D23</f>
        <v>0</v>
      </c>
      <c r="D23" s="281"/>
      <c r="E23" s="282" t="s">
        <v>298</v>
      </c>
      <c r="F23" s="271"/>
      <c r="G23" s="283">
        <v>8000</v>
      </c>
      <c r="H23" s="282" t="s">
        <v>298</v>
      </c>
      <c r="I23" s="284"/>
      <c r="L23" s="271"/>
      <c r="M23" s="271"/>
      <c r="N23" s="271"/>
      <c r="O23" s="271"/>
      <c r="P23" s="271"/>
      <c r="Q23" s="271"/>
    </row>
    <row r="24" spans="1:17" ht="14.25">
      <c r="A24" s="279" t="s">
        <v>299</v>
      </c>
      <c r="B24" s="274"/>
      <c r="C24" s="280">
        <f>D24*D1</f>
        <v>0</v>
      </c>
      <c r="D24" s="281"/>
      <c r="E24" s="282" t="s">
        <v>278</v>
      </c>
      <c r="F24" s="271"/>
      <c r="G24" s="672" t="s">
        <v>439</v>
      </c>
      <c r="H24" s="282" t="s">
        <v>440</v>
      </c>
      <c r="I24" s="284"/>
      <c r="J24" s="285"/>
      <c r="K24" s="284"/>
      <c r="L24" s="271"/>
      <c r="M24" s="271"/>
      <c r="N24" s="271"/>
      <c r="O24" s="271"/>
      <c r="P24" s="271"/>
      <c r="Q24" s="271"/>
    </row>
    <row r="25" spans="1:17" ht="14.25">
      <c r="A25" s="279"/>
      <c r="B25" s="274"/>
      <c r="C25" s="280"/>
      <c r="D25" s="280"/>
      <c r="E25" s="282"/>
      <c r="F25" s="271"/>
      <c r="G25" s="283"/>
      <c r="H25" s="282"/>
      <c r="J25" s="285"/>
      <c r="K25" s="284"/>
      <c r="L25" s="271"/>
      <c r="M25" s="271"/>
      <c r="N25" s="271"/>
      <c r="O25" s="271"/>
      <c r="P25" s="271"/>
      <c r="Q25" s="271"/>
    </row>
    <row r="26" spans="1:17" ht="14.25">
      <c r="A26" s="279" t="s">
        <v>300</v>
      </c>
      <c r="B26" s="274"/>
      <c r="C26" s="280">
        <f>D26*D1</f>
        <v>0</v>
      </c>
      <c r="D26" s="281"/>
      <c r="E26" s="282" t="s">
        <v>278</v>
      </c>
      <c r="F26" s="271"/>
      <c r="G26" s="283">
        <v>350</v>
      </c>
      <c r="H26" s="282" t="s">
        <v>278</v>
      </c>
      <c r="I26" s="284"/>
      <c r="J26" s="285"/>
      <c r="K26" s="284"/>
      <c r="L26" s="271"/>
      <c r="M26" s="271"/>
      <c r="N26" s="271"/>
      <c r="O26" s="271"/>
      <c r="P26" s="271"/>
      <c r="Q26" s="271"/>
    </row>
    <row r="27" spans="1:17" ht="14.25">
      <c r="A27" s="279"/>
      <c r="B27" s="274"/>
      <c r="C27" s="280"/>
      <c r="D27" s="280"/>
      <c r="E27" s="282"/>
      <c r="F27" s="271"/>
      <c r="G27" s="291"/>
      <c r="H27" s="282"/>
      <c r="I27" s="284"/>
      <c r="J27" s="271"/>
      <c r="K27" s="271"/>
      <c r="L27" s="271"/>
      <c r="M27" s="271"/>
      <c r="N27" s="271"/>
      <c r="O27" s="271"/>
      <c r="P27" s="271"/>
      <c r="Q27" s="271"/>
    </row>
    <row r="28" spans="1:17" ht="14.25">
      <c r="A28" s="288" t="s">
        <v>419</v>
      </c>
      <c r="B28" s="274"/>
      <c r="C28" s="292">
        <f ca="1">SUM(C9:C26)/0.81</f>
        <v>0</v>
      </c>
      <c r="D28" s="292" t="e">
        <f ca="1">C28/D1</f>
        <v>#DIV/0!</v>
      </c>
      <c r="E28" s="293" t="s">
        <v>278</v>
      </c>
      <c r="F28" s="271"/>
      <c r="G28" s="294"/>
      <c r="H28" s="293"/>
      <c r="I28" s="284"/>
      <c r="J28" s="285"/>
      <c r="K28" s="284"/>
      <c r="L28" s="271"/>
      <c r="M28" s="271"/>
      <c r="N28" s="271"/>
      <c r="O28" s="271"/>
      <c r="P28" s="271"/>
      <c r="Q28" s="271"/>
    </row>
    <row r="29" spans="1:17" ht="14.65" thickBot="1">
      <c r="A29" s="295"/>
      <c r="B29" s="644"/>
      <c r="C29" s="644"/>
      <c r="D29" s="644" t="e">
        <f ca="1">C28/D2</f>
        <v>#DIV/0!</v>
      </c>
      <c r="E29" s="297" t="s">
        <v>290</v>
      </c>
      <c r="F29" s="271"/>
      <c r="G29" s="296"/>
      <c r="H29" s="297"/>
      <c r="I29" s="298"/>
      <c r="J29" s="285"/>
      <c r="K29" s="284"/>
      <c r="L29" s="271"/>
      <c r="M29" s="271"/>
      <c r="N29" s="271"/>
      <c r="O29" s="271"/>
      <c r="P29" s="271"/>
      <c r="Q29" s="271"/>
    </row>
    <row r="30" spans="1:17" ht="14.25">
      <c r="A30" s="271"/>
      <c r="B30" s="299"/>
      <c r="C30" s="280"/>
      <c r="D30" s="299"/>
      <c r="E30" s="271"/>
      <c r="F30" s="271"/>
      <c r="G30" s="271"/>
      <c r="H30" s="271"/>
      <c r="I30" s="271"/>
      <c r="J30" s="285"/>
      <c r="K30" s="284"/>
      <c r="L30" s="271"/>
      <c r="M30" s="271"/>
      <c r="N30" s="271"/>
      <c r="O30" s="271"/>
      <c r="P30" s="271"/>
      <c r="Q30" s="271"/>
    </row>
    <row r="31" spans="1:17" ht="57">
      <c r="A31" s="671" t="s">
        <v>421</v>
      </c>
      <c r="B31" s="299"/>
      <c r="C31" s="280"/>
      <c r="D31" s="299"/>
      <c r="E31" s="271"/>
      <c r="F31" s="271"/>
      <c r="G31" s="271"/>
      <c r="H31" s="271"/>
      <c r="I31" s="271"/>
      <c r="J31" s="298"/>
      <c r="K31" s="298"/>
      <c r="L31" s="271"/>
      <c r="M31" s="271"/>
      <c r="N31" s="271"/>
      <c r="O31" s="271"/>
      <c r="P31" s="271"/>
      <c r="Q31" s="271"/>
    </row>
    <row r="32" spans="1:17" ht="14.25">
      <c r="A32" s="271" t="s">
        <v>442</v>
      </c>
      <c r="B32" s="300"/>
      <c r="C32" s="301"/>
      <c r="D32" s="302"/>
      <c r="E32" s="271"/>
      <c r="F32" s="271"/>
      <c r="G32" s="271"/>
      <c r="H32" s="271"/>
      <c r="I32" s="271"/>
      <c r="J32" s="271"/>
      <c r="K32" s="271"/>
      <c r="L32" s="271"/>
      <c r="M32" s="271"/>
      <c r="N32" s="271"/>
      <c r="O32" s="271"/>
      <c r="P32" s="271"/>
      <c r="Q32" s="271"/>
    </row>
    <row r="33" spans="1:17" ht="14.25">
      <c r="A33" s="271"/>
      <c r="B33" s="300"/>
      <c r="C33" s="301"/>
      <c r="D33" s="302"/>
      <c r="E33" s="271"/>
      <c r="F33" s="271"/>
      <c r="G33" s="271"/>
      <c r="H33" s="271"/>
      <c r="I33" s="271"/>
      <c r="J33" s="271"/>
      <c r="K33" s="271"/>
      <c r="L33" s="271"/>
      <c r="M33" s="271"/>
      <c r="N33" s="271"/>
      <c r="O33" s="271"/>
      <c r="P33" s="271"/>
      <c r="Q33" s="271"/>
    </row>
    <row r="34" spans="1:17" ht="14.25">
      <c r="A34" s="269" t="s">
        <v>301</v>
      </c>
      <c r="B34" s="269" t="s">
        <v>302</v>
      </c>
      <c r="C34" s="303" t="s">
        <v>303</v>
      </c>
      <c r="D34" s="303" t="s">
        <v>304</v>
      </c>
      <c r="E34" s="303" t="s">
        <v>305</v>
      </c>
      <c r="F34" s="303" t="s">
        <v>306</v>
      </c>
      <c r="G34" s="303" t="s">
        <v>307</v>
      </c>
      <c r="H34" s="303" t="s">
        <v>308</v>
      </c>
      <c r="I34" s="303" t="s">
        <v>309</v>
      </c>
      <c r="J34" s="303" t="s">
        <v>310</v>
      </c>
      <c r="K34" s="303" t="s">
        <v>311</v>
      </c>
      <c r="L34" s="303" t="s">
        <v>312</v>
      </c>
      <c r="M34" s="303" t="s">
        <v>313</v>
      </c>
      <c r="N34" s="303" t="s">
        <v>314</v>
      </c>
      <c r="O34" s="303" t="s">
        <v>315</v>
      </c>
      <c r="P34" s="303" t="s">
        <v>316</v>
      </c>
      <c r="Q34" s="303" t="s">
        <v>317</v>
      </c>
    </row>
    <row r="35" spans="1:17" ht="14.25">
      <c r="A35" s="202" t="s">
        <v>318</v>
      </c>
      <c r="B35" s="202"/>
      <c r="C35" s="275"/>
      <c r="D35" s="275"/>
      <c r="E35" s="275"/>
      <c r="F35" s="275"/>
      <c r="G35" s="275"/>
      <c r="H35" s="275"/>
      <c r="I35" s="275"/>
      <c r="J35" s="275"/>
      <c r="K35" s="275"/>
      <c r="L35" s="275"/>
      <c r="M35" s="275"/>
      <c r="N35" s="275"/>
      <c r="O35" s="275"/>
      <c r="P35" s="275"/>
      <c r="Q35" s="275"/>
    </row>
    <row r="36" spans="1:17" ht="14.25">
      <c r="A36" s="271" t="s">
        <v>319</v>
      </c>
      <c r="B36" s="304"/>
      <c r="C36" s="305">
        <f>'Sale Proceeds'!D7</f>
        <v>0</v>
      </c>
      <c r="D36" s="284">
        <f>C36*(100%+$B$36)</f>
        <v>0</v>
      </c>
      <c r="E36" s="284">
        <f t="shared" ref="E36:Q36" si="0">D36*(100%+$B$36)</f>
        <v>0</v>
      </c>
      <c r="F36" s="284">
        <f t="shared" si="0"/>
        <v>0</v>
      </c>
      <c r="G36" s="284">
        <f t="shared" si="0"/>
        <v>0</v>
      </c>
      <c r="H36" s="284">
        <f t="shared" si="0"/>
        <v>0</v>
      </c>
      <c r="I36" s="284">
        <f t="shared" si="0"/>
        <v>0</v>
      </c>
      <c r="J36" s="284">
        <f>I36*(100%+$B$36)</f>
        <v>0</v>
      </c>
      <c r="K36" s="284">
        <f>J36*(100%+$B$36)</f>
        <v>0</v>
      </c>
      <c r="L36" s="284">
        <f>K36*(100%+$B$36)</f>
        <v>0</v>
      </c>
      <c r="M36" s="284">
        <f t="shared" si="0"/>
        <v>0</v>
      </c>
      <c r="N36" s="284">
        <f t="shared" si="0"/>
        <v>0</v>
      </c>
      <c r="O36" s="284">
        <f t="shared" si="0"/>
        <v>0</v>
      </c>
      <c r="P36" s="284">
        <f t="shared" si="0"/>
        <v>0</v>
      </c>
      <c r="Q36" s="284">
        <f t="shared" si="0"/>
        <v>0</v>
      </c>
    </row>
    <row r="37" spans="1:17" ht="14.25">
      <c r="A37" s="306" t="s">
        <v>320</v>
      </c>
      <c r="B37" s="307">
        <v>0.1</v>
      </c>
      <c r="C37" s="284">
        <f>-C36*$B$37</f>
        <v>0</v>
      </c>
      <c r="D37" s="284">
        <f t="shared" ref="D37:Q37" si="1">-D36*$B$37</f>
        <v>0</v>
      </c>
      <c r="E37" s="284">
        <f t="shared" si="1"/>
        <v>0</v>
      </c>
      <c r="F37" s="284">
        <f t="shared" si="1"/>
        <v>0</v>
      </c>
      <c r="G37" s="284">
        <f t="shared" si="1"/>
        <v>0</v>
      </c>
      <c r="H37" s="284">
        <f t="shared" si="1"/>
        <v>0</v>
      </c>
      <c r="I37" s="284">
        <f t="shared" si="1"/>
        <v>0</v>
      </c>
      <c r="J37" s="284">
        <f>-J36*$B$37</f>
        <v>0</v>
      </c>
      <c r="K37" s="284">
        <f>-K36*$B$37</f>
        <v>0</v>
      </c>
      <c r="L37" s="284">
        <f t="shared" si="1"/>
        <v>0</v>
      </c>
      <c r="M37" s="284">
        <f t="shared" si="1"/>
        <v>0</v>
      </c>
      <c r="N37" s="284">
        <f t="shared" si="1"/>
        <v>0</v>
      </c>
      <c r="O37" s="284">
        <f t="shared" si="1"/>
        <v>0</v>
      </c>
      <c r="P37" s="284">
        <f t="shared" si="1"/>
        <v>0</v>
      </c>
      <c r="Q37" s="284">
        <f t="shared" si="1"/>
        <v>0</v>
      </c>
    </row>
    <row r="38" spans="1:17" ht="14.25">
      <c r="A38" s="271" t="s">
        <v>321</v>
      </c>
      <c r="B38" s="304">
        <v>0.02</v>
      </c>
      <c r="C38" s="284" t="e">
        <f ca="1">'Sale Proceeds'!F79</f>
        <v>#DIV/0!</v>
      </c>
      <c r="D38" s="284" t="e">
        <f ca="1">C38*(100%+$B$38)</f>
        <v>#DIV/0!</v>
      </c>
      <c r="E38" s="284" t="e">
        <f t="shared" ref="E38:Q38" ca="1" si="2">D38*(100%+$B$38)</f>
        <v>#DIV/0!</v>
      </c>
      <c r="F38" s="284" t="e">
        <f t="shared" ca="1" si="2"/>
        <v>#DIV/0!</v>
      </c>
      <c r="G38" s="284" t="e">
        <f t="shared" ca="1" si="2"/>
        <v>#DIV/0!</v>
      </c>
      <c r="H38" s="284" t="e">
        <f t="shared" ca="1" si="2"/>
        <v>#DIV/0!</v>
      </c>
      <c r="I38" s="284" t="e">
        <f t="shared" ca="1" si="2"/>
        <v>#DIV/0!</v>
      </c>
      <c r="J38" s="284" t="e">
        <f ca="1">I38*(100%+$B$38)</f>
        <v>#DIV/0!</v>
      </c>
      <c r="K38" s="284" t="e">
        <f ca="1">J38*(100%+$B$38)</f>
        <v>#DIV/0!</v>
      </c>
      <c r="L38" s="284" t="e">
        <f ca="1">K38*(100%+$B$38)</f>
        <v>#DIV/0!</v>
      </c>
      <c r="M38" s="284" t="e">
        <f t="shared" ca="1" si="2"/>
        <v>#DIV/0!</v>
      </c>
      <c r="N38" s="284" t="e">
        <f t="shared" ca="1" si="2"/>
        <v>#DIV/0!</v>
      </c>
      <c r="O38" s="284" t="e">
        <f t="shared" ca="1" si="2"/>
        <v>#DIV/0!</v>
      </c>
      <c r="P38" s="284" t="e">
        <f t="shared" ca="1" si="2"/>
        <v>#DIV/0!</v>
      </c>
      <c r="Q38" s="284" t="e">
        <f t="shared" ca="1" si="2"/>
        <v>#DIV/0!</v>
      </c>
    </row>
    <row r="39" spans="1:17" ht="14.25">
      <c r="A39" s="308" t="s">
        <v>322</v>
      </c>
      <c r="B39" s="307">
        <v>0.05</v>
      </c>
      <c r="C39" s="284" t="e">
        <f ca="1">-C38*$B$39</f>
        <v>#DIV/0!</v>
      </c>
      <c r="D39" s="284" t="e">
        <f t="shared" ref="D39:Q39" ca="1" si="3">-D38*$B$39</f>
        <v>#DIV/0!</v>
      </c>
      <c r="E39" s="284" t="e">
        <f t="shared" ca="1" si="3"/>
        <v>#DIV/0!</v>
      </c>
      <c r="F39" s="284" t="e">
        <f t="shared" ca="1" si="3"/>
        <v>#DIV/0!</v>
      </c>
      <c r="G39" s="284" t="e">
        <f t="shared" ca="1" si="3"/>
        <v>#DIV/0!</v>
      </c>
      <c r="H39" s="284" t="e">
        <f t="shared" ca="1" si="3"/>
        <v>#DIV/0!</v>
      </c>
      <c r="I39" s="284" t="e">
        <f t="shared" ca="1" si="3"/>
        <v>#DIV/0!</v>
      </c>
      <c r="J39" s="284" t="e">
        <f ca="1">-J38*$B$39</f>
        <v>#DIV/0!</v>
      </c>
      <c r="K39" s="284" t="e">
        <f ca="1">-K38*$B$39</f>
        <v>#DIV/0!</v>
      </c>
      <c r="L39" s="284" t="e">
        <f t="shared" ca="1" si="3"/>
        <v>#DIV/0!</v>
      </c>
      <c r="M39" s="284" t="e">
        <f t="shared" ca="1" si="3"/>
        <v>#DIV/0!</v>
      </c>
      <c r="N39" s="284" t="e">
        <f t="shared" ca="1" si="3"/>
        <v>#DIV/0!</v>
      </c>
      <c r="O39" s="284" t="e">
        <f t="shared" ca="1" si="3"/>
        <v>#DIV/0!</v>
      </c>
      <c r="P39" s="284" t="e">
        <f t="shared" ca="1" si="3"/>
        <v>#DIV/0!</v>
      </c>
      <c r="Q39" s="284" t="e">
        <f t="shared" ca="1" si="3"/>
        <v>#DIV/0!</v>
      </c>
    </row>
    <row r="40" spans="1:17" ht="14.25">
      <c r="A40" s="271" t="s">
        <v>323</v>
      </c>
      <c r="B40" s="304"/>
      <c r="C40" s="284">
        <f>SUM('Sale Proceeds'!D10+'Sale Proceeds'!D11)</f>
        <v>0</v>
      </c>
      <c r="D40" s="284">
        <f t="shared" ref="D40:Q40" si="4">C40*(100%+$B$40)</f>
        <v>0</v>
      </c>
      <c r="E40" s="284">
        <f t="shared" si="4"/>
        <v>0</v>
      </c>
      <c r="F40" s="284">
        <f t="shared" si="4"/>
        <v>0</v>
      </c>
      <c r="G40" s="284">
        <f t="shared" si="4"/>
        <v>0</v>
      </c>
      <c r="H40" s="284">
        <f t="shared" si="4"/>
        <v>0</v>
      </c>
      <c r="I40" s="284">
        <f t="shared" si="4"/>
        <v>0</v>
      </c>
      <c r="J40" s="284">
        <f>I40*(100%+$B$40)</f>
        <v>0</v>
      </c>
      <c r="K40" s="284">
        <f>J40*(100%+$B$40)</f>
        <v>0</v>
      </c>
      <c r="L40" s="284">
        <f>K40*(100%+$B$40)</f>
        <v>0</v>
      </c>
      <c r="M40" s="284">
        <f t="shared" si="4"/>
        <v>0</v>
      </c>
      <c r="N40" s="284">
        <f t="shared" si="4"/>
        <v>0</v>
      </c>
      <c r="O40" s="284">
        <f t="shared" si="4"/>
        <v>0</v>
      </c>
      <c r="P40" s="284">
        <f t="shared" si="4"/>
        <v>0</v>
      </c>
      <c r="Q40" s="284">
        <f t="shared" si="4"/>
        <v>0</v>
      </c>
    </row>
    <row r="41" spans="1:17" ht="14.65" thickBot="1">
      <c r="A41" s="309" t="s">
        <v>324</v>
      </c>
      <c r="B41" s="310">
        <v>0.1</v>
      </c>
      <c r="C41" s="311">
        <f t="shared" ref="C41:Q41" si="5">-C40*$B$41</f>
        <v>0</v>
      </c>
      <c r="D41" s="311">
        <f t="shared" si="5"/>
        <v>0</v>
      </c>
      <c r="E41" s="311">
        <f t="shared" si="5"/>
        <v>0</v>
      </c>
      <c r="F41" s="311">
        <f t="shared" si="5"/>
        <v>0</v>
      </c>
      <c r="G41" s="311">
        <f t="shared" si="5"/>
        <v>0</v>
      </c>
      <c r="H41" s="311">
        <f t="shared" si="5"/>
        <v>0</v>
      </c>
      <c r="I41" s="311">
        <f t="shared" si="5"/>
        <v>0</v>
      </c>
      <c r="J41" s="311">
        <f>-J40*$B$41</f>
        <v>0</v>
      </c>
      <c r="K41" s="311">
        <f>-K40*$B$41</f>
        <v>0</v>
      </c>
      <c r="L41" s="311">
        <f t="shared" si="5"/>
        <v>0</v>
      </c>
      <c r="M41" s="311">
        <f t="shared" si="5"/>
        <v>0</v>
      </c>
      <c r="N41" s="311">
        <f t="shared" si="5"/>
        <v>0</v>
      </c>
      <c r="O41" s="311">
        <f t="shared" si="5"/>
        <v>0</v>
      </c>
      <c r="P41" s="311">
        <f t="shared" si="5"/>
        <v>0</v>
      </c>
      <c r="Q41" s="311">
        <f t="shared" si="5"/>
        <v>0</v>
      </c>
    </row>
    <row r="42" spans="1:17" ht="14.25">
      <c r="A42" s="202" t="s">
        <v>325</v>
      </c>
      <c r="B42" s="202"/>
      <c r="C42" s="298" t="e">
        <f ca="1">SUM(C36:C41)</f>
        <v>#DIV/0!</v>
      </c>
      <c r="D42" s="298" t="e">
        <f t="shared" ref="D42:Q42" ca="1" si="6">SUM(D36:D41)</f>
        <v>#DIV/0!</v>
      </c>
      <c r="E42" s="298" t="e">
        <f t="shared" ca="1" si="6"/>
        <v>#DIV/0!</v>
      </c>
      <c r="F42" s="298" t="e">
        <f t="shared" ca="1" si="6"/>
        <v>#DIV/0!</v>
      </c>
      <c r="G42" s="298" t="e">
        <f t="shared" ca="1" si="6"/>
        <v>#DIV/0!</v>
      </c>
      <c r="H42" s="298" t="e">
        <f t="shared" ca="1" si="6"/>
        <v>#DIV/0!</v>
      </c>
      <c r="I42" s="298" t="e">
        <f t="shared" ca="1" si="6"/>
        <v>#DIV/0!</v>
      </c>
      <c r="J42" s="298" t="e">
        <f ca="1">SUM(J36:J41)</f>
        <v>#DIV/0!</v>
      </c>
      <c r="K42" s="298" t="e">
        <f ca="1">SUM(K36:K41)</f>
        <v>#DIV/0!</v>
      </c>
      <c r="L42" s="298" t="e">
        <f t="shared" ca="1" si="6"/>
        <v>#DIV/0!</v>
      </c>
      <c r="M42" s="298" t="e">
        <f t="shared" ca="1" si="6"/>
        <v>#DIV/0!</v>
      </c>
      <c r="N42" s="298" t="e">
        <f t="shared" ca="1" si="6"/>
        <v>#DIV/0!</v>
      </c>
      <c r="O42" s="298" t="e">
        <f t="shared" ca="1" si="6"/>
        <v>#DIV/0!</v>
      </c>
      <c r="P42" s="298" t="e">
        <f t="shared" ca="1" si="6"/>
        <v>#DIV/0!</v>
      </c>
      <c r="Q42" s="298" t="e">
        <f t="shared" ca="1" si="6"/>
        <v>#DIV/0!</v>
      </c>
    </row>
    <row r="43" spans="1:17" ht="14.25">
      <c r="A43" s="202"/>
      <c r="B43" s="202"/>
      <c r="C43" s="298"/>
      <c r="D43" s="298"/>
      <c r="E43" s="298"/>
      <c r="F43" s="298"/>
      <c r="G43" s="298"/>
      <c r="H43" s="298"/>
      <c r="I43" s="298"/>
      <c r="J43" s="298"/>
      <c r="K43" s="298"/>
      <c r="L43" s="298"/>
      <c r="M43" s="298"/>
      <c r="N43" s="298"/>
      <c r="O43" s="298"/>
      <c r="P43" s="298"/>
      <c r="Q43" s="298"/>
    </row>
    <row r="44" spans="1:17" ht="14.25">
      <c r="A44" s="202" t="s">
        <v>326</v>
      </c>
      <c r="B44" s="271"/>
      <c r="C44" s="284"/>
      <c r="D44" s="284"/>
      <c r="E44" s="284"/>
      <c r="F44" s="284"/>
      <c r="G44" s="284"/>
      <c r="H44" s="284"/>
      <c r="I44" s="284"/>
      <c r="J44" s="284"/>
      <c r="K44" s="284"/>
      <c r="L44" s="284"/>
      <c r="M44" s="284"/>
      <c r="N44" s="284"/>
      <c r="O44" s="284"/>
      <c r="P44" s="284"/>
      <c r="Q44" s="284"/>
    </row>
    <row r="45" spans="1:17" ht="14.25">
      <c r="A45" s="271" t="s">
        <v>327</v>
      </c>
      <c r="B45" s="304">
        <v>0.03</v>
      </c>
      <c r="C45" s="284">
        <f ca="1">CAM-C26-C11</f>
        <v>0</v>
      </c>
      <c r="D45" s="284">
        <f ca="1">C45*(100%+$B$45)</f>
        <v>0</v>
      </c>
      <c r="E45" s="284">
        <f t="shared" ref="E45:Q45" ca="1" si="7">D45*(100%+$B$45)</f>
        <v>0</v>
      </c>
      <c r="F45" s="284">
        <f t="shared" ca="1" si="7"/>
        <v>0</v>
      </c>
      <c r="G45" s="284">
        <f t="shared" ca="1" si="7"/>
        <v>0</v>
      </c>
      <c r="H45" s="284">
        <f t="shared" ca="1" si="7"/>
        <v>0</v>
      </c>
      <c r="I45" s="284">
        <f t="shared" ca="1" si="7"/>
        <v>0</v>
      </c>
      <c r="J45" s="284">
        <f ca="1">I45*(100%+$B$45)</f>
        <v>0</v>
      </c>
      <c r="K45" s="284">
        <f ca="1">J45*(100%+$B$45)</f>
        <v>0</v>
      </c>
      <c r="L45" s="284">
        <f ca="1">K45*(100%+$B$45)</f>
        <v>0</v>
      </c>
      <c r="M45" s="284">
        <f t="shared" ca="1" si="7"/>
        <v>0</v>
      </c>
      <c r="N45" s="284">
        <f t="shared" ca="1" si="7"/>
        <v>0</v>
      </c>
      <c r="O45" s="284">
        <f t="shared" ca="1" si="7"/>
        <v>0</v>
      </c>
      <c r="P45" s="284">
        <f t="shared" ca="1" si="7"/>
        <v>0</v>
      </c>
      <c r="Q45" s="284">
        <f t="shared" ca="1" si="7"/>
        <v>0</v>
      </c>
    </row>
    <row r="46" spans="1:17" ht="14.25">
      <c r="A46" s="271" t="s">
        <v>282</v>
      </c>
      <c r="B46" s="304">
        <v>0.02</v>
      </c>
      <c r="C46" s="284">
        <f ca="1">C11</f>
        <v>0</v>
      </c>
      <c r="D46" s="284">
        <f ca="1">C46*(100%+$B$46)</f>
        <v>0</v>
      </c>
      <c r="E46" s="284">
        <f t="shared" ref="E46:Q46" ca="1" si="8">D46*(100%+$B$46)</f>
        <v>0</v>
      </c>
      <c r="F46" s="284">
        <f t="shared" ca="1" si="8"/>
        <v>0</v>
      </c>
      <c r="G46" s="284">
        <f t="shared" ca="1" si="8"/>
        <v>0</v>
      </c>
      <c r="H46" s="284">
        <f t="shared" ca="1" si="8"/>
        <v>0</v>
      </c>
      <c r="I46" s="284">
        <f t="shared" ca="1" si="8"/>
        <v>0</v>
      </c>
      <c r="J46" s="284">
        <f ca="1">I46*(100%+$B$46)</f>
        <v>0</v>
      </c>
      <c r="K46" s="284">
        <f ca="1">J46*(100%+$B$46)</f>
        <v>0</v>
      </c>
      <c r="L46" s="284">
        <f ca="1">K46*(100%+$B$46)</f>
        <v>0</v>
      </c>
      <c r="M46" s="284">
        <f t="shared" ca="1" si="8"/>
        <v>0</v>
      </c>
      <c r="N46" s="284">
        <f t="shared" ca="1" si="8"/>
        <v>0</v>
      </c>
      <c r="O46" s="284">
        <f t="shared" ca="1" si="8"/>
        <v>0</v>
      </c>
      <c r="P46" s="284">
        <f t="shared" ca="1" si="8"/>
        <v>0</v>
      </c>
      <c r="Q46" s="284">
        <f t="shared" ca="1" si="8"/>
        <v>0</v>
      </c>
    </row>
    <row r="47" spans="1:17" ht="14.65" thickBot="1">
      <c r="A47" s="312" t="s">
        <v>112</v>
      </c>
      <c r="B47" s="313">
        <v>0.02</v>
      </c>
      <c r="C47" s="311">
        <f>C26</f>
        <v>0</v>
      </c>
      <c r="D47" s="311">
        <f t="shared" ref="D47:Q47" si="9">C47*(100%+$B$47)</f>
        <v>0</v>
      </c>
      <c r="E47" s="311">
        <f t="shared" si="9"/>
        <v>0</v>
      </c>
      <c r="F47" s="311">
        <f t="shared" si="9"/>
        <v>0</v>
      </c>
      <c r="G47" s="311">
        <f t="shared" si="9"/>
        <v>0</v>
      </c>
      <c r="H47" s="311">
        <f t="shared" si="9"/>
        <v>0</v>
      </c>
      <c r="I47" s="311">
        <f t="shared" si="9"/>
        <v>0</v>
      </c>
      <c r="J47" s="311">
        <f>I47*(100%+$B$47)</f>
        <v>0</v>
      </c>
      <c r="K47" s="311">
        <f>J47*(100%+$B$47)</f>
        <v>0</v>
      </c>
      <c r="L47" s="311">
        <f>K47*(100%+$B$47)</f>
        <v>0</v>
      </c>
      <c r="M47" s="311">
        <f t="shared" si="9"/>
        <v>0</v>
      </c>
      <c r="N47" s="311">
        <f t="shared" si="9"/>
        <v>0</v>
      </c>
      <c r="O47" s="311">
        <f t="shared" si="9"/>
        <v>0</v>
      </c>
      <c r="P47" s="311">
        <f t="shared" si="9"/>
        <v>0</v>
      </c>
      <c r="Q47" s="311">
        <f t="shared" si="9"/>
        <v>0</v>
      </c>
    </row>
    <row r="48" spans="1:17" ht="14.25">
      <c r="A48" s="202" t="s">
        <v>328</v>
      </c>
      <c r="B48" s="202"/>
      <c r="C48" s="298">
        <f ca="1">SUM(C45:C47)</f>
        <v>0</v>
      </c>
      <c r="D48" s="298">
        <f t="shared" ref="D48:Q48" ca="1" si="10">SUM(D45:D47)</f>
        <v>0</v>
      </c>
      <c r="E48" s="298">
        <f t="shared" ca="1" si="10"/>
        <v>0</v>
      </c>
      <c r="F48" s="298">
        <f t="shared" ca="1" si="10"/>
        <v>0</v>
      </c>
      <c r="G48" s="298">
        <f t="shared" ca="1" si="10"/>
        <v>0</v>
      </c>
      <c r="H48" s="298">
        <f t="shared" ca="1" si="10"/>
        <v>0</v>
      </c>
      <c r="I48" s="298">
        <f t="shared" ca="1" si="10"/>
        <v>0</v>
      </c>
      <c r="J48" s="298">
        <f ca="1">SUM(J45:J47)</f>
        <v>0</v>
      </c>
      <c r="K48" s="298">
        <f ca="1">SUM(K45:K47)</f>
        <v>0</v>
      </c>
      <c r="L48" s="298">
        <f t="shared" ca="1" si="10"/>
        <v>0</v>
      </c>
      <c r="M48" s="298">
        <f t="shared" ca="1" si="10"/>
        <v>0</v>
      </c>
      <c r="N48" s="298">
        <f t="shared" ca="1" si="10"/>
        <v>0</v>
      </c>
      <c r="O48" s="298">
        <f t="shared" ca="1" si="10"/>
        <v>0</v>
      </c>
      <c r="P48" s="298">
        <f t="shared" ca="1" si="10"/>
        <v>0</v>
      </c>
      <c r="Q48" s="298">
        <f t="shared" ca="1" si="10"/>
        <v>0</v>
      </c>
    </row>
    <row r="49" spans="1:17" ht="14.65" thickBot="1">
      <c r="A49" s="202"/>
      <c r="B49" s="202"/>
      <c r="C49" s="284"/>
      <c r="D49" s="284"/>
      <c r="E49" s="284"/>
      <c r="F49" s="284"/>
      <c r="G49" s="284"/>
      <c r="H49" s="284"/>
      <c r="I49" s="284"/>
      <c r="J49" s="284"/>
      <c r="K49" s="284"/>
      <c r="L49" s="284"/>
      <c r="M49" s="284"/>
      <c r="N49" s="284"/>
      <c r="O49" s="284"/>
      <c r="P49" s="284"/>
      <c r="Q49" s="284"/>
    </row>
    <row r="50" spans="1:17" ht="14.65" thickBot="1">
      <c r="A50" s="314" t="s">
        <v>329</v>
      </c>
      <c r="B50" s="315"/>
      <c r="C50" s="316" t="e">
        <f ca="1">C42-C48</f>
        <v>#DIV/0!</v>
      </c>
      <c r="D50" s="316" t="e">
        <f t="shared" ref="D50:Q50" ca="1" si="11">D42-D48</f>
        <v>#DIV/0!</v>
      </c>
      <c r="E50" s="316" t="e">
        <f t="shared" ca="1" si="11"/>
        <v>#DIV/0!</v>
      </c>
      <c r="F50" s="316" t="e">
        <f t="shared" ca="1" si="11"/>
        <v>#DIV/0!</v>
      </c>
      <c r="G50" s="316" t="e">
        <f t="shared" ca="1" si="11"/>
        <v>#DIV/0!</v>
      </c>
      <c r="H50" s="316" t="e">
        <f t="shared" ca="1" si="11"/>
        <v>#DIV/0!</v>
      </c>
      <c r="I50" s="316" t="e">
        <f t="shared" ca="1" si="11"/>
        <v>#DIV/0!</v>
      </c>
      <c r="J50" s="316" t="e">
        <f ca="1">J42-J48</f>
        <v>#DIV/0!</v>
      </c>
      <c r="K50" s="316" t="e">
        <f ca="1">K42-K48</f>
        <v>#DIV/0!</v>
      </c>
      <c r="L50" s="316" t="e">
        <f t="shared" ca="1" si="11"/>
        <v>#DIV/0!</v>
      </c>
      <c r="M50" s="316" t="e">
        <f t="shared" ca="1" si="11"/>
        <v>#DIV/0!</v>
      </c>
      <c r="N50" s="316" t="e">
        <f t="shared" ca="1" si="11"/>
        <v>#DIV/0!</v>
      </c>
      <c r="O50" s="316" t="e">
        <f t="shared" ca="1" si="11"/>
        <v>#DIV/0!</v>
      </c>
      <c r="P50" s="316" t="e">
        <f t="shared" ca="1" si="11"/>
        <v>#DIV/0!</v>
      </c>
      <c r="Q50" s="316" t="e">
        <f t="shared" ca="1" si="11"/>
        <v>#DIV/0!</v>
      </c>
    </row>
    <row r="51" spans="1:17" ht="14.25">
      <c r="A51" s="271"/>
      <c r="B51" s="284"/>
      <c r="C51" s="284"/>
      <c r="D51" s="271"/>
      <c r="E51" s="271"/>
      <c r="F51" s="271"/>
      <c r="G51" s="271"/>
      <c r="H51" s="271"/>
      <c r="I51" s="271"/>
      <c r="J51" s="271"/>
      <c r="K51" s="271"/>
      <c r="L51" s="271"/>
      <c r="M51" s="271"/>
      <c r="N51" s="271"/>
      <c r="O51" s="271"/>
      <c r="P51" s="271"/>
      <c r="Q51" s="271"/>
    </row>
    <row r="52" spans="1:17" ht="14.25">
      <c r="A52" s="202" t="s">
        <v>330</v>
      </c>
      <c r="B52" s="284"/>
      <c r="C52" s="284" t="e">
        <f ca="1">C47+C50</f>
        <v>#DIV/0!</v>
      </c>
      <c r="D52" s="284" t="e">
        <f t="shared" ref="D52:Q52" ca="1" si="12">D47+D50</f>
        <v>#DIV/0!</v>
      </c>
      <c r="E52" s="284" t="e">
        <f t="shared" ca="1" si="12"/>
        <v>#DIV/0!</v>
      </c>
      <c r="F52" s="284" t="e">
        <f t="shared" ca="1" si="12"/>
        <v>#DIV/0!</v>
      </c>
      <c r="G52" s="284" t="e">
        <f t="shared" ca="1" si="12"/>
        <v>#DIV/0!</v>
      </c>
      <c r="H52" s="284" t="e">
        <f t="shared" ca="1" si="12"/>
        <v>#DIV/0!</v>
      </c>
      <c r="I52" s="284" t="e">
        <f t="shared" ca="1" si="12"/>
        <v>#DIV/0!</v>
      </c>
      <c r="J52" s="284" t="e">
        <f ca="1">J47+J50</f>
        <v>#DIV/0!</v>
      </c>
      <c r="K52" s="284" t="e">
        <f ca="1">K47+K50</f>
        <v>#DIV/0!</v>
      </c>
      <c r="L52" s="284" t="e">
        <f t="shared" ca="1" si="12"/>
        <v>#DIV/0!</v>
      </c>
      <c r="M52" s="284" t="e">
        <f t="shared" ca="1" si="12"/>
        <v>#DIV/0!</v>
      </c>
      <c r="N52" s="284" t="e">
        <f t="shared" ca="1" si="12"/>
        <v>#DIV/0!</v>
      </c>
      <c r="O52" s="284" t="e">
        <f t="shared" ca="1" si="12"/>
        <v>#DIV/0!</v>
      </c>
      <c r="P52" s="284" t="e">
        <f t="shared" ca="1" si="12"/>
        <v>#DIV/0!</v>
      </c>
      <c r="Q52" s="284" t="e">
        <f t="shared" ca="1" si="12"/>
        <v>#DIV/0!</v>
      </c>
    </row>
    <row r="53" spans="1:17" ht="14.25">
      <c r="A53" s="271"/>
      <c r="B53" s="284"/>
      <c r="C53" s="284"/>
      <c r="D53" s="284"/>
      <c r="E53" s="271"/>
      <c r="F53" s="271"/>
      <c r="G53" s="271"/>
      <c r="H53" s="271"/>
      <c r="I53" s="271"/>
      <c r="L53" s="271"/>
      <c r="M53" s="271"/>
      <c r="N53" s="271"/>
      <c r="O53" s="271"/>
      <c r="P53" s="271"/>
      <c r="Q53" s="271"/>
    </row>
    <row r="55" spans="1:17" ht="14.25">
      <c r="J55" s="271"/>
      <c r="K55" s="271"/>
    </row>
  </sheetData>
  <mergeCells count="5">
    <mergeCell ref="J15:K15"/>
    <mergeCell ref="A6:D6"/>
    <mergeCell ref="A7:D7"/>
    <mergeCell ref="J7:K7"/>
    <mergeCell ref="J11:K11"/>
  </mergeCells>
  <pageMargins left="0.7" right="0.7" top="0.75" bottom="0.75" header="0.3" footer="0.3"/>
  <pageSetup paperSize="5" scale="55" orientation="landscape" r:id="rId1"/>
  <headerFooter>
    <oddHeader>&amp;L&amp;"Arial,Bold"&amp;12&amp;A&amp;R&amp;"Arial,Regular"&amp;D</oddHeader>
    <oddFooter>&amp;L&amp;"Arial,Regular"&amp;9&amp;F&amp;R&amp;"Arial,Italic"&amp;10&amp;P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pageSetUpPr fitToPage="1"/>
  </sheetPr>
  <dimension ref="A1:AL43"/>
  <sheetViews>
    <sheetView topLeftCell="A9" zoomScaleNormal="100" zoomScaleSheetLayoutView="85" workbookViewId="0"/>
  </sheetViews>
  <sheetFormatPr defaultColWidth="9.1328125" defaultRowHeight="13.5"/>
  <cols>
    <col min="1" max="1" width="50.1328125" style="89" customWidth="1"/>
    <col min="2" max="2" width="19.1328125" style="152" bestFit="1" customWidth="1"/>
    <col min="3" max="3" width="18.73046875" style="152" customWidth="1"/>
    <col min="4" max="4" width="20.73046875" style="152" bestFit="1" customWidth="1"/>
    <col min="5" max="17" width="18.73046875" style="89" customWidth="1"/>
    <col min="18" max="18" width="13.3984375" style="89" bestFit="1" customWidth="1"/>
    <col min="19" max="30" width="13.1328125" style="89" bestFit="1" customWidth="1"/>
    <col min="31" max="16384" width="9.1328125" style="89"/>
  </cols>
  <sheetData>
    <row r="1" spans="1:38" ht="14.25">
      <c r="A1" s="202" t="str">
        <f>'Project Overview'!A1</f>
        <v>Project Name</v>
      </c>
      <c r="B1" s="268">
        <f>'Project Overview'!B1</f>
        <v>0</v>
      </c>
      <c r="C1" s="269" t="s">
        <v>268</v>
      </c>
      <c r="D1" s="270">
        <f>'Project Overview'!$E$3</f>
        <v>0</v>
      </c>
      <c r="E1" s="202"/>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row>
    <row r="2" spans="1:38" ht="14.25">
      <c r="A2" s="202" t="str">
        <f>'Project Overview'!A2</f>
        <v>Developer</v>
      </c>
      <c r="B2" s="272">
        <f>'Project Overview'!B2</f>
        <v>0</v>
      </c>
      <c r="C2" s="269" t="s">
        <v>269</v>
      </c>
      <c r="D2" s="269">
        <f>'Project Overview'!$E$22</f>
        <v>0</v>
      </c>
      <c r="E2" s="202"/>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row>
    <row r="3" spans="1:38" ht="14.25">
      <c r="A3" s="202" t="str">
        <f>'Project Overview'!A3</f>
        <v>Address</v>
      </c>
      <c r="B3" s="268">
        <f>'Project Overview'!B3</f>
        <v>0</v>
      </c>
      <c r="C3" s="269" t="s">
        <v>270</v>
      </c>
      <c r="D3" s="273"/>
      <c r="E3" s="457"/>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row>
    <row r="4" spans="1:38" ht="14.25">
      <c r="A4" s="202" t="str">
        <f>'Project Overview'!A4</f>
        <v>BBL</v>
      </c>
      <c r="B4" s="268">
        <f>'Project Overview'!B4</f>
        <v>0</v>
      </c>
      <c r="C4" s="269" t="s">
        <v>271</v>
      </c>
      <c r="D4" s="273"/>
      <c r="E4" s="457"/>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ht="14.25">
      <c r="A5" s="271"/>
      <c r="B5" s="274"/>
      <c r="C5" s="274"/>
      <c r="D5" s="274"/>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row>
    <row r="6" spans="1:38" ht="14.25">
      <c r="A6" s="271"/>
      <c r="B6" s="299"/>
      <c r="C6" s="280"/>
      <c r="D6" s="299"/>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row>
    <row r="7" spans="1:38" ht="14.25">
      <c r="A7" s="271"/>
      <c r="B7" s="299"/>
      <c r="C7" s="280"/>
      <c r="D7" s="299"/>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row>
    <row r="8" spans="1:38" ht="14.25">
      <c r="A8" s="271"/>
      <c r="B8" s="300"/>
      <c r="C8" s="301"/>
      <c r="D8" s="302"/>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row>
    <row r="9" spans="1:38" ht="14.25">
      <c r="A9" s="271"/>
      <c r="B9" s="300"/>
      <c r="C9" s="317">
        <v>1</v>
      </c>
      <c r="D9" s="317">
        <v>2</v>
      </c>
      <c r="E9" s="317">
        <v>3</v>
      </c>
      <c r="F9" s="317">
        <v>4</v>
      </c>
      <c r="G9" s="317">
        <v>5</v>
      </c>
      <c r="H9" s="317">
        <v>6</v>
      </c>
      <c r="I9" s="317">
        <v>7</v>
      </c>
      <c r="J9" s="317">
        <v>8</v>
      </c>
      <c r="K9" s="317">
        <v>9</v>
      </c>
      <c r="L9" s="317">
        <v>10</v>
      </c>
      <c r="M9" s="317">
        <v>11</v>
      </c>
      <c r="N9" s="317">
        <v>12</v>
      </c>
      <c r="O9" s="317">
        <v>13</v>
      </c>
      <c r="P9" s="317">
        <v>14</v>
      </c>
      <c r="Q9" s="317">
        <v>15</v>
      </c>
      <c r="R9" s="317">
        <v>16</v>
      </c>
      <c r="S9" s="317">
        <v>17</v>
      </c>
      <c r="T9" s="317">
        <v>18</v>
      </c>
      <c r="U9" s="317">
        <v>19</v>
      </c>
      <c r="V9" s="317">
        <v>20</v>
      </c>
      <c r="W9" s="317">
        <v>21</v>
      </c>
      <c r="X9" s="317">
        <v>22</v>
      </c>
      <c r="Y9" s="317">
        <v>23</v>
      </c>
      <c r="Z9" s="317">
        <v>24</v>
      </c>
      <c r="AA9" s="317">
        <v>25</v>
      </c>
      <c r="AB9" s="317">
        <v>26</v>
      </c>
      <c r="AC9" s="317">
        <v>27</v>
      </c>
      <c r="AD9" s="317">
        <v>28</v>
      </c>
    </row>
    <row r="10" spans="1:38" ht="14.25">
      <c r="A10" s="269" t="s">
        <v>331</v>
      </c>
      <c r="B10" s="269"/>
      <c r="C10" s="303" t="s">
        <v>332</v>
      </c>
      <c r="D10" s="303" t="s">
        <v>332</v>
      </c>
      <c r="E10" s="303" t="s">
        <v>332</v>
      </c>
      <c r="F10" s="303" t="s">
        <v>332</v>
      </c>
      <c r="G10" s="303" t="s">
        <v>332</v>
      </c>
      <c r="H10" s="303" t="s">
        <v>332</v>
      </c>
      <c r="I10" s="303" t="s">
        <v>332</v>
      </c>
      <c r="J10" s="303" t="s">
        <v>332</v>
      </c>
      <c r="K10" s="303" t="s">
        <v>332</v>
      </c>
      <c r="L10" s="303" t="s">
        <v>332</v>
      </c>
      <c r="M10" s="303" t="s">
        <v>332</v>
      </c>
      <c r="N10" s="303" t="s">
        <v>332</v>
      </c>
      <c r="O10" s="303" t="s">
        <v>332</v>
      </c>
      <c r="P10" s="303" t="s">
        <v>332</v>
      </c>
      <c r="Q10" s="303" t="s">
        <v>332</v>
      </c>
      <c r="R10" s="303" t="s">
        <v>332</v>
      </c>
      <c r="S10" s="303" t="s">
        <v>332</v>
      </c>
      <c r="T10" s="303" t="s">
        <v>332</v>
      </c>
      <c r="U10" s="303" t="s">
        <v>332</v>
      </c>
      <c r="V10" s="303" t="s">
        <v>332</v>
      </c>
      <c r="W10" s="303" t="s">
        <v>332</v>
      </c>
      <c r="X10" s="303" t="s">
        <v>332</v>
      </c>
      <c r="Y10" s="303" t="s">
        <v>332</v>
      </c>
      <c r="Z10" s="303" t="s">
        <v>332</v>
      </c>
      <c r="AA10" s="303" t="s">
        <v>332</v>
      </c>
      <c r="AB10" s="303" t="s">
        <v>332</v>
      </c>
      <c r="AC10" s="303" t="s">
        <v>332</v>
      </c>
      <c r="AD10" s="303" t="s">
        <v>332</v>
      </c>
      <c r="AE10" s="190"/>
      <c r="AF10" s="190"/>
      <c r="AG10" s="190"/>
      <c r="AH10" s="190"/>
      <c r="AI10" s="190"/>
      <c r="AJ10" s="190"/>
      <c r="AK10" s="190"/>
      <c r="AL10" s="190"/>
    </row>
    <row r="11" spans="1:38" ht="14.25">
      <c r="A11" s="318" t="s">
        <v>333</v>
      </c>
      <c r="B11" s="202"/>
      <c r="C11" s="275"/>
      <c r="D11" s="275"/>
      <c r="E11" s="275"/>
      <c r="F11" s="275"/>
      <c r="G11" s="275"/>
      <c r="H11" s="275"/>
      <c r="I11" s="275"/>
      <c r="J11" s="275"/>
      <c r="K11" s="275"/>
      <c r="L11" s="275"/>
      <c r="M11" s="275"/>
      <c r="N11" s="275"/>
      <c r="O11" s="275"/>
      <c r="P11" s="275"/>
      <c r="Q11" s="275"/>
      <c r="R11" s="271"/>
      <c r="S11" s="271"/>
      <c r="T11" s="271"/>
      <c r="U11" s="271"/>
      <c r="V11" s="271"/>
      <c r="W11" s="271"/>
      <c r="X11" s="271"/>
      <c r="Y11" s="271"/>
      <c r="Z11" s="271"/>
      <c r="AA11" s="271"/>
      <c r="AB11" s="271"/>
      <c r="AC11" s="271"/>
      <c r="AD11" s="271"/>
    </row>
    <row r="12" spans="1:38" ht="14.25">
      <c r="A12" s="271" t="s">
        <v>334</v>
      </c>
      <c r="B12" s="319"/>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row>
    <row r="13" spans="1:38" ht="14.25">
      <c r="A13" s="271" t="s">
        <v>335</v>
      </c>
      <c r="B13" s="319"/>
      <c r="C13" s="284">
        <f>C12</f>
        <v>0</v>
      </c>
      <c r="D13" s="284">
        <f>C13+D12</f>
        <v>0</v>
      </c>
      <c r="E13" s="284">
        <f t="shared" ref="E13:AD13" si="0">D13+E12</f>
        <v>0</v>
      </c>
      <c r="F13" s="284">
        <f t="shared" si="0"/>
        <v>0</v>
      </c>
      <c r="G13" s="284">
        <f t="shared" si="0"/>
        <v>0</v>
      </c>
      <c r="H13" s="284">
        <f t="shared" si="0"/>
        <v>0</v>
      </c>
      <c r="I13" s="284">
        <f t="shared" si="0"/>
        <v>0</v>
      </c>
      <c r="J13" s="284">
        <f t="shared" si="0"/>
        <v>0</v>
      </c>
      <c r="K13" s="284">
        <f t="shared" si="0"/>
        <v>0</v>
      </c>
      <c r="L13" s="284">
        <f t="shared" si="0"/>
        <v>0</v>
      </c>
      <c r="M13" s="284">
        <f t="shared" si="0"/>
        <v>0</v>
      </c>
      <c r="N13" s="284">
        <f t="shared" si="0"/>
        <v>0</v>
      </c>
      <c r="O13" s="284">
        <f t="shared" si="0"/>
        <v>0</v>
      </c>
      <c r="P13" s="284">
        <f t="shared" si="0"/>
        <v>0</v>
      </c>
      <c r="Q13" s="284">
        <f t="shared" si="0"/>
        <v>0</v>
      </c>
      <c r="R13" s="284">
        <f t="shared" si="0"/>
        <v>0</v>
      </c>
      <c r="S13" s="284">
        <f t="shared" si="0"/>
        <v>0</v>
      </c>
      <c r="T13" s="284">
        <f t="shared" si="0"/>
        <v>0</v>
      </c>
      <c r="U13" s="284">
        <f t="shared" si="0"/>
        <v>0</v>
      </c>
      <c r="V13" s="284">
        <f t="shared" si="0"/>
        <v>0</v>
      </c>
      <c r="W13" s="284">
        <f t="shared" si="0"/>
        <v>0</v>
      </c>
      <c r="X13" s="284">
        <f t="shared" si="0"/>
        <v>0</v>
      </c>
      <c r="Y13" s="284">
        <f t="shared" si="0"/>
        <v>0</v>
      </c>
      <c r="Z13" s="284">
        <f t="shared" si="0"/>
        <v>0</v>
      </c>
      <c r="AA13" s="284">
        <f t="shared" si="0"/>
        <v>0</v>
      </c>
      <c r="AB13" s="284">
        <f t="shared" si="0"/>
        <v>0</v>
      </c>
      <c r="AC13" s="284">
        <f t="shared" si="0"/>
        <v>0</v>
      </c>
      <c r="AD13" s="284">
        <f t="shared" si="0"/>
        <v>0</v>
      </c>
    </row>
    <row r="14" spans="1:38" ht="14.25">
      <c r="A14" s="271"/>
      <c r="B14" s="319"/>
      <c r="C14" s="284"/>
      <c r="D14" s="284"/>
      <c r="E14" s="284"/>
      <c r="F14" s="284"/>
      <c r="G14" s="284"/>
      <c r="H14" s="284"/>
      <c r="I14" s="284"/>
      <c r="J14" s="284"/>
      <c r="K14" s="284"/>
      <c r="L14" s="284"/>
      <c r="M14" s="284"/>
      <c r="N14" s="284"/>
      <c r="O14" s="284"/>
      <c r="P14" s="284"/>
      <c r="Q14" s="284"/>
      <c r="R14" s="271"/>
      <c r="S14" s="271"/>
      <c r="T14" s="271"/>
      <c r="U14" s="271"/>
      <c r="V14" s="271"/>
      <c r="W14" s="271"/>
      <c r="X14" s="271"/>
      <c r="Y14" s="271"/>
      <c r="Z14" s="271"/>
      <c r="AA14" s="271"/>
      <c r="AB14" s="271"/>
      <c r="AC14" s="271"/>
      <c r="AD14" s="271"/>
    </row>
    <row r="15" spans="1:38" ht="14.25">
      <c r="A15" s="271" t="s">
        <v>336</v>
      </c>
      <c r="B15" s="307"/>
      <c r="C15" s="284">
        <f>$D$1-C13</f>
        <v>0</v>
      </c>
      <c r="D15" s="284">
        <f t="shared" ref="D15:AD15" si="1">$D$1-D13</f>
        <v>0</v>
      </c>
      <c r="E15" s="284">
        <f t="shared" si="1"/>
        <v>0</v>
      </c>
      <c r="F15" s="284">
        <f t="shared" si="1"/>
        <v>0</v>
      </c>
      <c r="G15" s="284">
        <f t="shared" si="1"/>
        <v>0</v>
      </c>
      <c r="H15" s="284">
        <f t="shared" si="1"/>
        <v>0</v>
      </c>
      <c r="I15" s="284">
        <f t="shared" si="1"/>
        <v>0</v>
      </c>
      <c r="J15" s="284">
        <f t="shared" si="1"/>
        <v>0</v>
      </c>
      <c r="K15" s="284">
        <f t="shared" si="1"/>
        <v>0</v>
      </c>
      <c r="L15" s="284">
        <f t="shared" si="1"/>
        <v>0</v>
      </c>
      <c r="M15" s="284">
        <f t="shared" si="1"/>
        <v>0</v>
      </c>
      <c r="N15" s="284">
        <f t="shared" si="1"/>
        <v>0</v>
      </c>
      <c r="O15" s="284">
        <f t="shared" si="1"/>
        <v>0</v>
      </c>
      <c r="P15" s="284">
        <f t="shared" si="1"/>
        <v>0</v>
      </c>
      <c r="Q15" s="284">
        <f t="shared" si="1"/>
        <v>0</v>
      </c>
      <c r="R15" s="284">
        <f t="shared" si="1"/>
        <v>0</v>
      </c>
      <c r="S15" s="284">
        <f t="shared" si="1"/>
        <v>0</v>
      </c>
      <c r="T15" s="284">
        <f t="shared" si="1"/>
        <v>0</v>
      </c>
      <c r="U15" s="284">
        <f t="shared" si="1"/>
        <v>0</v>
      </c>
      <c r="V15" s="284">
        <f t="shared" si="1"/>
        <v>0</v>
      </c>
      <c r="W15" s="284">
        <f t="shared" si="1"/>
        <v>0</v>
      </c>
      <c r="X15" s="284">
        <f t="shared" si="1"/>
        <v>0</v>
      </c>
      <c r="Y15" s="284">
        <f t="shared" si="1"/>
        <v>0</v>
      </c>
      <c r="Z15" s="284">
        <f t="shared" si="1"/>
        <v>0</v>
      </c>
      <c r="AA15" s="284">
        <f t="shared" si="1"/>
        <v>0</v>
      </c>
      <c r="AB15" s="284">
        <f t="shared" si="1"/>
        <v>0</v>
      </c>
      <c r="AC15" s="284">
        <f t="shared" si="1"/>
        <v>0</v>
      </c>
      <c r="AD15" s="284">
        <f t="shared" si="1"/>
        <v>0</v>
      </c>
    </row>
    <row r="16" spans="1:38" ht="14.25">
      <c r="A16" s="320" t="s">
        <v>22</v>
      </c>
      <c r="B16" s="307"/>
      <c r="C16" s="321" t="e">
        <f>C15/$D$1</f>
        <v>#DIV/0!</v>
      </c>
      <c r="D16" s="321" t="e">
        <f t="shared" ref="D16:AD16" si="2">D15/$D$1</f>
        <v>#DIV/0!</v>
      </c>
      <c r="E16" s="321" t="e">
        <f t="shared" si="2"/>
        <v>#DIV/0!</v>
      </c>
      <c r="F16" s="321" t="e">
        <f t="shared" si="2"/>
        <v>#DIV/0!</v>
      </c>
      <c r="G16" s="321" t="e">
        <f t="shared" si="2"/>
        <v>#DIV/0!</v>
      </c>
      <c r="H16" s="321" t="e">
        <f t="shared" si="2"/>
        <v>#DIV/0!</v>
      </c>
      <c r="I16" s="321" t="e">
        <f t="shared" si="2"/>
        <v>#DIV/0!</v>
      </c>
      <c r="J16" s="321" t="e">
        <f t="shared" si="2"/>
        <v>#DIV/0!</v>
      </c>
      <c r="K16" s="321" t="e">
        <f t="shared" si="2"/>
        <v>#DIV/0!</v>
      </c>
      <c r="L16" s="321" t="e">
        <f t="shared" si="2"/>
        <v>#DIV/0!</v>
      </c>
      <c r="M16" s="321" t="e">
        <f t="shared" si="2"/>
        <v>#DIV/0!</v>
      </c>
      <c r="N16" s="321" t="e">
        <f t="shared" si="2"/>
        <v>#DIV/0!</v>
      </c>
      <c r="O16" s="321" t="e">
        <f t="shared" si="2"/>
        <v>#DIV/0!</v>
      </c>
      <c r="P16" s="321" t="e">
        <f t="shared" si="2"/>
        <v>#DIV/0!</v>
      </c>
      <c r="Q16" s="321" t="e">
        <f t="shared" si="2"/>
        <v>#DIV/0!</v>
      </c>
      <c r="R16" s="321" t="e">
        <f t="shared" si="2"/>
        <v>#DIV/0!</v>
      </c>
      <c r="S16" s="321" t="e">
        <f t="shared" si="2"/>
        <v>#DIV/0!</v>
      </c>
      <c r="T16" s="321" t="e">
        <f t="shared" si="2"/>
        <v>#DIV/0!</v>
      </c>
      <c r="U16" s="321" t="e">
        <f t="shared" si="2"/>
        <v>#DIV/0!</v>
      </c>
      <c r="V16" s="321" t="e">
        <f t="shared" si="2"/>
        <v>#DIV/0!</v>
      </c>
      <c r="W16" s="321" t="e">
        <f t="shared" si="2"/>
        <v>#DIV/0!</v>
      </c>
      <c r="X16" s="321" t="e">
        <f t="shared" si="2"/>
        <v>#DIV/0!</v>
      </c>
      <c r="Y16" s="321" t="e">
        <f t="shared" si="2"/>
        <v>#DIV/0!</v>
      </c>
      <c r="Z16" s="321" t="e">
        <f t="shared" si="2"/>
        <v>#DIV/0!</v>
      </c>
      <c r="AA16" s="321" t="e">
        <f t="shared" si="2"/>
        <v>#DIV/0!</v>
      </c>
      <c r="AB16" s="321" t="e">
        <f t="shared" si="2"/>
        <v>#DIV/0!</v>
      </c>
      <c r="AC16" s="321" t="e">
        <f t="shared" si="2"/>
        <v>#DIV/0!</v>
      </c>
      <c r="AD16" s="321" t="e">
        <f t="shared" si="2"/>
        <v>#DIV/0!</v>
      </c>
    </row>
    <row r="17" spans="1:30" ht="14.25">
      <c r="A17" s="202"/>
      <c r="B17" s="202"/>
      <c r="C17" s="298"/>
      <c r="D17" s="298"/>
      <c r="E17" s="298"/>
      <c r="F17" s="298"/>
      <c r="G17" s="298"/>
      <c r="H17" s="298"/>
      <c r="I17" s="298"/>
      <c r="J17" s="298"/>
      <c r="K17" s="298"/>
      <c r="L17" s="298"/>
      <c r="M17" s="298"/>
      <c r="N17" s="298"/>
      <c r="O17" s="298"/>
      <c r="P17" s="298"/>
      <c r="Q17" s="298"/>
      <c r="R17" s="271"/>
      <c r="S17" s="271"/>
      <c r="T17" s="271"/>
      <c r="U17" s="271"/>
      <c r="V17" s="271"/>
      <c r="W17" s="271"/>
      <c r="X17" s="271"/>
      <c r="Y17" s="271"/>
      <c r="Z17" s="271"/>
      <c r="AA17" s="271"/>
      <c r="AB17" s="271"/>
      <c r="AC17" s="271"/>
      <c r="AD17" s="271"/>
    </row>
    <row r="18" spans="1:30" ht="14.25">
      <c r="A18" s="318" t="s">
        <v>337</v>
      </c>
      <c r="B18" s="271"/>
      <c r="C18" s="284"/>
      <c r="D18" s="284"/>
      <c r="E18" s="284"/>
      <c r="F18" s="284"/>
      <c r="G18" s="284"/>
      <c r="H18" s="284"/>
      <c r="I18" s="284"/>
      <c r="J18" s="284"/>
      <c r="K18" s="284"/>
      <c r="L18" s="284"/>
      <c r="M18" s="284"/>
      <c r="N18" s="284"/>
      <c r="O18" s="284"/>
      <c r="P18" s="284"/>
      <c r="Q18" s="284"/>
      <c r="R18" s="271"/>
      <c r="S18" s="271"/>
      <c r="T18" s="271"/>
      <c r="U18" s="271"/>
      <c r="V18" s="271"/>
      <c r="W18" s="271"/>
      <c r="X18" s="271"/>
      <c r="Y18" s="271"/>
      <c r="Z18" s="271"/>
      <c r="AA18" s="271"/>
      <c r="AB18" s="271"/>
      <c r="AC18" s="271"/>
      <c r="AD18" s="271"/>
    </row>
    <row r="19" spans="1:30" ht="14.25">
      <c r="A19" s="271" t="s">
        <v>338</v>
      </c>
      <c r="B19" s="319"/>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row>
    <row r="20" spans="1:30" ht="14.25">
      <c r="A20" s="271" t="s">
        <v>339</v>
      </c>
      <c r="B20" s="319"/>
      <c r="C20" s="284">
        <f>C19</f>
        <v>0</v>
      </c>
      <c r="D20" s="284">
        <f>C20+D19</f>
        <v>0</v>
      </c>
      <c r="E20" s="284">
        <f t="shared" ref="E20" si="3">D20+E19</f>
        <v>0</v>
      </c>
      <c r="F20" s="284">
        <f t="shared" ref="F20" si="4">E20+F19</f>
        <v>0</v>
      </c>
      <c r="G20" s="284">
        <f t="shared" ref="G20" si="5">F20+G19</f>
        <v>0</v>
      </c>
      <c r="H20" s="284">
        <f t="shared" ref="H20" si="6">G20+H19</f>
        <v>0</v>
      </c>
      <c r="I20" s="284">
        <f t="shared" ref="I20" si="7">H20+I19</f>
        <v>0</v>
      </c>
      <c r="J20" s="284">
        <f t="shared" ref="J20" si="8">I20+J19</f>
        <v>0</v>
      </c>
      <c r="K20" s="284">
        <f t="shared" ref="K20" si="9">J20+K19</f>
        <v>0</v>
      </c>
      <c r="L20" s="284">
        <f t="shared" ref="L20" si="10">K20+L19</f>
        <v>0</v>
      </c>
      <c r="M20" s="284">
        <f t="shared" ref="M20" si="11">L20+M19</f>
        <v>0</v>
      </c>
      <c r="N20" s="284">
        <f t="shared" ref="N20" si="12">M20+N19</f>
        <v>0</v>
      </c>
      <c r="O20" s="284">
        <f t="shared" ref="O20" si="13">N20+O19</f>
        <v>0</v>
      </c>
      <c r="P20" s="284">
        <f t="shared" ref="P20" si="14">O20+P19</f>
        <v>0</v>
      </c>
      <c r="Q20" s="284">
        <f t="shared" ref="Q20" si="15">P20+Q19</f>
        <v>0</v>
      </c>
      <c r="R20" s="284">
        <f t="shared" ref="R20" si="16">Q20+R19</f>
        <v>0</v>
      </c>
      <c r="S20" s="284">
        <f t="shared" ref="S20" si="17">R20+S19</f>
        <v>0</v>
      </c>
      <c r="T20" s="284">
        <f t="shared" ref="T20" si="18">S20+T19</f>
        <v>0</v>
      </c>
      <c r="U20" s="284">
        <f t="shared" ref="U20" si="19">T20+U19</f>
        <v>0</v>
      </c>
      <c r="V20" s="284">
        <f t="shared" ref="V20" si="20">U20+V19</f>
        <v>0</v>
      </c>
      <c r="W20" s="284">
        <f t="shared" ref="W20" si="21">V20+W19</f>
        <v>0</v>
      </c>
      <c r="X20" s="284">
        <f t="shared" ref="X20" si="22">W20+X19</f>
        <v>0</v>
      </c>
      <c r="Y20" s="284">
        <f t="shared" ref="Y20" si="23">X20+Y19</f>
        <v>0</v>
      </c>
      <c r="Z20" s="284">
        <f t="shared" ref="Z20" si="24">Y20+Z19</f>
        <v>0</v>
      </c>
      <c r="AA20" s="284">
        <f t="shared" ref="AA20" si="25">Z20+AA19</f>
        <v>0</v>
      </c>
      <c r="AB20" s="284">
        <f t="shared" ref="AB20" si="26">AA20+AB19</f>
        <v>0</v>
      </c>
      <c r="AC20" s="284">
        <f t="shared" ref="AC20" si="27">AB20+AC19</f>
        <v>0</v>
      </c>
      <c r="AD20" s="284">
        <f t="shared" ref="AD20" si="28">AC20+AD19</f>
        <v>0</v>
      </c>
    </row>
    <row r="21" spans="1:30" ht="14.25">
      <c r="A21" s="271"/>
      <c r="B21" s="202"/>
      <c r="C21" s="298"/>
      <c r="D21" s="298"/>
      <c r="E21" s="298"/>
      <c r="F21" s="298"/>
      <c r="G21" s="298"/>
      <c r="H21" s="298"/>
      <c r="I21" s="298"/>
      <c r="J21" s="298"/>
      <c r="K21" s="298"/>
      <c r="L21" s="298"/>
      <c r="M21" s="298"/>
      <c r="N21" s="298"/>
      <c r="O21" s="298"/>
      <c r="P21" s="298"/>
      <c r="Q21" s="298"/>
      <c r="R21" s="271"/>
      <c r="S21" s="271"/>
      <c r="T21" s="271"/>
      <c r="U21" s="271"/>
      <c r="V21" s="271"/>
      <c r="W21" s="271"/>
      <c r="X21" s="271"/>
      <c r="Y21" s="271"/>
      <c r="Z21" s="271"/>
      <c r="AA21" s="271"/>
      <c r="AB21" s="271"/>
      <c r="AC21" s="271"/>
      <c r="AD21" s="271"/>
    </row>
    <row r="22" spans="1:30" ht="14.25">
      <c r="A22" s="271" t="s">
        <v>340</v>
      </c>
      <c r="B22" s="202"/>
      <c r="C22" s="284">
        <f>$D$1-C20</f>
        <v>0</v>
      </c>
      <c r="D22" s="284">
        <f t="shared" ref="D22:AD22" si="29">$D$1-D20</f>
        <v>0</v>
      </c>
      <c r="E22" s="284">
        <f t="shared" si="29"/>
        <v>0</v>
      </c>
      <c r="F22" s="284">
        <f t="shared" si="29"/>
        <v>0</v>
      </c>
      <c r="G22" s="284">
        <f t="shared" si="29"/>
        <v>0</v>
      </c>
      <c r="H22" s="284">
        <f t="shared" si="29"/>
        <v>0</v>
      </c>
      <c r="I22" s="284">
        <f t="shared" si="29"/>
        <v>0</v>
      </c>
      <c r="J22" s="284">
        <f t="shared" si="29"/>
        <v>0</v>
      </c>
      <c r="K22" s="284">
        <f t="shared" si="29"/>
        <v>0</v>
      </c>
      <c r="L22" s="284">
        <f t="shared" si="29"/>
        <v>0</v>
      </c>
      <c r="M22" s="284">
        <f t="shared" si="29"/>
        <v>0</v>
      </c>
      <c r="N22" s="284">
        <f t="shared" si="29"/>
        <v>0</v>
      </c>
      <c r="O22" s="284">
        <f t="shared" si="29"/>
        <v>0</v>
      </c>
      <c r="P22" s="284">
        <f t="shared" si="29"/>
        <v>0</v>
      </c>
      <c r="Q22" s="284">
        <f t="shared" si="29"/>
        <v>0</v>
      </c>
      <c r="R22" s="284">
        <f t="shared" si="29"/>
        <v>0</v>
      </c>
      <c r="S22" s="284">
        <f t="shared" si="29"/>
        <v>0</v>
      </c>
      <c r="T22" s="284">
        <f t="shared" si="29"/>
        <v>0</v>
      </c>
      <c r="U22" s="284">
        <f t="shared" si="29"/>
        <v>0</v>
      </c>
      <c r="V22" s="284">
        <f t="shared" si="29"/>
        <v>0</v>
      </c>
      <c r="W22" s="284">
        <f t="shared" si="29"/>
        <v>0</v>
      </c>
      <c r="X22" s="284">
        <f t="shared" si="29"/>
        <v>0</v>
      </c>
      <c r="Y22" s="284">
        <f t="shared" si="29"/>
        <v>0</v>
      </c>
      <c r="Z22" s="284">
        <f t="shared" si="29"/>
        <v>0</v>
      </c>
      <c r="AA22" s="284">
        <f t="shared" si="29"/>
        <v>0</v>
      </c>
      <c r="AB22" s="284">
        <f t="shared" si="29"/>
        <v>0</v>
      </c>
      <c r="AC22" s="284">
        <f t="shared" si="29"/>
        <v>0</v>
      </c>
      <c r="AD22" s="284">
        <f t="shared" si="29"/>
        <v>0</v>
      </c>
    </row>
    <row r="23" spans="1:30" ht="14.25">
      <c r="A23" s="320" t="s">
        <v>22</v>
      </c>
      <c r="B23" s="202"/>
      <c r="C23" s="322" t="e">
        <f>C22/$D$1</f>
        <v>#DIV/0!</v>
      </c>
      <c r="D23" s="322" t="e">
        <f t="shared" ref="D23:AD23" si="30">D22/$D$1</f>
        <v>#DIV/0!</v>
      </c>
      <c r="E23" s="322" t="e">
        <f t="shared" si="30"/>
        <v>#DIV/0!</v>
      </c>
      <c r="F23" s="322" t="e">
        <f t="shared" si="30"/>
        <v>#DIV/0!</v>
      </c>
      <c r="G23" s="322" t="e">
        <f t="shared" si="30"/>
        <v>#DIV/0!</v>
      </c>
      <c r="H23" s="322" t="e">
        <f t="shared" si="30"/>
        <v>#DIV/0!</v>
      </c>
      <c r="I23" s="322" t="e">
        <f t="shared" si="30"/>
        <v>#DIV/0!</v>
      </c>
      <c r="J23" s="322" t="e">
        <f t="shared" si="30"/>
        <v>#DIV/0!</v>
      </c>
      <c r="K23" s="322" t="e">
        <f t="shared" si="30"/>
        <v>#DIV/0!</v>
      </c>
      <c r="L23" s="322" t="e">
        <f t="shared" si="30"/>
        <v>#DIV/0!</v>
      </c>
      <c r="M23" s="322" t="e">
        <f t="shared" si="30"/>
        <v>#DIV/0!</v>
      </c>
      <c r="N23" s="322" t="e">
        <f t="shared" si="30"/>
        <v>#DIV/0!</v>
      </c>
      <c r="O23" s="322" t="e">
        <f t="shared" si="30"/>
        <v>#DIV/0!</v>
      </c>
      <c r="P23" s="322" t="e">
        <f t="shared" si="30"/>
        <v>#DIV/0!</v>
      </c>
      <c r="Q23" s="322" t="e">
        <f t="shared" si="30"/>
        <v>#DIV/0!</v>
      </c>
      <c r="R23" s="322" t="e">
        <f t="shared" si="30"/>
        <v>#DIV/0!</v>
      </c>
      <c r="S23" s="322" t="e">
        <f t="shared" si="30"/>
        <v>#DIV/0!</v>
      </c>
      <c r="T23" s="322" t="e">
        <f t="shared" si="30"/>
        <v>#DIV/0!</v>
      </c>
      <c r="U23" s="322" t="e">
        <f t="shared" si="30"/>
        <v>#DIV/0!</v>
      </c>
      <c r="V23" s="322" t="e">
        <f t="shared" si="30"/>
        <v>#DIV/0!</v>
      </c>
      <c r="W23" s="322" t="e">
        <f t="shared" si="30"/>
        <v>#DIV/0!</v>
      </c>
      <c r="X23" s="322" t="e">
        <f t="shared" si="30"/>
        <v>#DIV/0!</v>
      </c>
      <c r="Y23" s="322" t="e">
        <f t="shared" si="30"/>
        <v>#DIV/0!</v>
      </c>
      <c r="Z23" s="322" t="e">
        <f t="shared" si="30"/>
        <v>#DIV/0!</v>
      </c>
      <c r="AA23" s="322" t="e">
        <f t="shared" si="30"/>
        <v>#DIV/0!</v>
      </c>
      <c r="AB23" s="322" t="e">
        <f t="shared" si="30"/>
        <v>#DIV/0!</v>
      </c>
      <c r="AC23" s="322" t="e">
        <f t="shared" si="30"/>
        <v>#DIV/0!</v>
      </c>
      <c r="AD23" s="322" t="e">
        <f t="shared" si="30"/>
        <v>#DIV/0!</v>
      </c>
    </row>
    <row r="24" spans="1:30" ht="14.25">
      <c r="A24" s="323"/>
      <c r="B24" s="284"/>
      <c r="C24" s="284"/>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row>
    <row r="25" spans="1:30" ht="14.25">
      <c r="A25" s="318" t="s">
        <v>129</v>
      </c>
      <c r="B25" s="284"/>
      <c r="C25" s="284"/>
      <c r="D25" s="284"/>
      <c r="E25" s="284"/>
      <c r="F25" s="284"/>
      <c r="G25" s="284"/>
      <c r="H25" s="284"/>
      <c r="I25" s="284"/>
      <c r="J25" s="284"/>
      <c r="K25" s="284"/>
      <c r="L25" s="284"/>
      <c r="M25" s="284"/>
      <c r="N25" s="284"/>
      <c r="O25" s="284"/>
      <c r="P25" s="284"/>
      <c r="Q25" s="284"/>
      <c r="R25" s="271"/>
      <c r="S25" s="271"/>
      <c r="T25" s="271"/>
      <c r="U25" s="271"/>
      <c r="V25" s="271"/>
      <c r="W25" s="271"/>
      <c r="X25" s="271"/>
      <c r="Y25" s="271"/>
      <c r="Z25" s="271"/>
      <c r="AA25" s="271"/>
      <c r="AB25" s="271"/>
      <c r="AC25" s="271"/>
      <c r="AD25" s="271"/>
    </row>
    <row r="26" spans="1:30" ht="14.25">
      <c r="A26" s="271" t="s">
        <v>341</v>
      </c>
      <c r="B26" s="284"/>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row>
    <row r="27" spans="1:30" ht="14.25">
      <c r="A27" s="271" t="s">
        <v>342</v>
      </c>
      <c r="B27" s="27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row>
    <row r="28" spans="1:30" ht="14.25">
      <c r="A28" s="202" t="s">
        <v>343</v>
      </c>
      <c r="B28" s="274"/>
      <c r="C28" s="325">
        <f t="shared" ref="C28:AD28" si="31">C26+C27</f>
        <v>0</v>
      </c>
      <c r="D28" s="325">
        <f t="shared" si="31"/>
        <v>0</v>
      </c>
      <c r="E28" s="325">
        <f t="shared" si="31"/>
        <v>0</v>
      </c>
      <c r="F28" s="325">
        <f t="shared" si="31"/>
        <v>0</v>
      </c>
      <c r="G28" s="325">
        <f t="shared" si="31"/>
        <v>0</v>
      </c>
      <c r="H28" s="325">
        <f t="shared" si="31"/>
        <v>0</v>
      </c>
      <c r="I28" s="325">
        <f t="shared" si="31"/>
        <v>0</v>
      </c>
      <c r="J28" s="325">
        <f t="shared" si="31"/>
        <v>0</v>
      </c>
      <c r="K28" s="325">
        <f t="shared" si="31"/>
        <v>0</v>
      </c>
      <c r="L28" s="325">
        <f t="shared" si="31"/>
        <v>0</v>
      </c>
      <c r="M28" s="325">
        <f t="shared" si="31"/>
        <v>0</v>
      </c>
      <c r="N28" s="325">
        <f t="shared" si="31"/>
        <v>0</v>
      </c>
      <c r="O28" s="325">
        <f t="shared" si="31"/>
        <v>0</v>
      </c>
      <c r="P28" s="325">
        <f t="shared" si="31"/>
        <v>0</v>
      </c>
      <c r="Q28" s="325">
        <f t="shared" si="31"/>
        <v>0</v>
      </c>
      <c r="R28" s="325">
        <f t="shared" si="31"/>
        <v>0</v>
      </c>
      <c r="S28" s="325">
        <f t="shared" si="31"/>
        <v>0</v>
      </c>
      <c r="T28" s="325">
        <f t="shared" si="31"/>
        <v>0</v>
      </c>
      <c r="U28" s="325">
        <f t="shared" si="31"/>
        <v>0</v>
      </c>
      <c r="V28" s="325">
        <f t="shared" si="31"/>
        <v>0</v>
      </c>
      <c r="W28" s="325">
        <f t="shared" si="31"/>
        <v>0</v>
      </c>
      <c r="X28" s="325">
        <f t="shared" si="31"/>
        <v>0</v>
      </c>
      <c r="Y28" s="325">
        <f t="shared" si="31"/>
        <v>0</v>
      </c>
      <c r="Z28" s="325">
        <f t="shared" si="31"/>
        <v>0</v>
      </c>
      <c r="AA28" s="325">
        <f t="shared" si="31"/>
        <v>0</v>
      </c>
      <c r="AB28" s="325">
        <f t="shared" si="31"/>
        <v>0</v>
      </c>
      <c r="AC28" s="325">
        <f t="shared" si="31"/>
        <v>0</v>
      </c>
      <c r="AD28" s="325">
        <f t="shared" si="31"/>
        <v>0</v>
      </c>
    </row>
    <row r="29" spans="1:30" ht="14.25">
      <c r="A29" s="271"/>
      <c r="B29" s="274"/>
      <c r="C29" s="274"/>
      <c r="D29" s="274"/>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row>
    <row r="30" spans="1:30" ht="14.25">
      <c r="A30" s="271" t="s">
        <v>344</v>
      </c>
      <c r="B30" s="27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row>
    <row r="31" spans="1:30" ht="14.25">
      <c r="A31" s="271" t="s">
        <v>345</v>
      </c>
      <c r="B31" s="274"/>
      <c r="C31" s="326" t="e">
        <f ca="1">IF(B32=0,0,MIN(C28-C30,B32))</f>
        <v>#VALUE!</v>
      </c>
      <c r="D31" s="326" t="e">
        <f t="shared" ref="D31:AD31" ca="1" si="32">IF(C32=0,0,MIN(D28-D30,C32))</f>
        <v>#VALUE!</v>
      </c>
      <c r="E31" s="326" t="e">
        <f t="shared" ca="1" si="32"/>
        <v>#VALUE!</v>
      </c>
      <c r="F31" s="326" t="e">
        <f t="shared" ca="1" si="32"/>
        <v>#VALUE!</v>
      </c>
      <c r="G31" s="326" t="e">
        <f t="shared" ca="1" si="32"/>
        <v>#VALUE!</v>
      </c>
      <c r="H31" s="326" t="e">
        <f t="shared" ca="1" si="32"/>
        <v>#VALUE!</v>
      </c>
      <c r="I31" s="326" t="e">
        <f t="shared" ca="1" si="32"/>
        <v>#VALUE!</v>
      </c>
      <c r="J31" s="326" t="e">
        <f t="shared" ca="1" si="32"/>
        <v>#VALUE!</v>
      </c>
      <c r="K31" s="326" t="e">
        <f t="shared" ca="1" si="32"/>
        <v>#VALUE!</v>
      </c>
      <c r="L31" s="326" t="e">
        <f t="shared" ca="1" si="32"/>
        <v>#VALUE!</v>
      </c>
      <c r="M31" s="326" t="e">
        <f t="shared" ca="1" si="32"/>
        <v>#VALUE!</v>
      </c>
      <c r="N31" s="326" t="e">
        <f t="shared" ca="1" si="32"/>
        <v>#VALUE!</v>
      </c>
      <c r="O31" s="326" t="e">
        <f t="shared" ca="1" si="32"/>
        <v>#VALUE!</v>
      </c>
      <c r="P31" s="326" t="e">
        <f t="shared" ca="1" si="32"/>
        <v>#VALUE!</v>
      </c>
      <c r="Q31" s="326" t="e">
        <f t="shared" ca="1" si="32"/>
        <v>#VALUE!</v>
      </c>
      <c r="R31" s="326" t="e">
        <f t="shared" ca="1" si="32"/>
        <v>#VALUE!</v>
      </c>
      <c r="S31" s="326" t="e">
        <f t="shared" ca="1" si="32"/>
        <v>#VALUE!</v>
      </c>
      <c r="T31" s="326" t="e">
        <f t="shared" ca="1" si="32"/>
        <v>#VALUE!</v>
      </c>
      <c r="U31" s="326" t="e">
        <f t="shared" ca="1" si="32"/>
        <v>#VALUE!</v>
      </c>
      <c r="V31" s="326" t="e">
        <f t="shared" ca="1" si="32"/>
        <v>#VALUE!</v>
      </c>
      <c r="W31" s="326" t="e">
        <f t="shared" ca="1" si="32"/>
        <v>#VALUE!</v>
      </c>
      <c r="X31" s="326" t="e">
        <f t="shared" ca="1" si="32"/>
        <v>#VALUE!</v>
      </c>
      <c r="Y31" s="326" t="e">
        <f t="shared" ca="1" si="32"/>
        <v>#VALUE!</v>
      </c>
      <c r="Z31" s="326" t="e">
        <f t="shared" ca="1" si="32"/>
        <v>#VALUE!</v>
      </c>
      <c r="AA31" s="326" t="e">
        <f t="shared" ca="1" si="32"/>
        <v>#VALUE!</v>
      </c>
      <c r="AB31" s="326" t="e">
        <f t="shared" ca="1" si="32"/>
        <v>#VALUE!</v>
      </c>
      <c r="AC31" s="326" t="e">
        <f t="shared" ca="1" si="32"/>
        <v>#VALUE!</v>
      </c>
      <c r="AD31" s="326" t="e">
        <f t="shared" ca="1" si="32"/>
        <v>#VALUE!</v>
      </c>
    </row>
    <row r="32" spans="1:30" ht="14.25">
      <c r="A32" s="202" t="s">
        <v>346</v>
      </c>
      <c r="B32" s="327" t="e">
        <f ca="1">'Dev Budget'!B79</f>
        <v>#VALUE!</v>
      </c>
      <c r="C32" s="325" t="e">
        <f ca="1">B32-'Project Sellout'!C31</f>
        <v>#VALUE!</v>
      </c>
      <c r="D32" s="325" t="e">
        <f ca="1">C32-'Project Sellout'!D31</f>
        <v>#VALUE!</v>
      </c>
      <c r="E32" s="325" t="e">
        <f ca="1">D32-'Project Sellout'!E31</f>
        <v>#VALUE!</v>
      </c>
      <c r="F32" s="325" t="e">
        <f ca="1">E32-'Project Sellout'!F31</f>
        <v>#VALUE!</v>
      </c>
      <c r="G32" s="325" t="e">
        <f ca="1">F32-'Project Sellout'!G31</f>
        <v>#VALUE!</v>
      </c>
      <c r="H32" s="325" t="e">
        <f ca="1">G32-'Project Sellout'!H31</f>
        <v>#VALUE!</v>
      </c>
      <c r="I32" s="325" t="e">
        <f ca="1">H32-'Project Sellout'!I31</f>
        <v>#VALUE!</v>
      </c>
      <c r="J32" s="325" t="e">
        <f ca="1">I32-'Project Sellout'!J31</f>
        <v>#VALUE!</v>
      </c>
      <c r="K32" s="325" t="e">
        <f ca="1">J32-'Project Sellout'!K31</f>
        <v>#VALUE!</v>
      </c>
      <c r="L32" s="325" t="e">
        <f ca="1">K32-'Project Sellout'!L31</f>
        <v>#VALUE!</v>
      </c>
      <c r="M32" s="325" t="e">
        <f ca="1">L32-'Project Sellout'!M31</f>
        <v>#VALUE!</v>
      </c>
      <c r="N32" s="325" t="e">
        <f ca="1">M32-'Project Sellout'!N31</f>
        <v>#VALUE!</v>
      </c>
      <c r="O32" s="325" t="e">
        <f ca="1">N32-'Project Sellout'!O31</f>
        <v>#VALUE!</v>
      </c>
      <c r="P32" s="325" t="e">
        <f ca="1">O32-'Project Sellout'!P31</f>
        <v>#VALUE!</v>
      </c>
      <c r="Q32" s="325" t="e">
        <f ca="1">P32-'Project Sellout'!Q31</f>
        <v>#VALUE!</v>
      </c>
      <c r="R32" s="325" t="e">
        <f ca="1">Q32-'Project Sellout'!R31</f>
        <v>#VALUE!</v>
      </c>
      <c r="S32" s="325" t="e">
        <f ca="1">R32-'Project Sellout'!S31</f>
        <v>#VALUE!</v>
      </c>
      <c r="T32" s="325" t="e">
        <f ca="1">S32-'Project Sellout'!T31</f>
        <v>#VALUE!</v>
      </c>
      <c r="U32" s="325" t="e">
        <f ca="1">T32-'Project Sellout'!U31</f>
        <v>#VALUE!</v>
      </c>
      <c r="V32" s="325" t="e">
        <f ca="1">U32-'Project Sellout'!V31</f>
        <v>#VALUE!</v>
      </c>
      <c r="W32" s="325" t="e">
        <f ca="1">V32-'Project Sellout'!W31</f>
        <v>#VALUE!</v>
      </c>
      <c r="X32" s="325" t="e">
        <f ca="1">W32-'Project Sellout'!X31</f>
        <v>#VALUE!</v>
      </c>
      <c r="Y32" s="325" t="e">
        <f ca="1">X32-'Project Sellout'!Y31</f>
        <v>#VALUE!</v>
      </c>
      <c r="Z32" s="325" t="e">
        <f ca="1">Y32-'Project Sellout'!Z31</f>
        <v>#VALUE!</v>
      </c>
      <c r="AA32" s="325" t="e">
        <f ca="1">Z32-'Project Sellout'!AA31</f>
        <v>#VALUE!</v>
      </c>
      <c r="AB32" s="325" t="e">
        <f ca="1">AA32-'Project Sellout'!AB31</f>
        <v>#VALUE!</v>
      </c>
      <c r="AC32" s="325" t="e">
        <f ca="1">AB32-'Project Sellout'!AC31</f>
        <v>#VALUE!</v>
      </c>
      <c r="AD32" s="325" t="e">
        <f ca="1">AC32-'Project Sellout'!AD31</f>
        <v>#VALUE!</v>
      </c>
    </row>
    <row r="33" spans="1:30" ht="14.25">
      <c r="A33" s="271"/>
      <c r="B33" s="274"/>
      <c r="C33" s="274"/>
      <c r="D33" s="274"/>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row>
    <row r="34" spans="1:30" ht="14.25">
      <c r="A34" s="271" t="s">
        <v>347</v>
      </c>
      <c r="B34" s="327"/>
      <c r="C34" s="301">
        <f>IF(B35=0,0,MIN(C28-C30-C31,B35))</f>
        <v>0</v>
      </c>
      <c r="D34" s="301">
        <f t="shared" ref="D34:AD34" si="33">IF(C35=0,0,MIN(D28-D30-D31,C35))</f>
        <v>0</v>
      </c>
      <c r="E34" s="301">
        <f t="shared" si="33"/>
        <v>0</v>
      </c>
      <c r="F34" s="301">
        <f t="shared" si="33"/>
        <v>0</v>
      </c>
      <c r="G34" s="301">
        <f t="shared" si="33"/>
        <v>0</v>
      </c>
      <c r="H34" s="301">
        <f t="shared" si="33"/>
        <v>0</v>
      </c>
      <c r="I34" s="301">
        <f t="shared" si="33"/>
        <v>0</v>
      </c>
      <c r="J34" s="301">
        <f t="shared" si="33"/>
        <v>0</v>
      </c>
      <c r="K34" s="301">
        <f t="shared" si="33"/>
        <v>0</v>
      </c>
      <c r="L34" s="301">
        <f t="shared" si="33"/>
        <v>0</v>
      </c>
      <c r="M34" s="301">
        <f t="shared" si="33"/>
        <v>0</v>
      </c>
      <c r="N34" s="301">
        <f t="shared" si="33"/>
        <v>0</v>
      </c>
      <c r="O34" s="301">
        <f t="shared" si="33"/>
        <v>0</v>
      </c>
      <c r="P34" s="301">
        <f t="shared" si="33"/>
        <v>0</v>
      </c>
      <c r="Q34" s="301">
        <f t="shared" si="33"/>
        <v>0</v>
      </c>
      <c r="R34" s="301">
        <f t="shared" si="33"/>
        <v>0</v>
      </c>
      <c r="S34" s="301">
        <f t="shared" si="33"/>
        <v>0</v>
      </c>
      <c r="T34" s="301">
        <f t="shared" si="33"/>
        <v>0</v>
      </c>
      <c r="U34" s="301">
        <f t="shared" si="33"/>
        <v>0</v>
      </c>
      <c r="V34" s="301">
        <f t="shared" si="33"/>
        <v>0</v>
      </c>
      <c r="W34" s="301">
        <f t="shared" si="33"/>
        <v>0</v>
      </c>
      <c r="X34" s="301">
        <f t="shared" si="33"/>
        <v>0</v>
      </c>
      <c r="Y34" s="301">
        <f t="shared" si="33"/>
        <v>0</v>
      </c>
      <c r="Z34" s="301">
        <f t="shared" si="33"/>
        <v>0</v>
      </c>
      <c r="AA34" s="301">
        <f t="shared" si="33"/>
        <v>0</v>
      </c>
      <c r="AB34" s="301">
        <f t="shared" si="33"/>
        <v>0</v>
      </c>
      <c r="AC34" s="301">
        <f t="shared" si="33"/>
        <v>0</v>
      </c>
      <c r="AD34" s="301">
        <f t="shared" si="33"/>
        <v>0</v>
      </c>
    </row>
    <row r="35" spans="1:30" ht="14.25">
      <c r="A35" s="202" t="s">
        <v>348</v>
      </c>
      <c r="B35" s="327">
        <f>'Dev Budget'!B83</f>
        <v>0</v>
      </c>
      <c r="C35" s="325">
        <f>B35-C34</f>
        <v>0</v>
      </c>
      <c r="D35" s="325">
        <f t="shared" ref="D35:AD35" si="34">C35-D34</f>
        <v>0</v>
      </c>
      <c r="E35" s="325">
        <f t="shared" si="34"/>
        <v>0</v>
      </c>
      <c r="F35" s="325">
        <f t="shared" si="34"/>
        <v>0</v>
      </c>
      <c r="G35" s="325">
        <f t="shared" si="34"/>
        <v>0</v>
      </c>
      <c r="H35" s="325">
        <f t="shared" si="34"/>
        <v>0</v>
      </c>
      <c r="I35" s="325">
        <f t="shared" si="34"/>
        <v>0</v>
      </c>
      <c r="J35" s="325">
        <f t="shared" si="34"/>
        <v>0</v>
      </c>
      <c r="K35" s="325">
        <f t="shared" si="34"/>
        <v>0</v>
      </c>
      <c r="L35" s="325">
        <f t="shared" si="34"/>
        <v>0</v>
      </c>
      <c r="M35" s="325">
        <f t="shared" si="34"/>
        <v>0</v>
      </c>
      <c r="N35" s="325">
        <f t="shared" si="34"/>
        <v>0</v>
      </c>
      <c r="O35" s="325">
        <f t="shared" si="34"/>
        <v>0</v>
      </c>
      <c r="P35" s="325">
        <f t="shared" si="34"/>
        <v>0</v>
      </c>
      <c r="Q35" s="325">
        <f t="shared" si="34"/>
        <v>0</v>
      </c>
      <c r="R35" s="325">
        <f t="shared" si="34"/>
        <v>0</v>
      </c>
      <c r="S35" s="325">
        <f t="shared" si="34"/>
        <v>0</v>
      </c>
      <c r="T35" s="325">
        <f t="shared" si="34"/>
        <v>0</v>
      </c>
      <c r="U35" s="325">
        <f t="shared" si="34"/>
        <v>0</v>
      </c>
      <c r="V35" s="325">
        <f t="shared" si="34"/>
        <v>0</v>
      </c>
      <c r="W35" s="325">
        <f t="shared" si="34"/>
        <v>0</v>
      </c>
      <c r="X35" s="325">
        <f t="shared" si="34"/>
        <v>0</v>
      </c>
      <c r="Y35" s="325">
        <f t="shared" si="34"/>
        <v>0</v>
      </c>
      <c r="Z35" s="325">
        <f t="shared" si="34"/>
        <v>0</v>
      </c>
      <c r="AA35" s="325">
        <f t="shared" si="34"/>
        <v>0</v>
      </c>
      <c r="AB35" s="325">
        <f t="shared" si="34"/>
        <v>0</v>
      </c>
      <c r="AC35" s="325">
        <f t="shared" si="34"/>
        <v>0</v>
      </c>
      <c r="AD35" s="325">
        <f t="shared" si="34"/>
        <v>0</v>
      </c>
    </row>
    <row r="36" spans="1:30" ht="14.25">
      <c r="A36" s="271"/>
      <c r="B36" s="274"/>
      <c r="C36" s="274"/>
      <c r="D36" s="274"/>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row>
    <row r="37" spans="1:30" ht="14.25">
      <c r="A37" s="271" t="s">
        <v>349</v>
      </c>
      <c r="B37" s="274"/>
      <c r="C37" s="301" t="e">
        <f ca="1">C28-C30-C31-C34</f>
        <v>#VALUE!</v>
      </c>
      <c r="D37" s="301" t="e">
        <f t="shared" ref="D37:AD37" ca="1" si="35">D28-D30-D31-D34</f>
        <v>#VALUE!</v>
      </c>
      <c r="E37" s="301" t="e">
        <f t="shared" ca="1" si="35"/>
        <v>#VALUE!</v>
      </c>
      <c r="F37" s="301" t="e">
        <f t="shared" ca="1" si="35"/>
        <v>#VALUE!</v>
      </c>
      <c r="G37" s="301" t="e">
        <f t="shared" ca="1" si="35"/>
        <v>#VALUE!</v>
      </c>
      <c r="H37" s="301" t="e">
        <f t="shared" ca="1" si="35"/>
        <v>#VALUE!</v>
      </c>
      <c r="I37" s="301" t="e">
        <f t="shared" ca="1" si="35"/>
        <v>#VALUE!</v>
      </c>
      <c r="J37" s="301" t="e">
        <f t="shared" ca="1" si="35"/>
        <v>#VALUE!</v>
      </c>
      <c r="K37" s="301" t="e">
        <f t="shared" ca="1" si="35"/>
        <v>#VALUE!</v>
      </c>
      <c r="L37" s="301" t="e">
        <f t="shared" ca="1" si="35"/>
        <v>#VALUE!</v>
      </c>
      <c r="M37" s="301" t="e">
        <f t="shared" ca="1" si="35"/>
        <v>#VALUE!</v>
      </c>
      <c r="N37" s="301" t="e">
        <f t="shared" ca="1" si="35"/>
        <v>#VALUE!</v>
      </c>
      <c r="O37" s="301" t="e">
        <f t="shared" ca="1" si="35"/>
        <v>#VALUE!</v>
      </c>
      <c r="P37" s="301" t="e">
        <f t="shared" ca="1" si="35"/>
        <v>#VALUE!</v>
      </c>
      <c r="Q37" s="301" t="e">
        <f t="shared" ca="1" si="35"/>
        <v>#VALUE!</v>
      </c>
      <c r="R37" s="301" t="e">
        <f t="shared" ca="1" si="35"/>
        <v>#VALUE!</v>
      </c>
      <c r="S37" s="301" t="e">
        <f t="shared" ca="1" si="35"/>
        <v>#VALUE!</v>
      </c>
      <c r="T37" s="301" t="e">
        <f t="shared" ca="1" si="35"/>
        <v>#VALUE!</v>
      </c>
      <c r="U37" s="301" t="e">
        <f t="shared" ca="1" si="35"/>
        <v>#VALUE!</v>
      </c>
      <c r="V37" s="301" t="e">
        <f t="shared" ca="1" si="35"/>
        <v>#VALUE!</v>
      </c>
      <c r="W37" s="301" t="e">
        <f t="shared" ca="1" si="35"/>
        <v>#VALUE!</v>
      </c>
      <c r="X37" s="301" t="e">
        <f t="shared" ca="1" si="35"/>
        <v>#VALUE!</v>
      </c>
      <c r="Y37" s="301" t="e">
        <f t="shared" ca="1" si="35"/>
        <v>#VALUE!</v>
      </c>
      <c r="Z37" s="301" t="e">
        <f t="shared" ca="1" si="35"/>
        <v>#VALUE!</v>
      </c>
      <c r="AA37" s="301" t="e">
        <f t="shared" ca="1" si="35"/>
        <v>#VALUE!</v>
      </c>
      <c r="AB37" s="301" t="e">
        <f t="shared" ca="1" si="35"/>
        <v>#VALUE!</v>
      </c>
      <c r="AC37" s="301" t="e">
        <f t="shared" ca="1" si="35"/>
        <v>#VALUE!</v>
      </c>
      <c r="AD37" s="301" t="e">
        <f t="shared" ca="1" si="35"/>
        <v>#VALUE!</v>
      </c>
    </row>
    <row r="38" spans="1:30" ht="14.25">
      <c r="A38" s="271"/>
      <c r="B38" s="274"/>
      <c r="C38" s="274"/>
      <c r="D38" s="274"/>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row>
    <row r="39" spans="1:30" ht="14.25">
      <c r="A39" s="318" t="s">
        <v>98</v>
      </c>
      <c r="B39" s="274"/>
      <c r="C39" s="274"/>
      <c r="D39" s="274"/>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row>
    <row r="40" spans="1:30" ht="14.25">
      <c r="A40" s="271" t="s">
        <v>350</v>
      </c>
      <c r="B40" s="274"/>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row>
    <row r="41" spans="1:30" ht="14.25">
      <c r="A41" s="271" t="s">
        <v>351</v>
      </c>
      <c r="B41" s="274"/>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row>
    <row r="42" spans="1:30" ht="14.25">
      <c r="A42" s="202"/>
      <c r="B42" s="274"/>
      <c r="C42" s="274"/>
      <c r="D42" s="274"/>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row>
    <row r="43" spans="1:30" ht="14.25">
      <c r="A43" s="271"/>
      <c r="B43" s="274"/>
      <c r="C43" s="274"/>
      <c r="D43" s="274"/>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row>
  </sheetData>
  <pageMargins left="0.7" right="0.7" top="0.75" bottom="0.75" header="0.3" footer="0.3"/>
  <pageSetup paperSize="5" scale="55" orientation="landscape" r:id="rId1"/>
  <headerFooter>
    <oddHeader>&amp;L&amp;"Arial,Bold"&amp;12&amp;A&amp;R&amp;"Arial,Regular"&amp;D</oddHeader>
    <oddFooter>&amp;L&amp;"Arial,Regular"&amp;9&amp;F&amp;R&amp;"Arial,Italic"&amp;10&amp;P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96"/>
  <sheetViews>
    <sheetView workbookViewId="0"/>
  </sheetViews>
  <sheetFormatPr defaultRowHeight="14.25"/>
  <cols>
    <col min="1" max="1" width="39.59765625" bestFit="1" customWidth="1"/>
    <col min="2" max="3" width="13.1328125" customWidth="1"/>
    <col min="4" max="4" width="11" bestFit="1" customWidth="1"/>
    <col min="5" max="5" width="12.73046875" customWidth="1"/>
    <col min="6" max="7" width="10.265625" customWidth="1"/>
    <col min="8" max="8" width="11.265625" customWidth="1"/>
    <col min="9" max="9" width="12.73046875" customWidth="1"/>
    <col min="10" max="10" width="12.265625" customWidth="1"/>
    <col min="11" max="11" width="11.3984375" customWidth="1"/>
    <col min="12" max="12" width="10.59765625" customWidth="1"/>
    <col min="13" max="13" width="11.59765625" customWidth="1"/>
    <col min="14" max="14" width="12.1328125" customWidth="1"/>
    <col min="15" max="15" width="11.73046875" customWidth="1"/>
    <col min="16" max="16" width="12" customWidth="1"/>
    <col min="17" max="17" width="10.73046875" customWidth="1"/>
    <col min="18" max="18" width="11.1328125" customWidth="1"/>
    <col min="19" max="19" width="11.3984375" customWidth="1"/>
    <col min="20" max="20" width="11.1328125" customWidth="1"/>
    <col min="21" max="21" width="10.73046875" customWidth="1"/>
    <col min="22" max="22" width="11.265625" customWidth="1"/>
    <col min="23" max="23" width="11.3984375" customWidth="1"/>
    <col min="24" max="24" width="10.86328125" customWidth="1"/>
    <col min="25" max="25" width="12.1328125" customWidth="1"/>
    <col min="26" max="26" width="10.86328125" customWidth="1"/>
    <col min="27" max="27" width="12.1328125" customWidth="1"/>
    <col min="28" max="29" width="11.1328125" customWidth="1"/>
    <col min="30" max="30" width="11.73046875" customWidth="1"/>
    <col min="31" max="32" width="11.3984375" customWidth="1"/>
    <col min="33" max="33" width="14.3984375" customWidth="1"/>
  </cols>
  <sheetData>
    <row r="1" spans="1:48" s="49" customForma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row>
    <row r="2" spans="1:48" s="49" customFormat="1" ht="15" customHeight="1">
      <c r="A2"/>
      <c r="B2"/>
      <c r="C2" s="691" t="s">
        <v>352</v>
      </c>
      <c r="D2" s="691"/>
      <c r="E2"/>
      <c r="F2" s="42" t="s">
        <v>353</v>
      </c>
      <c r="G2"/>
      <c r="H2"/>
      <c r="I2"/>
      <c r="J2"/>
      <c r="K2"/>
      <c r="L2"/>
      <c r="M2"/>
      <c r="N2"/>
      <c r="O2"/>
      <c r="P2"/>
      <c r="Q2"/>
      <c r="R2"/>
      <c r="S2"/>
      <c r="T2"/>
      <c r="U2"/>
      <c r="V2"/>
      <c r="W2"/>
      <c r="X2"/>
      <c r="Y2"/>
      <c r="Z2"/>
      <c r="AA2"/>
      <c r="AB2"/>
      <c r="AC2"/>
      <c r="AD2"/>
      <c r="AE2"/>
      <c r="AF2"/>
      <c r="AG2"/>
      <c r="AH2"/>
      <c r="AI2"/>
      <c r="AJ2"/>
      <c r="AK2"/>
      <c r="AL2"/>
      <c r="AM2"/>
      <c r="AN2"/>
      <c r="AO2"/>
      <c r="AP2"/>
      <c r="AQ2"/>
      <c r="AR2"/>
      <c r="AS2"/>
      <c r="AT2"/>
      <c r="AU2"/>
      <c r="AV2"/>
    </row>
    <row r="3" spans="1:48" s="49" customFormat="1" ht="28.5">
      <c r="A3" s="329" t="s">
        <v>354</v>
      </c>
      <c r="B3" s="329" t="s">
        <v>355</v>
      </c>
      <c r="C3" s="330" t="s">
        <v>122</v>
      </c>
      <c r="D3" s="331" t="s">
        <v>356</v>
      </c>
      <c r="E3" s="331"/>
      <c r="F3" s="331" t="s">
        <v>357</v>
      </c>
      <c r="G3" s="331" t="s">
        <v>358</v>
      </c>
      <c r="H3" s="331" t="s">
        <v>359</v>
      </c>
      <c r="I3" s="331" t="s">
        <v>360</v>
      </c>
      <c r="J3" s="331" t="s">
        <v>361</v>
      </c>
      <c r="K3" s="331" t="s">
        <v>362</v>
      </c>
      <c r="L3" s="331" t="s">
        <v>363</v>
      </c>
      <c r="M3" s="331" t="s">
        <v>364</v>
      </c>
      <c r="N3" s="331" t="s">
        <v>365</v>
      </c>
      <c r="O3" s="331" t="s">
        <v>366</v>
      </c>
      <c r="P3" s="331" t="s">
        <v>367</v>
      </c>
      <c r="Q3" s="331" t="s">
        <v>368</v>
      </c>
      <c r="R3" s="331" t="s">
        <v>369</v>
      </c>
      <c r="S3" s="331" t="s">
        <v>370</v>
      </c>
      <c r="T3" s="331" t="s">
        <v>371</v>
      </c>
      <c r="U3" s="331" t="s">
        <v>372</v>
      </c>
      <c r="V3" s="331" t="s">
        <v>373</v>
      </c>
      <c r="W3" s="331" t="s">
        <v>374</v>
      </c>
      <c r="X3" s="331" t="s">
        <v>375</v>
      </c>
      <c r="Y3" s="331" t="s">
        <v>376</v>
      </c>
      <c r="Z3" s="331" t="s">
        <v>377</v>
      </c>
      <c r="AA3" s="331" t="s">
        <v>378</v>
      </c>
      <c r="AB3" s="331" t="s">
        <v>379</v>
      </c>
      <c r="AC3" s="331" t="s">
        <v>380</v>
      </c>
      <c r="AD3" s="331" t="s">
        <v>381</v>
      </c>
      <c r="AE3" s="331" t="s">
        <v>382</v>
      </c>
      <c r="AF3" s="331" t="s">
        <v>383</v>
      </c>
      <c r="AG3" s="331" t="s">
        <v>384</v>
      </c>
      <c r="AH3" s="332"/>
      <c r="AI3" s="332"/>
      <c r="AJ3" s="332"/>
      <c r="AK3" s="332"/>
      <c r="AL3" s="332"/>
      <c r="AM3" s="332"/>
      <c r="AN3" s="332"/>
      <c r="AO3" s="332"/>
      <c r="AP3" s="332"/>
      <c r="AQ3" s="332"/>
      <c r="AR3" s="332"/>
      <c r="AS3" s="332"/>
      <c r="AT3" s="332"/>
      <c r="AU3" s="332"/>
      <c r="AV3" s="332"/>
    </row>
    <row r="4" spans="1:48" s="49" customFormat="1">
      <c r="A4" s="333" t="s">
        <v>50</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row>
    <row r="5" spans="1:48" s="49" customFormat="1">
      <c r="A5" s="334" t="s">
        <v>59</v>
      </c>
      <c r="B5" s="335">
        <f>'Dev Budget'!B11</f>
        <v>0</v>
      </c>
      <c r="C5" s="336"/>
      <c r="D5" s="336"/>
      <c r="E5" s="335"/>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c r="AI5"/>
      <c r="AJ5"/>
      <c r="AK5"/>
      <c r="AL5"/>
      <c r="AM5"/>
      <c r="AN5"/>
      <c r="AO5"/>
      <c r="AP5"/>
      <c r="AQ5"/>
      <c r="AR5"/>
      <c r="AS5"/>
      <c r="AT5"/>
      <c r="AU5"/>
      <c r="AV5"/>
    </row>
    <row r="6" spans="1:48" s="197" customFormat="1" ht="14.65" thickBot="1">
      <c r="A6" s="338" t="s">
        <v>60</v>
      </c>
      <c r="B6" s="339">
        <f>'Dev Budget'!B12</f>
        <v>0</v>
      </c>
      <c r="C6" s="340">
        <f>C5</f>
        <v>0</v>
      </c>
      <c r="D6" s="340">
        <f>D5</f>
        <v>0</v>
      </c>
      <c r="E6" s="339"/>
      <c r="F6" s="341">
        <f>F5</f>
        <v>0</v>
      </c>
      <c r="G6" s="341">
        <f t="shared" ref="G6:AG6" si="0">G5</f>
        <v>0</v>
      </c>
      <c r="H6" s="341">
        <f t="shared" si="0"/>
        <v>0</v>
      </c>
      <c r="I6" s="341">
        <f t="shared" si="0"/>
        <v>0</v>
      </c>
      <c r="J6" s="341">
        <f t="shared" si="0"/>
        <v>0</v>
      </c>
      <c r="K6" s="341">
        <f t="shared" si="0"/>
        <v>0</v>
      </c>
      <c r="L6" s="341">
        <f t="shared" si="0"/>
        <v>0</v>
      </c>
      <c r="M6" s="341">
        <f t="shared" si="0"/>
        <v>0</v>
      </c>
      <c r="N6" s="341">
        <f t="shared" si="0"/>
        <v>0</v>
      </c>
      <c r="O6" s="341">
        <f t="shared" si="0"/>
        <v>0</v>
      </c>
      <c r="P6" s="341">
        <f t="shared" si="0"/>
        <v>0</v>
      </c>
      <c r="Q6" s="341">
        <f t="shared" si="0"/>
        <v>0</v>
      </c>
      <c r="R6" s="341">
        <f t="shared" si="0"/>
        <v>0</v>
      </c>
      <c r="S6" s="341">
        <f t="shared" si="0"/>
        <v>0</v>
      </c>
      <c r="T6" s="341">
        <f t="shared" si="0"/>
        <v>0</v>
      </c>
      <c r="U6" s="341">
        <f t="shared" si="0"/>
        <v>0</v>
      </c>
      <c r="V6" s="341">
        <f t="shared" si="0"/>
        <v>0</v>
      </c>
      <c r="W6" s="341">
        <f t="shared" si="0"/>
        <v>0</v>
      </c>
      <c r="X6" s="341">
        <f t="shared" si="0"/>
        <v>0</v>
      </c>
      <c r="Y6" s="341">
        <f t="shared" si="0"/>
        <v>0</v>
      </c>
      <c r="Z6" s="341">
        <f t="shared" si="0"/>
        <v>0</v>
      </c>
      <c r="AA6" s="341">
        <f t="shared" si="0"/>
        <v>0</v>
      </c>
      <c r="AB6" s="341">
        <f t="shared" si="0"/>
        <v>0</v>
      </c>
      <c r="AC6" s="341">
        <f t="shared" si="0"/>
        <v>0</v>
      </c>
      <c r="AD6" s="341">
        <f t="shared" si="0"/>
        <v>0</v>
      </c>
      <c r="AE6" s="341">
        <f t="shared" si="0"/>
        <v>0</v>
      </c>
      <c r="AF6" s="341">
        <f t="shared" si="0"/>
        <v>0</v>
      </c>
      <c r="AG6" s="341">
        <f t="shared" si="0"/>
        <v>0</v>
      </c>
      <c r="AH6" s="192"/>
      <c r="AI6" s="192"/>
      <c r="AJ6" s="192"/>
      <c r="AK6" s="192"/>
      <c r="AL6" s="192"/>
      <c r="AM6" s="192"/>
      <c r="AN6" s="192"/>
      <c r="AO6" s="192"/>
      <c r="AP6" s="192"/>
      <c r="AQ6" s="192"/>
      <c r="AR6" s="192"/>
      <c r="AS6" s="192"/>
      <c r="AT6" s="192"/>
      <c r="AU6" s="192"/>
      <c r="AV6" s="192"/>
    </row>
    <row r="7" spans="1:48" s="49" customFormat="1">
      <c r="A7"/>
      <c r="B7" s="335"/>
      <c r="C7" s="335"/>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row>
    <row r="8" spans="1:48" s="49" customFormat="1">
      <c r="A8" s="333" t="s">
        <v>51</v>
      </c>
      <c r="B8" s="335"/>
      <c r="C8" s="335"/>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row>
    <row r="9" spans="1:48" s="49" customFormat="1">
      <c r="A9" s="334" t="s">
        <v>61</v>
      </c>
      <c r="B9" s="335">
        <f>'Dev Budget'!B15</f>
        <v>0</v>
      </c>
      <c r="C9" s="336"/>
      <c r="D9" s="336"/>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c r="AI9"/>
      <c r="AJ9"/>
      <c r="AK9"/>
      <c r="AL9"/>
      <c r="AM9"/>
      <c r="AN9"/>
      <c r="AO9"/>
      <c r="AP9"/>
      <c r="AQ9"/>
      <c r="AR9"/>
      <c r="AS9"/>
      <c r="AT9"/>
      <c r="AU9"/>
      <c r="AV9"/>
    </row>
    <row r="10" spans="1:48" s="49" customFormat="1">
      <c r="A10" s="334" t="s">
        <v>62</v>
      </c>
      <c r="B10" s="335">
        <f>'Dev Budget'!B16</f>
        <v>0</v>
      </c>
      <c r="C10" s="335"/>
      <c r="D10" s="342"/>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c r="AI10"/>
      <c r="AJ10"/>
      <c r="AK10"/>
      <c r="AL10"/>
      <c r="AM10"/>
      <c r="AN10"/>
      <c r="AO10"/>
      <c r="AP10"/>
      <c r="AQ10"/>
      <c r="AR10"/>
      <c r="AS10"/>
      <c r="AT10"/>
      <c r="AU10"/>
      <c r="AV10"/>
    </row>
    <row r="11" spans="1:48" s="49" customFormat="1">
      <c r="A11" s="32" t="s">
        <v>63</v>
      </c>
      <c r="B11" s="335">
        <f>'Dev Budget'!B17</f>
        <v>0</v>
      </c>
      <c r="C11" s="335"/>
      <c r="D11" s="342"/>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c r="AI11"/>
      <c r="AJ11"/>
      <c r="AK11"/>
      <c r="AL11"/>
      <c r="AM11"/>
      <c r="AN11"/>
      <c r="AO11"/>
      <c r="AP11"/>
      <c r="AQ11"/>
      <c r="AR11"/>
      <c r="AS11"/>
      <c r="AT11"/>
      <c r="AU11"/>
      <c r="AV11"/>
    </row>
    <row r="12" spans="1:48" s="49" customFormat="1">
      <c r="A12" s="32" t="s">
        <v>64</v>
      </c>
      <c r="B12" s="335">
        <f>'Dev Budget'!B18</f>
        <v>0</v>
      </c>
      <c r="C12" s="335"/>
      <c r="D12" s="342"/>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c r="AI12"/>
      <c r="AJ12"/>
      <c r="AK12"/>
      <c r="AL12"/>
      <c r="AM12"/>
      <c r="AN12"/>
      <c r="AO12"/>
      <c r="AP12"/>
      <c r="AQ12"/>
      <c r="AR12"/>
      <c r="AS12"/>
      <c r="AT12"/>
      <c r="AU12"/>
      <c r="AV12"/>
    </row>
    <row r="13" spans="1:48" s="49" customFormat="1">
      <c r="A13" s="32" t="s">
        <v>65</v>
      </c>
      <c r="B13" s="335">
        <f>'Dev Budget'!B19</f>
        <v>0</v>
      </c>
      <c r="C13" s="335"/>
      <c r="D13" s="342"/>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c r="AI13"/>
      <c r="AJ13"/>
      <c r="AK13"/>
      <c r="AL13"/>
      <c r="AM13"/>
      <c r="AN13"/>
      <c r="AO13"/>
      <c r="AP13"/>
      <c r="AQ13"/>
      <c r="AR13"/>
      <c r="AS13"/>
      <c r="AT13"/>
      <c r="AU13"/>
      <c r="AV13"/>
    </row>
    <row r="14" spans="1:48" s="49" customFormat="1">
      <c r="A14" s="32" t="s">
        <v>17</v>
      </c>
      <c r="B14" s="335">
        <f>'Dev Budget'!B20</f>
        <v>0</v>
      </c>
      <c r="C14" s="335"/>
      <c r="D14" s="342"/>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c r="AI14"/>
      <c r="AJ14"/>
      <c r="AK14"/>
      <c r="AL14"/>
      <c r="AM14"/>
      <c r="AN14"/>
      <c r="AO14"/>
      <c r="AP14"/>
      <c r="AQ14"/>
      <c r="AR14"/>
      <c r="AS14"/>
      <c r="AT14"/>
      <c r="AU14"/>
      <c r="AV14"/>
    </row>
    <row r="15" spans="1:48" s="49" customFormat="1">
      <c r="A15" s="334" t="s">
        <v>66</v>
      </c>
      <c r="B15" s="335">
        <f>'Dev Budget'!B21</f>
        <v>0</v>
      </c>
      <c r="C15" s="335"/>
      <c r="D15" s="342"/>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c r="AI15"/>
      <c r="AJ15"/>
      <c r="AK15"/>
      <c r="AL15"/>
      <c r="AM15"/>
      <c r="AN15"/>
      <c r="AO15"/>
      <c r="AP15"/>
      <c r="AQ15"/>
      <c r="AR15"/>
      <c r="AS15"/>
      <c r="AT15"/>
      <c r="AU15"/>
      <c r="AV15"/>
    </row>
    <row r="16" spans="1:48" s="197" customFormat="1" ht="14.65" thickBot="1">
      <c r="A16" s="338" t="s">
        <v>68</v>
      </c>
      <c r="B16" s="339">
        <f>'Dev Budget'!B22</f>
        <v>0</v>
      </c>
      <c r="C16" s="343">
        <f>SUM(C9:C15)</f>
        <v>0</v>
      </c>
      <c r="D16" s="343">
        <f>SUM(D9:D15)</f>
        <v>0</v>
      </c>
      <c r="E16" s="339"/>
      <c r="F16" s="339">
        <f>SUM(F9:F15)</f>
        <v>0</v>
      </c>
      <c r="G16" s="339">
        <f t="shared" ref="G16:AG16" si="1">SUM(G9:G15)</f>
        <v>0</v>
      </c>
      <c r="H16" s="339">
        <f t="shared" si="1"/>
        <v>0</v>
      </c>
      <c r="I16" s="339">
        <f t="shared" si="1"/>
        <v>0</v>
      </c>
      <c r="J16" s="339">
        <f t="shared" si="1"/>
        <v>0</v>
      </c>
      <c r="K16" s="339">
        <f t="shared" si="1"/>
        <v>0</v>
      </c>
      <c r="L16" s="339">
        <f t="shared" si="1"/>
        <v>0</v>
      </c>
      <c r="M16" s="339">
        <f t="shared" si="1"/>
        <v>0</v>
      </c>
      <c r="N16" s="339">
        <f t="shared" si="1"/>
        <v>0</v>
      </c>
      <c r="O16" s="339">
        <f t="shared" si="1"/>
        <v>0</v>
      </c>
      <c r="P16" s="339">
        <f t="shared" si="1"/>
        <v>0</v>
      </c>
      <c r="Q16" s="339">
        <f t="shared" si="1"/>
        <v>0</v>
      </c>
      <c r="R16" s="339">
        <f t="shared" si="1"/>
        <v>0</v>
      </c>
      <c r="S16" s="339">
        <f t="shared" si="1"/>
        <v>0</v>
      </c>
      <c r="T16" s="339">
        <f t="shared" si="1"/>
        <v>0</v>
      </c>
      <c r="U16" s="339">
        <f t="shared" si="1"/>
        <v>0</v>
      </c>
      <c r="V16" s="339">
        <f t="shared" si="1"/>
        <v>0</v>
      </c>
      <c r="W16" s="339">
        <f t="shared" si="1"/>
        <v>0</v>
      </c>
      <c r="X16" s="339">
        <f t="shared" si="1"/>
        <v>0</v>
      </c>
      <c r="Y16" s="339">
        <f t="shared" si="1"/>
        <v>0</v>
      </c>
      <c r="Z16" s="339">
        <f t="shared" si="1"/>
        <v>0</v>
      </c>
      <c r="AA16" s="339">
        <f t="shared" si="1"/>
        <v>0</v>
      </c>
      <c r="AB16" s="339">
        <f t="shared" si="1"/>
        <v>0</v>
      </c>
      <c r="AC16" s="339">
        <f t="shared" si="1"/>
        <v>0</v>
      </c>
      <c r="AD16" s="339">
        <f t="shared" si="1"/>
        <v>0</v>
      </c>
      <c r="AE16" s="339">
        <f t="shared" si="1"/>
        <v>0</v>
      </c>
      <c r="AF16" s="339">
        <f t="shared" si="1"/>
        <v>0</v>
      </c>
      <c r="AG16" s="339">
        <f t="shared" si="1"/>
        <v>0</v>
      </c>
      <c r="AH16" s="192"/>
      <c r="AI16" s="192"/>
      <c r="AJ16" s="192"/>
      <c r="AK16" s="192"/>
      <c r="AL16" s="192"/>
      <c r="AM16" s="192"/>
      <c r="AN16" s="192"/>
      <c r="AO16" s="192"/>
      <c r="AP16" s="192"/>
      <c r="AQ16" s="192"/>
      <c r="AR16" s="192"/>
      <c r="AS16" s="192"/>
      <c r="AT16" s="192"/>
      <c r="AU16" s="192"/>
      <c r="AV16" s="192"/>
    </row>
    <row r="17" spans="1:48" s="49" customFormat="1">
      <c r="A17"/>
      <c r="B17" s="335"/>
      <c r="C17" s="335"/>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row>
    <row r="18" spans="1:48" s="49" customFormat="1">
      <c r="A18" s="333" t="s">
        <v>52</v>
      </c>
      <c r="B18" s="335"/>
      <c r="C18" s="335"/>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row>
    <row r="19" spans="1:48" s="49" customFormat="1">
      <c r="A19" s="333" t="s">
        <v>69</v>
      </c>
      <c r="B19" s="335"/>
      <c r="C19" s="335"/>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row>
    <row r="20" spans="1:48" s="49" customFormat="1">
      <c r="A20" s="344" t="s">
        <v>70</v>
      </c>
      <c r="B20" s="335">
        <f>'Dev Budget'!B26</f>
        <v>0</v>
      </c>
      <c r="C20" s="336"/>
      <c r="D20" s="336"/>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c r="AI20"/>
      <c r="AJ20"/>
      <c r="AK20"/>
      <c r="AL20"/>
      <c r="AM20"/>
      <c r="AN20"/>
      <c r="AO20"/>
      <c r="AP20"/>
      <c r="AQ20"/>
      <c r="AR20"/>
      <c r="AS20"/>
      <c r="AT20"/>
      <c r="AU20"/>
      <c r="AV20"/>
    </row>
    <row r="21" spans="1:48" s="49" customFormat="1">
      <c r="A21" s="344" t="s">
        <v>71</v>
      </c>
      <c r="B21" s="335">
        <f>'Dev Budget'!B27</f>
        <v>0</v>
      </c>
      <c r="C21" s="336"/>
      <c r="D21" s="336"/>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c r="AI21"/>
      <c r="AJ21"/>
      <c r="AK21"/>
      <c r="AL21"/>
      <c r="AM21"/>
      <c r="AN21"/>
      <c r="AO21"/>
      <c r="AP21"/>
      <c r="AQ21"/>
      <c r="AR21"/>
      <c r="AS21"/>
      <c r="AT21"/>
      <c r="AU21"/>
      <c r="AV21"/>
    </row>
    <row r="22" spans="1:48" s="49" customFormat="1">
      <c r="A22" s="344" t="s">
        <v>72</v>
      </c>
      <c r="B22" s="335">
        <f>'Dev Budget'!B28</f>
        <v>0</v>
      </c>
      <c r="C22" s="336"/>
      <c r="D22" s="336"/>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c r="AI22"/>
      <c r="AJ22"/>
      <c r="AK22"/>
      <c r="AL22"/>
      <c r="AM22"/>
      <c r="AN22"/>
      <c r="AO22"/>
      <c r="AP22"/>
      <c r="AQ22"/>
      <c r="AR22"/>
      <c r="AS22"/>
      <c r="AT22"/>
      <c r="AU22"/>
      <c r="AV22"/>
    </row>
    <row r="23" spans="1:48" s="49" customFormat="1">
      <c r="A23" s="344" t="s">
        <v>73</v>
      </c>
      <c r="B23" s="335">
        <f>'Dev Budget'!B29</f>
        <v>0</v>
      </c>
      <c r="C23" s="336"/>
      <c r="D23" s="336"/>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c r="AI23"/>
      <c r="AJ23"/>
      <c r="AK23"/>
      <c r="AL23"/>
      <c r="AM23"/>
      <c r="AN23"/>
      <c r="AO23"/>
      <c r="AP23"/>
      <c r="AQ23"/>
      <c r="AR23"/>
      <c r="AS23"/>
      <c r="AT23"/>
      <c r="AU23"/>
      <c r="AV23"/>
    </row>
    <row r="24" spans="1:48" s="49" customFormat="1">
      <c r="A24" s="344" t="s">
        <v>75</v>
      </c>
      <c r="B24" s="335">
        <f>'Dev Budget'!B30</f>
        <v>0</v>
      </c>
      <c r="C24" s="336"/>
      <c r="D24" s="336"/>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c r="AI24"/>
      <c r="AJ24"/>
      <c r="AK24"/>
      <c r="AL24"/>
      <c r="AM24"/>
      <c r="AN24"/>
      <c r="AO24"/>
      <c r="AP24"/>
      <c r="AQ24"/>
      <c r="AR24"/>
      <c r="AS24"/>
      <c r="AT24"/>
      <c r="AU24"/>
      <c r="AV24"/>
    </row>
    <row r="25" spans="1:48" s="49" customFormat="1">
      <c r="A25" s="344" t="s">
        <v>76</v>
      </c>
      <c r="B25" s="335">
        <f>'Dev Budget'!B31</f>
        <v>0</v>
      </c>
      <c r="C25" s="336"/>
      <c r="D25" s="336"/>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c r="AI25"/>
      <c r="AJ25"/>
      <c r="AK25"/>
      <c r="AL25"/>
      <c r="AM25"/>
      <c r="AN25"/>
      <c r="AO25"/>
      <c r="AP25"/>
      <c r="AQ25"/>
      <c r="AR25"/>
      <c r="AS25"/>
      <c r="AT25"/>
      <c r="AU25"/>
      <c r="AV25"/>
    </row>
    <row r="26" spans="1:48" s="49" customFormat="1">
      <c r="A26" s="344" t="s">
        <v>78</v>
      </c>
      <c r="B26" s="335">
        <f>'Dev Budget'!B32</f>
        <v>0</v>
      </c>
      <c r="C26" s="336"/>
      <c r="D26" s="336"/>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c r="AI26"/>
      <c r="AJ26"/>
      <c r="AK26"/>
      <c r="AL26"/>
      <c r="AM26"/>
      <c r="AN26"/>
      <c r="AO26"/>
      <c r="AP26"/>
      <c r="AQ26"/>
      <c r="AR26"/>
      <c r="AS26"/>
      <c r="AT26"/>
      <c r="AU26"/>
      <c r="AV26"/>
    </row>
    <row r="27" spans="1:48" s="49" customFormat="1">
      <c r="A27" s="345" t="s">
        <v>79</v>
      </c>
      <c r="B27" s="335">
        <f>'Dev Budget'!B33</f>
        <v>0</v>
      </c>
      <c r="C27" s="336"/>
      <c r="D27" s="336"/>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c r="AI27"/>
      <c r="AJ27"/>
      <c r="AK27"/>
      <c r="AL27"/>
      <c r="AM27"/>
      <c r="AN27"/>
      <c r="AO27"/>
      <c r="AP27"/>
      <c r="AQ27"/>
      <c r="AR27"/>
      <c r="AS27"/>
      <c r="AT27"/>
      <c r="AU27"/>
      <c r="AV27"/>
    </row>
    <row r="28" spans="1:48" s="49" customFormat="1">
      <c r="A28" s="344" t="s">
        <v>81</v>
      </c>
      <c r="B28" s="335">
        <f>'Dev Budget'!B34</f>
        <v>0</v>
      </c>
      <c r="C28" s="336"/>
      <c r="D28" s="336"/>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c r="AI28"/>
      <c r="AJ28"/>
      <c r="AK28"/>
      <c r="AL28"/>
      <c r="AM28"/>
      <c r="AN28"/>
      <c r="AO28"/>
      <c r="AP28"/>
      <c r="AQ28"/>
      <c r="AR28"/>
      <c r="AS28"/>
      <c r="AT28"/>
      <c r="AU28"/>
      <c r="AV28"/>
    </row>
    <row r="29" spans="1:48" s="49" customFormat="1">
      <c r="A29" s="344" t="s">
        <v>82</v>
      </c>
      <c r="B29" s="335">
        <f>'Dev Budget'!B35</f>
        <v>0</v>
      </c>
      <c r="C29" s="336"/>
      <c r="D29" s="336"/>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c r="AI29"/>
      <c r="AJ29"/>
      <c r="AK29"/>
      <c r="AL29"/>
      <c r="AM29"/>
      <c r="AN29"/>
      <c r="AO29"/>
      <c r="AP29"/>
      <c r="AQ29"/>
      <c r="AR29"/>
      <c r="AS29"/>
      <c r="AT29"/>
      <c r="AU29"/>
      <c r="AV29"/>
    </row>
    <row r="30" spans="1:48" s="49" customFormat="1">
      <c r="A30" s="334" t="s">
        <v>83</v>
      </c>
      <c r="B30" s="335">
        <f>'Dev Budget'!B36</f>
        <v>0</v>
      </c>
      <c r="C30" s="336"/>
      <c r="D30" s="336"/>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c r="AI30"/>
      <c r="AJ30"/>
      <c r="AK30"/>
      <c r="AL30"/>
      <c r="AM30"/>
      <c r="AN30"/>
      <c r="AO30"/>
      <c r="AP30"/>
      <c r="AQ30"/>
      <c r="AR30"/>
      <c r="AS30"/>
      <c r="AT30"/>
      <c r="AU30"/>
      <c r="AV30"/>
    </row>
    <row r="31" spans="1:48" s="49" customFormat="1">
      <c r="A31" s="334" t="s">
        <v>84</v>
      </c>
      <c r="B31" s="335">
        <f>'Dev Budget'!B37</f>
        <v>0</v>
      </c>
      <c r="C31" s="336"/>
      <c r="D31" s="336"/>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c r="AI31"/>
      <c r="AJ31"/>
      <c r="AK31"/>
      <c r="AL31"/>
      <c r="AM31"/>
      <c r="AN31"/>
      <c r="AO31"/>
      <c r="AP31"/>
      <c r="AQ31"/>
      <c r="AR31"/>
      <c r="AS31"/>
      <c r="AT31"/>
      <c r="AU31"/>
      <c r="AV31"/>
    </row>
    <row r="32" spans="1:48" s="49" customFormat="1">
      <c r="A32" s="334" t="s">
        <v>85</v>
      </c>
      <c r="B32" s="335">
        <f>'Dev Budget'!B38</f>
        <v>0</v>
      </c>
      <c r="C32" s="336"/>
      <c r="D32" s="336"/>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c r="AI32"/>
      <c r="AJ32"/>
      <c r="AK32"/>
      <c r="AL32"/>
      <c r="AM32"/>
      <c r="AN32"/>
      <c r="AO32"/>
      <c r="AP32"/>
      <c r="AQ32"/>
      <c r="AR32"/>
      <c r="AS32"/>
      <c r="AT32"/>
      <c r="AU32"/>
      <c r="AV32"/>
    </row>
    <row r="33" spans="1:48" s="49" customFormat="1">
      <c r="A33" s="345" t="s">
        <v>86</v>
      </c>
      <c r="B33" s="335">
        <f>'Dev Budget'!B39</f>
        <v>0</v>
      </c>
      <c r="C33" s="336"/>
      <c r="D33" s="336"/>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c r="AI33"/>
      <c r="AJ33"/>
      <c r="AK33"/>
      <c r="AL33"/>
      <c r="AM33"/>
      <c r="AN33"/>
      <c r="AO33"/>
      <c r="AP33"/>
      <c r="AQ33"/>
      <c r="AR33"/>
      <c r="AS33"/>
      <c r="AT33"/>
      <c r="AU33"/>
      <c r="AV33"/>
    </row>
    <row r="34" spans="1:48" s="197" customFormat="1" ht="14.65" thickBot="1">
      <c r="A34" s="338" t="s">
        <v>87</v>
      </c>
      <c r="B34" s="339">
        <f>'Dev Budget'!B40</f>
        <v>0</v>
      </c>
      <c r="C34" s="340">
        <f>SUM(C20:C33)</f>
        <v>0</v>
      </c>
      <c r="D34" s="340">
        <f>SUM(D20:D33)</f>
        <v>0</v>
      </c>
      <c r="E34" s="339"/>
      <c r="F34" s="339">
        <f>SUM(F20:F33)</f>
        <v>0</v>
      </c>
      <c r="G34" s="339">
        <f t="shared" ref="G34:AG34" si="2">SUM(G20:G33)</f>
        <v>0</v>
      </c>
      <c r="H34" s="339">
        <f t="shared" si="2"/>
        <v>0</v>
      </c>
      <c r="I34" s="339">
        <f t="shared" si="2"/>
        <v>0</v>
      </c>
      <c r="J34" s="339">
        <f t="shared" si="2"/>
        <v>0</v>
      </c>
      <c r="K34" s="339">
        <f t="shared" si="2"/>
        <v>0</v>
      </c>
      <c r="L34" s="339">
        <f t="shared" si="2"/>
        <v>0</v>
      </c>
      <c r="M34" s="339">
        <f t="shared" si="2"/>
        <v>0</v>
      </c>
      <c r="N34" s="339">
        <f t="shared" si="2"/>
        <v>0</v>
      </c>
      <c r="O34" s="339">
        <f t="shared" si="2"/>
        <v>0</v>
      </c>
      <c r="P34" s="339">
        <f t="shared" si="2"/>
        <v>0</v>
      </c>
      <c r="Q34" s="339">
        <f t="shared" si="2"/>
        <v>0</v>
      </c>
      <c r="R34" s="339">
        <f t="shared" si="2"/>
        <v>0</v>
      </c>
      <c r="S34" s="339">
        <f t="shared" si="2"/>
        <v>0</v>
      </c>
      <c r="T34" s="339">
        <f t="shared" si="2"/>
        <v>0</v>
      </c>
      <c r="U34" s="339">
        <f t="shared" si="2"/>
        <v>0</v>
      </c>
      <c r="V34" s="339">
        <f t="shared" si="2"/>
        <v>0</v>
      </c>
      <c r="W34" s="339">
        <f t="shared" si="2"/>
        <v>0</v>
      </c>
      <c r="X34" s="339">
        <f t="shared" si="2"/>
        <v>0</v>
      </c>
      <c r="Y34" s="339">
        <f t="shared" si="2"/>
        <v>0</v>
      </c>
      <c r="Z34" s="339">
        <f t="shared" si="2"/>
        <v>0</v>
      </c>
      <c r="AA34" s="339">
        <f t="shared" si="2"/>
        <v>0</v>
      </c>
      <c r="AB34" s="339">
        <f t="shared" si="2"/>
        <v>0</v>
      </c>
      <c r="AC34" s="339">
        <f t="shared" si="2"/>
        <v>0</v>
      </c>
      <c r="AD34" s="339">
        <f t="shared" si="2"/>
        <v>0</v>
      </c>
      <c r="AE34" s="339">
        <f t="shared" si="2"/>
        <v>0</v>
      </c>
      <c r="AF34" s="339">
        <f t="shared" si="2"/>
        <v>0</v>
      </c>
      <c r="AG34" s="339">
        <f t="shared" si="2"/>
        <v>0</v>
      </c>
      <c r="AH34" s="192"/>
      <c r="AI34" s="192"/>
      <c r="AJ34" s="192"/>
      <c r="AK34" s="192"/>
      <c r="AL34" s="192"/>
      <c r="AM34" s="192"/>
      <c r="AN34" s="192"/>
      <c r="AO34" s="192"/>
      <c r="AP34" s="192"/>
      <c r="AQ34" s="192"/>
      <c r="AR34" s="192"/>
      <c r="AS34" s="192"/>
      <c r="AT34" s="192"/>
      <c r="AU34" s="192"/>
      <c r="AV34" s="192"/>
    </row>
    <row r="35" spans="1:48" s="49" customFormat="1">
      <c r="A35" s="334"/>
      <c r="B35" s="335"/>
      <c r="C35" s="3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row>
    <row r="36" spans="1:48" s="49" customFormat="1">
      <c r="A36" s="333" t="s">
        <v>88</v>
      </c>
      <c r="B36" s="335"/>
      <c r="C36" s="335"/>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row>
    <row r="37" spans="1:48" s="49" customFormat="1">
      <c r="A37" s="334" t="s">
        <v>89</v>
      </c>
      <c r="B37" s="335" t="e">
        <f ca="1">'Dev Budget'!B43</f>
        <v>#VALUE!</v>
      </c>
      <c r="C37" s="336"/>
      <c r="D37" s="336"/>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c r="AI37"/>
      <c r="AJ37"/>
      <c r="AK37"/>
      <c r="AL37"/>
      <c r="AM37"/>
      <c r="AN37"/>
      <c r="AO37"/>
      <c r="AP37"/>
      <c r="AQ37"/>
      <c r="AR37"/>
      <c r="AS37"/>
      <c r="AT37"/>
      <c r="AU37"/>
      <c r="AV37"/>
    </row>
    <row r="38" spans="1:48" s="49" customFormat="1">
      <c r="A38" s="334" t="s">
        <v>91</v>
      </c>
      <c r="B38" s="335">
        <f>'Dev Budget'!B44</f>
        <v>1400</v>
      </c>
      <c r="C38" s="336"/>
      <c r="D38" s="336"/>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c r="AI38"/>
      <c r="AJ38"/>
      <c r="AK38"/>
      <c r="AL38"/>
      <c r="AM38"/>
      <c r="AN38"/>
      <c r="AO38"/>
      <c r="AP38"/>
      <c r="AQ38"/>
      <c r="AR38"/>
      <c r="AS38"/>
      <c r="AT38"/>
      <c r="AU38"/>
      <c r="AV38"/>
    </row>
    <row r="39" spans="1:48" s="49" customFormat="1">
      <c r="A39" s="334" t="s">
        <v>92</v>
      </c>
      <c r="B39" s="335">
        <f>'Dev Budget'!B45</f>
        <v>0</v>
      </c>
      <c r="C39" s="336"/>
      <c r="D39" s="336"/>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c r="AI39"/>
      <c r="AJ39"/>
      <c r="AK39"/>
      <c r="AL39"/>
      <c r="AM39"/>
      <c r="AN39"/>
      <c r="AO39"/>
      <c r="AP39"/>
      <c r="AQ39"/>
      <c r="AR39"/>
      <c r="AS39"/>
      <c r="AT39"/>
      <c r="AU39"/>
      <c r="AV39"/>
    </row>
    <row r="40" spans="1:48" s="49" customFormat="1">
      <c r="A40" s="334" t="s">
        <v>94</v>
      </c>
      <c r="B40" s="335">
        <f>'Dev Budget'!B46</f>
        <v>0</v>
      </c>
      <c r="C40" s="336"/>
      <c r="D40" s="336"/>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c r="AI40"/>
      <c r="AJ40"/>
      <c r="AK40"/>
      <c r="AL40"/>
      <c r="AM40"/>
      <c r="AN40"/>
      <c r="AO40"/>
      <c r="AP40"/>
      <c r="AQ40"/>
      <c r="AR40"/>
      <c r="AS40"/>
      <c r="AT40"/>
      <c r="AU40"/>
      <c r="AV40"/>
    </row>
    <row r="41" spans="1:48" s="49" customFormat="1">
      <c r="A41" s="334" t="s">
        <v>96</v>
      </c>
      <c r="B41" s="335" t="e">
        <f ca="1">'Dev Budget'!B47</f>
        <v>#VALUE!</v>
      </c>
      <c r="C41" s="336"/>
      <c r="D41" s="336"/>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c r="AI41"/>
      <c r="AJ41"/>
      <c r="AK41"/>
      <c r="AL41"/>
      <c r="AM41"/>
      <c r="AN41"/>
      <c r="AO41"/>
      <c r="AP41"/>
      <c r="AQ41"/>
      <c r="AR41"/>
      <c r="AS41"/>
      <c r="AT41"/>
      <c r="AU41"/>
      <c r="AV41"/>
    </row>
    <row r="42" spans="1:48" s="197" customFormat="1" ht="14.65" thickBot="1">
      <c r="A42" s="338" t="s">
        <v>87</v>
      </c>
      <c r="B42" s="339" t="e">
        <f ca="1">'Dev Budget'!B48</f>
        <v>#VALUE!</v>
      </c>
      <c r="C42" s="340">
        <f>SUM(C37:C41)</f>
        <v>0</v>
      </c>
      <c r="D42" s="340">
        <f>SUM(D37:D41)</f>
        <v>0</v>
      </c>
      <c r="E42" s="339"/>
      <c r="F42" s="339">
        <f>SUM(F37:F41)</f>
        <v>0</v>
      </c>
      <c r="G42" s="339">
        <f t="shared" ref="G42:AG42" si="3">SUM(G37:G41)</f>
        <v>0</v>
      </c>
      <c r="H42" s="339">
        <f t="shared" si="3"/>
        <v>0</v>
      </c>
      <c r="I42" s="339">
        <f t="shared" si="3"/>
        <v>0</v>
      </c>
      <c r="J42" s="339">
        <f t="shared" si="3"/>
        <v>0</v>
      </c>
      <c r="K42" s="339">
        <f t="shared" si="3"/>
        <v>0</v>
      </c>
      <c r="L42" s="339">
        <f t="shared" si="3"/>
        <v>0</v>
      </c>
      <c r="M42" s="339">
        <f t="shared" si="3"/>
        <v>0</v>
      </c>
      <c r="N42" s="339">
        <f t="shared" si="3"/>
        <v>0</v>
      </c>
      <c r="O42" s="339">
        <f t="shared" si="3"/>
        <v>0</v>
      </c>
      <c r="P42" s="339">
        <f t="shared" si="3"/>
        <v>0</v>
      </c>
      <c r="Q42" s="339">
        <f t="shared" si="3"/>
        <v>0</v>
      </c>
      <c r="R42" s="339">
        <f t="shared" si="3"/>
        <v>0</v>
      </c>
      <c r="S42" s="339">
        <f t="shared" si="3"/>
        <v>0</v>
      </c>
      <c r="T42" s="339">
        <f t="shared" si="3"/>
        <v>0</v>
      </c>
      <c r="U42" s="339">
        <f t="shared" si="3"/>
        <v>0</v>
      </c>
      <c r="V42" s="339">
        <f t="shared" si="3"/>
        <v>0</v>
      </c>
      <c r="W42" s="339">
        <f t="shared" si="3"/>
        <v>0</v>
      </c>
      <c r="X42" s="339">
        <f t="shared" si="3"/>
        <v>0</v>
      </c>
      <c r="Y42" s="339">
        <f t="shared" si="3"/>
        <v>0</v>
      </c>
      <c r="Z42" s="339">
        <f t="shared" si="3"/>
        <v>0</v>
      </c>
      <c r="AA42" s="339">
        <f t="shared" si="3"/>
        <v>0</v>
      </c>
      <c r="AB42" s="339">
        <f t="shared" si="3"/>
        <v>0</v>
      </c>
      <c r="AC42" s="339">
        <f t="shared" si="3"/>
        <v>0</v>
      </c>
      <c r="AD42" s="339">
        <f t="shared" si="3"/>
        <v>0</v>
      </c>
      <c r="AE42" s="339">
        <f t="shared" si="3"/>
        <v>0</v>
      </c>
      <c r="AF42" s="339">
        <f t="shared" si="3"/>
        <v>0</v>
      </c>
      <c r="AG42" s="339">
        <f t="shared" si="3"/>
        <v>0</v>
      </c>
      <c r="AH42" s="192"/>
      <c r="AI42" s="192"/>
      <c r="AJ42" s="192"/>
      <c r="AK42" s="192"/>
      <c r="AL42" s="192"/>
      <c r="AM42" s="192"/>
      <c r="AN42" s="192"/>
      <c r="AO42" s="192"/>
      <c r="AP42" s="192"/>
      <c r="AQ42" s="192"/>
      <c r="AR42" s="192"/>
      <c r="AS42" s="192"/>
      <c r="AT42" s="192"/>
      <c r="AU42" s="192"/>
      <c r="AV42" s="192"/>
    </row>
    <row r="43" spans="1:48" s="49" customFormat="1">
      <c r="A43" s="333"/>
      <c r="B43" s="335"/>
      <c r="C43" s="335"/>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row>
    <row r="44" spans="1:48" s="49" customFormat="1">
      <c r="A44" s="333" t="s">
        <v>98</v>
      </c>
      <c r="B44" s="335"/>
      <c r="C44" s="335"/>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row>
    <row r="45" spans="1:48" s="49" customFormat="1">
      <c r="A45" s="334" t="s">
        <v>99</v>
      </c>
      <c r="B45" s="335">
        <f>'Dev Budget'!B51</f>
        <v>0</v>
      </c>
      <c r="C45" s="335"/>
      <c r="D45" s="342"/>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c r="AI45"/>
      <c r="AJ45"/>
      <c r="AK45"/>
      <c r="AL45"/>
      <c r="AM45"/>
      <c r="AN45"/>
      <c r="AO45"/>
      <c r="AP45"/>
      <c r="AQ45"/>
      <c r="AR45"/>
      <c r="AS45"/>
      <c r="AT45"/>
      <c r="AU45"/>
      <c r="AV45"/>
    </row>
    <row r="46" spans="1:48" s="49" customFormat="1">
      <c r="A46" s="346" t="s">
        <v>101</v>
      </c>
      <c r="B46" s="335" t="e">
        <f ca="1">'Dev Budget'!B52</f>
        <v>#VALUE!</v>
      </c>
      <c r="C46" s="336"/>
      <c r="D46" s="336"/>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c r="AI46"/>
      <c r="AJ46"/>
      <c r="AK46"/>
      <c r="AL46"/>
      <c r="AM46"/>
      <c r="AN46"/>
      <c r="AO46"/>
      <c r="AP46"/>
      <c r="AQ46"/>
      <c r="AR46"/>
      <c r="AS46"/>
      <c r="AT46"/>
      <c r="AU46"/>
      <c r="AV46"/>
    </row>
    <row r="47" spans="1:48" s="49" customFormat="1">
      <c r="A47" s="334" t="s">
        <v>102</v>
      </c>
      <c r="B47" s="335">
        <f>'Dev Budget'!B53</f>
        <v>0</v>
      </c>
      <c r="C47" s="335"/>
      <c r="D47" s="342"/>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c r="AI47"/>
      <c r="AJ47"/>
      <c r="AK47"/>
      <c r="AL47"/>
      <c r="AM47"/>
      <c r="AN47"/>
      <c r="AO47"/>
      <c r="AP47"/>
      <c r="AQ47"/>
      <c r="AR47"/>
      <c r="AS47"/>
      <c r="AT47"/>
      <c r="AU47"/>
      <c r="AV47"/>
    </row>
    <row r="48" spans="1:48" s="49" customFormat="1">
      <c r="A48" s="334" t="s">
        <v>103</v>
      </c>
      <c r="B48" s="335">
        <f>'Dev Budget'!B54</f>
        <v>0</v>
      </c>
      <c r="C48" s="336"/>
      <c r="D48" s="336"/>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c r="AI48"/>
      <c r="AJ48"/>
      <c r="AK48"/>
      <c r="AL48"/>
      <c r="AM48"/>
      <c r="AN48"/>
      <c r="AO48"/>
      <c r="AP48"/>
      <c r="AQ48"/>
      <c r="AR48"/>
      <c r="AS48"/>
      <c r="AT48"/>
      <c r="AU48"/>
      <c r="AV48"/>
    </row>
    <row r="49" spans="1:48" s="49" customFormat="1">
      <c r="A49" s="334" t="s">
        <v>104</v>
      </c>
      <c r="B49" s="335">
        <f>'Dev Budget'!B55</f>
        <v>0</v>
      </c>
      <c r="C49" s="335"/>
      <c r="D49" s="342"/>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c r="AI49"/>
      <c r="AJ49"/>
      <c r="AK49"/>
      <c r="AL49"/>
      <c r="AM49"/>
      <c r="AN49"/>
      <c r="AO49"/>
      <c r="AP49"/>
      <c r="AQ49"/>
      <c r="AR49"/>
      <c r="AS49"/>
      <c r="AT49"/>
      <c r="AU49"/>
      <c r="AV49"/>
    </row>
    <row r="50" spans="1:48" s="49" customFormat="1">
      <c r="A50" s="334" t="s">
        <v>105</v>
      </c>
      <c r="B50" s="335">
        <f>'Dev Budget'!B56</f>
        <v>0</v>
      </c>
      <c r="C50" s="335"/>
      <c r="D50" s="342"/>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c r="AI50"/>
      <c r="AJ50"/>
      <c r="AK50"/>
      <c r="AL50"/>
      <c r="AM50"/>
      <c r="AN50"/>
      <c r="AO50"/>
      <c r="AP50"/>
      <c r="AQ50"/>
      <c r="AR50"/>
      <c r="AS50"/>
      <c r="AT50"/>
      <c r="AU50"/>
      <c r="AV50"/>
    </row>
    <row r="51" spans="1:48" s="49" customFormat="1">
      <c r="A51" s="334" t="s">
        <v>106</v>
      </c>
      <c r="B51" s="335">
        <f>'Dev Budget'!B57</f>
        <v>0</v>
      </c>
      <c r="C51" s="335"/>
      <c r="D51" s="342"/>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c r="AI51"/>
      <c r="AJ51"/>
      <c r="AK51"/>
      <c r="AL51"/>
      <c r="AM51"/>
      <c r="AN51"/>
      <c r="AO51"/>
      <c r="AP51"/>
      <c r="AQ51"/>
      <c r="AR51"/>
      <c r="AS51"/>
      <c r="AT51"/>
      <c r="AU51"/>
      <c r="AV51"/>
    </row>
    <row r="52" spans="1:48" s="49" customFormat="1">
      <c r="A52" s="334" t="s">
        <v>107</v>
      </c>
      <c r="B52" s="335" t="e">
        <f ca="1">'Dev Budget'!B58</f>
        <v>#VALUE!</v>
      </c>
      <c r="C52" s="335"/>
      <c r="D52" s="342"/>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c r="AI52"/>
      <c r="AJ52"/>
      <c r="AK52"/>
      <c r="AL52"/>
      <c r="AM52"/>
      <c r="AN52"/>
      <c r="AO52"/>
      <c r="AP52"/>
      <c r="AQ52"/>
      <c r="AR52"/>
      <c r="AS52"/>
      <c r="AT52"/>
      <c r="AU52"/>
      <c r="AV52"/>
    </row>
    <row r="53" spans="1:48" s="49" customFormat="1">
      <c r="A53" s="334" t="s">
        <v>109</v>
      </c>
      <c r="B53" s="335">
        <f>'Dev Budget'!B59</f>
        <v>0</v>
      </c>
      <c r="C53" s="336"/>
      <c r="D53" s="336"/>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c r="AI53"/>
      <c r="AJ53"/>
      <c r="AK53"/>
      <c r="AL53"/>
      <c r="AM53"/>
      <c r="AN53"/>
      <c r="AO53"/>
      <c r="AP53"/>
      <c r="AQ53"/>
      <c r="AR53"/>
      <c r="AS53"/>
      <c r="AT53"/>
      <c r="AU53"/>
      <c r="AV53"/>
    </row>
    <row r="54" spans="1:48" s="49" customFormat="1">
      <c r="A54" s="334" t="s">
        <v>110</v>
      </c>
      <c r="B54" s="335">
        <f>'Dev Budget'!B60</f>
        <v>0</v>
      </c>
      <c r="C54" s="336"/>
      <c r="D54" s="336"/>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c r="AI54"/>
      <c r="AJ54"/>
      <c r="AK54"/>
      <c r="AL54"/>
      <c r="AM54"/>
      <c r="AN54"/>
      <c r="AO54"/>
      <c r="AP54"/>
      <c r="AQ54"/>
      <c r="AR54"/>
      <c r="AS54"/>
      <c r="AT54"/>
      <c r="AU54"/>
      <c r="AV54"/>
    </row>
    <row r="55" spans="1:48" s="49" customFormat="1">
      <c r="A55" s="334" t="s">
        <v>111</v>
      </c>
      <c r="B55" s="335">
        <f>'Dev Budget'!B61</f>
        <v>0</v>
      </c>
      <c r="C55" s="336"/>
      <c r="D55" s="336"/>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c r="AI55"/>
      <c r="AJ55"/>
      <c r="AK55"/>
      <c r="AL55"/>
      <c r="AM55"/>
      <c r="AN55"/>
      <c r="AO55"/>
      <c r="AP55"/>
      <c r="AQ55"/>
      <c r="AR55"/>
      <c r="AS55"/>
      <c r="AT55"/>
      <c r="AU55"/>
      <c r="AV55"/>
    </row>
    <row r="56" spans="1:48" s="197" customFormat="1" ht="14.65" thickBot="1">
      <c r="A56" s="338" t="s">
        <v>87</v>
      </c>
      <c r="B56" s="339" t="e">
        <f ca="1">'Dev Budget'!B62</f>
        <v>#VALUE!</v>
      </c>
      <c r="C56" s="340">
        <f>SUM(C45:C55)</f>
        <v>0</v>
      </c>
      <c r="D56" s="340">
        <f>SUM(D45:D55)</f>
        <v>0</v>
      </c>
      <c r="E56" s="339"/>
      <c r="F56" s="339">
        <f>SUM(F45:F55)</f>
        <v>0</v>
      </c>
      <c r="G56" s="339">
        <f t="shared" ref="G56:AG56" si="4">SUM(G45:G55)</f>
        <v>0</v>
      </c>
      <c r="H56" s="339">
        <f t="shared" si="4"/>
        <v>0</v>
      </c>
      <c r="I56" s="339">
        <f t="shared" si="4"/>
        <v>0</v>
      </c>
      <c r="J56" s="339">
        <f t="shared" si="4"/>
        <v>0</v>
      </c>
      <c r="K56" s="339">
        <f t="shared" si="4"/>
        <v>0</v>
      </c>
      <c r="L56" s="339">
        <f t="shared" si="4"/>
        <v>0</v>
      </c>
      <c r="M56" s="339">
        <f t="shared" si="4"/>
        <v>0</v>
      </c>
      <c r="N56" s="339">
        <f t="shared" si="4"/>
        <v>0</v>
      </c>
      <c r="O56" s="339">
        <f t="shared" si="4"/>
        <v>0</v>
      </c>
      <c r="P56" s="339">
        <f t="shared" si="4"/>
        <v>0</v>
      </c>
      <c r="Q56" s="339">
        <f t="shared" si="4"/>
        <v>0</v>
      </c>
      <c r="R56" s="339">
        <f t="shared" si="4"/>
        <v>0</v>
      </c>
      <c r="S56" s="339">
        <f t="shared" si="4"/>
        <v>0</v>
      </c>
      <c r="T56" s="339">
        <f t="shared" si="4"/>
        <v>0</v>
      </c>
      <c r="U56" s="339">
        <f t="shared" si="4"/>
        <v>0</v>
      </c>
      <c r="V56" s="339">
        <f t="shared" si="4"/>
        <v>0</v>
      </c>
      <c r="W56" s="339">
        <f t="shared" si="4"/>
        <v>0</v>
      </c>
      <c r="X56" s="339">
        <f t="shared" si="4"/>
        <v>0</v>
      </c>
      <c r="Y56" s="339">
        <f t="shared" si="4"/>
        <v>0</v>
      </c>
      <c r="Z56" s="339">
        <f t="shared" si="4"/>
        <v>0</v>
      </c>
      <c r="AA56" s="339">
        <f t="shared" si="4"/>
        <v>0</v>
      </c>
      <c r="AB56" s="339">
        <f t="shared" si="4"/>
        <v>0</v>
      </c>
      <c r="AC56" s="339">
        <f t="shared" si="4"/>
        <v>0</v>
      </c>
      <c r="AD56" s="339">
        <f t="shared" si="4"/>
        <v>0</v>
      </c>
      <c r="AE56" s="339">
        <f t="shared" si="4"/>
        <v>0</v>
      </c>
      <c r="AF56" s="339">
        <f t="shared" si="4"/>
        <v>0</v>
      </c>
      <c r="AG56" s="339">
        <f t="shared" si="4"/>
        <v>0</v>
      </c>
      <c r="AH56" s="192"/>
      <c r="AI56" s="192"/>
      <c r="AJ56" s="192"/>
      <c r="AK56" s="192"/>
      <c r="AL56" s="192"/>
      <c r="AM56" s="192"/>
      <c r="AN56" s="192"/>
      <c r="AO56" s="192"/>
      <c r="AP56" s="192"/>
      <c r="AQ56" s="192"/>
      <c r="AR56" s="192"/>
      <c r="AS56" s="192"/>
      <c r="AT56" s="192"/>
      <c r="AU56" s="192"/>
      <c r="AV56" s="192"/>
    </row>
    <row r="57" spans="1:48" s="49" customFormat="1">
      <c r="A57" s="333"/>
      <c r="B57" s="335"/>
      <c r="C57" s="335"/>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row>
    <row r="58" spans="1:48" s="49" customFormat="1">
      <c r="A58" s="333" t="s">
        <v>112</v>
      </c>
      <c r="B58" s="335"/>
      <c r="C58" s="335"/>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1:48" s="49" customFormat="1">
      <c r="A59" s="645" t="s">
        <v>113</v>
      </c>
      <c r="B59" s="335"/>
      <c r="C59" s="335"/>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1:48" s="49" customFormat="1">
      <c r="A60" s="334" t="s">
        <v>114</v>
      </c>
      <c r="B60" s="335">
        <f>'Dev Budget'!B66</f>
        <v>0</v>
      </c>
      <c r="C60" s="335"/>
      <c r="D60" s="342"/>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c r="AI60"/>
      <c r="AJ60"/>
      <c r="AK60"/>
      <c r="AL60"/>
      <c r="AM60"/>
      <c r="AN60"/>
      <c r="AO60"/>
      <c r="AP60"/>
      <c r="AQ60"/>
      <c r="AR60"/>
      <c r="AS60"/>
      <c r="AT60"/>
      <c r="AU60"/>
      <c r="AV60"/>
    </row>
    <row r="61" spans="1:48" s="197" customFormat="1" ht="14.65" thickBot="1">
      <c r="A61" s="338" t="s">
        <v>87</v>
      </c>
      <c r="B61" s="339">
        <f ca="1">'Dev Budget'!B67</f>
        <v>0</v>
      </c>
      <c r="C61" s="339"/>
      <c r="D61" s="343"/>
      <c r="E61" s="339"/>
      <c r="F61" s="339">
        <f>F60</f>
        <v>0</v>
      </c>
      <c r="G61" s="339">
        <f t="shared" ref="G61:AG61" si="5">G60</f>
        <v>0</v>
      </c>
      <c r="H61" s="339">
        <f t="shared" si="5"/>
        <v>0</v>
      </c>
      <c r="I61" s="339">
        <f t="shared" si="5"/>
        <v>0</v>
      </c>
      <c r="J61" s="339">
        <f t="shared" si="5"/>
        <v>0</v>
      </c>
      <c r="K61" s="339">
        <f t="shared" si="5"/>
        <v>0</v>
      </c>
      <c r="L61" s="339">
        <f t="shared" si="5"/>
        <v>0</v>
      </c>
      <c r="M61" s="339">
        <f t="shared" si="5"/>
        <v>0</v>
      </c>
      <c r="N61" s="339">
        <f t="shared" si="5"/>
        <v>0</v>
      </c>
      <c r="O61" s="339">
        <f t="shared" si="5"/>
        <v>0</v>
      </c>
      <c r="P61" s="339">
        <f t="shared" si="5"/>
        <v>0</v>
      </c>
      <c r="Q61" s="339">
        <f t="shared" si="5"/>
        <v>0</v>
      </c>
      <c r="R61" s="339">
        <f t="shared" si="5"/>
        <v>0</v>
      </c>
      <c r="S61" s="339">
        <f t="shared" si="5"/>
        <v>0</v>
      </c>
      <c r="T61" s="339">
        <f t="shared" si="5"/>
        <v>0</v>
      </c>
      <c r="U61" s="339">
        <f t="shared" si="5"/>
        <v>0</v>
      </c>
      <c r="V61" s="339">
        <f t="shared" si="5"/>
        <v>0</v>
      </c>
      <c r="W61" s="339">
        <f t="shared" si="5"/>
        <v>0</v>
      </c>
      <c r="X61" s="339">
        <f t="shared" si="5"/>
        <v>0</v>
      </c>
      <c r="Y61" s="339">
        <f t="shared" si="5"/>
        <v>0</v>
      </c>
      <c r="Z61" s="339">
        <f t="shared" si="5"/>
        <v>0</v>
      </c>
      <c r="AA61" s="339">
        <f t="shared" si="5"/>
        <v>0</v>
      </c>
      <c r="AB61" s="339">
        <f t="shared" si="5"/>
        <v>0</v>
      </c>
      <c r="AC61" s="339">
        <f t="shared" si="5"/>
        <v>0</v>
      </c>
      <c r="AD61" s="339">
        <f t="shared" si="5"/>
        <v>0</v>
      </c>
      <c r="AE61" s="339">
        <f t="shared" si="5"/>
        <v>0</v>
      </c>
      <c r="AF61" s="339">
        <f t="shared" si="5"/>
        <v>0</v>
      </c>
      <c r="AG61" s="339">
        <f t="shared" si="5"/>
        <v>0</v>
      </c>
      <c r="AH61" s="192"/>
      <c r="AI61" s="192"/>
      <c r="AJ61" s="192"/>
      <c r="AK61" s="192"/>
      <c r="AL61" s="192"/>
      <c r="AM61" s="192"/>
      <c r="AN61" s="192"/>
      <c r="AO61" s="192"/>
      <c r="AP61" s="192"/>
      <c r="AQ61" s="192"/>
      <c r="AR61" s="192"/>
      <c r="AS61" s="192"/>
      <c r="AT61" s="192"/>
      <c r="AU61" s="192"/>
      <c r="AV61" s="192"/>
    </row>
    <row r="62" spans="1:48" s="49" customFormat="1">
      <c r="A62"/>
      <c r="B62" s="335"/>
      <c r="C62" s="335"/>
      <c r="D62"/>
      <c r="E62"/>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c r="AI62"/>
      <c r="AJ62"/>
      <c r="AK62"/>
      <c r="AL62"/>
      <c r="AM62"/>
      <c r="AN62"/>
      <c r="AO62"/>
      <c r="AP62"/>
      <c r="AQ62"/>
      <c r="AR62"/>
      <c r="AS62"/>
      <c r="AT62"/>
      <c r="AU62"/>
      <c r="AV62"/>
    </row>
    <row r="63" spans="1:48" s="49" customFormat="1">
      <c r="A63" s="334" t="s">
        <v>116</v>
      </c>
      <c r="B63" s="335" t="e">
        <f ca="1">'Dev Budget'!B69</f>
        <v>#VALUE!</v>
      </c>
      <c r="C63" s="335"/>
      <c r="D63"/>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c r="AI63"/>
      <c r="AJ63"/>
      <c r="AK63"/>
      <c r="AL63"/>
      <c r="AM63"/>
      <c r="AN63"/>
      <c r="AO63"/>
      <c r="AP63"/>
      <c r="AQ63"/>
      <c r="AR63"/>
      <c r="AS63"/>
      <c r="AT63"/>
      <c r="AU63"/>
      <c r="AV63"/>
    </row>
    <row r="64" spans="1:48" s="49" customFormat="1">
      <c r="A64" s="333"/>
      <c r="B64" s="335"/>
      <c r="C64" s="335"/>
      <c r="D64"/>
      <c r="E64"/>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c r="AI64"/>
      <c r="AJ64"/>
      <c r="AK64"/>
      <c r="AL64"/>
      <c r="AM64"/>
      <c r="AN64"/>
      <c r="AO64"/>
      <c r="AP64"/>
      <c r="AQ64"/>
      <c r="AR64"/>
      <c r="AS64"/>
      <c r="AT64"/>
      <c r="AU64"/>
      <c r="AV64"/>
    </row>
    <row r="65" spans="1:48" s="197" customFormat="1" ht="14.65" thickBot="1">
      <c r="A65" s="338" t="s">
        <v>118</v>
      </c>
      <c r="B65" s="339" t="e">
        <f ca="1">'Dev Budget'!B71</f>
        <v>#VALUE!</v>
      </c>
      <c r="C65" s="347">
        <f>C63+C61+C56+C42+C34</f>
        <v>0</v>
      </c>
      <c r="D65" s="347">
        <f>D63+D61+D56+D42+D34</f>
        <v>0</v>
      </c>
      <c r="E65" s="339"/>
      <c r="F65" s="339">
        <f>F61+F56+F42+F34+F63</f>
        <v>0</v>
      </c>
      <c r="G65" s="339">
        <f t="shared" ref="G65:AG65" si="6">G61+G56+G42+G34+G63</f>
        <v>0</v>
      </c>
      <c r="H65" s="339">
        <f t="shared" si="6"/>
        <v>0</v>
      </c>
      <c r="I65" s="339">
        <f t="shared" si="6"/>
        <v>0</v>
      </c>
      <c r="J65" s="339">
        <f t="shared" si="6"/>
        <v>0</v>
      </c>
      <c r="K65" s="339">
        <f t="shared" si="6"/>
        <v>0</v>
      </c>
      <c r="L65" s="339">
        <f t="shared" si="6"/>
        <v>0</v>
      </c>
      <c r="M65" s="339">
        <f t="shared" si="6"/>
        <v>0</v>
      </c>
      <c r="N65" s="339">
        <f t="shared" si="6"/>
        <v>0</v>
      </c>
      <c r="O65" s="339">
        <f t="shared" si="6"/>
        <v>0</v>
      </c>
      <c r="P65" s="339">
        <f t="shared" si="6"/>
        <v>0</v>
      </c>
      <c r="Q65" s="339">
        <f t="shared" si="6"/>
        <v>0</v>
      </c>
      <c r="R65" s="339">
        <f t="shared" si="6"/>
        <v>0</v>
      </c>
      <c r="S65" s="339">
        <f t="shared" si="6"/>
        <v>0</v>
      </c>
      <c r="T65" s="339">
        <f t="shared" si="6"/>
        <v>0</v>
      </c>
      <c r="U65" s="339">
        <f t="shared" si="6"/>
        <v>0</v>
      </c>
      <c r="V65" s="339">
        <f t="shared" si="6"/>
        <v>0</v>
      </c>
      <c r="W65" s="339">
        <f t="shared" si="6"/>
        <v>0</v>
      </c>
      <c r="X65" s="339">
        <f t="shared" si="6"/>
        <v>0</v>
      </c>
      <c r="Y65" s="339">
        <f t="shared" si="6"/>
        <v>0</v>
      </c>
      <c r="Z65" s="339">
        <f t="shared" si="6"/>
        <v>0</v>
      </c>
      <c r="AA65" s="339">
        <f t="shared" si="6"/>
        <v>0</v>
      </c>
      <c r="AB65" s="339">
        <f t="shared" si="6"/>
        <v>0</v>
      </c>
      <c r="AC65" s="339">
        <f t="shared" si="6"/>
        <v>0</v>
      </c>
      <c r="AD65" s="339">
        <f t="shared" si="6"/>
        <v>0</v>
      </c>
      <c r="AE65" s="339">
        <f t="shared" si="6"/>
        <v>0</v>
      </c>
      <c r="AF65" s="339">
        <f t="shared" si="6"/>
        <v>0</v>
      </c>
      <c r="AG65" s="339">
        <f t="shared" si="6"/>
        <v>0</v>
      </c>
      <c r="AH65" s="192"/>
      <c r="AI65" s="192"/>
      <c r="AJ65" s="192"/>
      <c r="AK65" s="192"/>
      <c r="AL65" s="192"/>
      <c r="AM65" s="192"/>
      <c r="AN65" s="192"/>
      <c r="AO65" s="192"/>
      <c r="AP65" s="192"/>
      <c r="AQ65" s="192"/>
      <c r="AR65" s="192"/>
      <c r="AS65" s="192"/>
      <c r="AT65" s="192"/>
      <c r="AU65" s="192"/>
      <c r="AV65" s="192"/>
    </row>
    <row r="66" spans="1:48" s="49" customFormat="1">
      <c r="A66"/>
      <c r="B66" s="335"/>
      <c r="C66" s="335"/>
      <c r="D66"/>
      <c r="E66"/>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c r="AI66"/>
      <c r="AJ66"/>
      <c r="AK66"/>
      <c r="AL66"/>
      <c r="AM66"/>
      <c r="AN66"/>
      <c r="AO66"/>
      <c r="AP66"/>
      <c r="AQ66"/>
      <c r="AR66"/>
      <c r="AS66"/>
      <c r="AT66"/>
      <c r="AU66"/>
      <c r="AV66"/>
    </row>
    <row r="67" spans="1:48" s="197" customFormat="1" ht="14.65" thickBot="1">
      <c r="A67" s="348" t="s">
        <v>53</v>
      </c>
      <c r="B67" s="339" t="e">
        <f ca="1">'Dev Budget'!B73</f>
        <v>#VALUE!</v>
      </c>
      <c r="C67" s="339"/>
      <c r="D67" s="192"/>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192"/>
      <c r="AI67" s="192"/>
      <c r="AJ67" s="192"/>
      <c r="AK67" s="192"/>
      <c r="AL67" s="192"/>
      <c r="AM67" s="192"/>
      <c r="AN67" s="192"/>
      <c r="AO67" s="192"/>
      <c r="AP67" s="192"/>
      <c r="AQ67" s="192"/>
      <c r="AR67" s="192"/>
      <c r="AS67" s="192"/>
      <c r="AT67" s="192"/>
      <c r="AU67" s="192"/>
      <c r="AV67" s="192"/>
    </row>
    <row r="68" spans="1:48" s="49" customFormat="1">
      <c r="A68" s="349"/>
      <c r="B68" s="335"/>
      <c r="C68" s="335"/>
      <c r="D68"/>
      <c r="E68"/>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c r="AI68"/>
      <c r="AJ68"/>
      <c r="AK68"/>
      <c r="AL68"/>
      <c r="AM68"/>
      <c r="AN68"/>
      <c r="AO68"/>
      <c r="AP68"/>
      <c r="AQ68"/>
      <c r="AR68"/>
      <c r="AS68"/>
      <c r="AT68"/>
      <c r="AU68"/>
      <c r="AV68"/>
    </row>
    <row r="69" spans="1:48" s="197" customFormat="1" ht="14.65" thickBot="1">
      <c r="A69" s="348" t="s">
        <v>119</v>
      </c>
      <c r="B69" s="339" t="e">
        <f ca="1">'Dev Budget'!B75</f>
        <v>#VALUE!</v>
      </c>
      <c r="C69" s="339">
        <f>SUM(C67,C65,C16,C6)</f>
        <v>0</v>
      </c>
      <c r="D69" s="339">
        <f>SUM(D67,D65,D16,D6)</f>
        <v>0</v>
      </c>
      <c r="E69" s="339"/>
      <c r="F69" s="339">
        <f>F65+F67+F16+F6</f>
        <v>0</v>
      </c>
      <c r="G69" s="339">
        <f t="shared" ref="G69:AG69" si="7">G65+G67+G16+G6</f>
        <v>0</v>
      </c>
      <c r="H69" s="339">
        <f t="shared" si="7"/>
        <v>0</v>
      </c>
      <c r="I69" s="339">
        <f t="shared" si="7"/>
        <v>0</v>
      </c>
      <c r="J69" s="339">
        <f t="shared" si="7"/>
        <v>0</v>
      </c>
      <c r="K69" s="339">
        <f t="shared" si="7"/>
        <v>0</v>
      </c>
      <c r="L69" s="339">
        <f t="shared" si="7"/>
        <v>0</v>
      </c>
      <c r="M69" s="339">
        <f t="shared" si="7"/>
        <v>0</v>
      </c>
      <c r="N69" s="339">
        <f t="shared" si="7"/>
        <v>0</v>
      </c>
      <c r="O69" s="339">
        <f t="shared" si="7"/>
        <v>0</v>
      </c>
      <c r="P69" s="339">
        <f t="shared" si="7"/>
        <v>0</v>
      </c>
      <c r="Q69" s="339">
        <f t="shared" si="7"/>
        <v>0</v>
      </c>
      <c r="R69" s="339">
        <f t="shared" si="7"/>
        <v>0</v>
      </c>
      <c r="S69" s="339">
        <f t="shared" si="7"/>
        <v>0</v>
      </c>
      <c r="T69" s="339">
        <f t="shared" si="7"/>
        <v>0</v>
      </c>
      <c r="U69" s="339">
        <f t="shared" si="7"/>
        <v>0</v>
      </c>
      <c r="V69" s="339">
        <f t="shared" si="7"/>
        <v>0</v>
      </c>
      <c r="W69" s="339">
        <f t="shared" si="7"/>
        <v>0</v>
      </c>
      <c r="X69" s="339">
        <f t="shared" si="7"/>
        <v>0</v>
      </c>
      <c r="Y69" s="339">
        <f t="shared" si="7"/>
        <v>0</v>
      </c>
      <c r="Z69" s="339">
        <f t="shared" si="7"/>
        <v>0</v>
      </c>
      <c r="AA69" s="339">
        <f t="shared" si="7"/>
        <v>0</v>
      </c>
      <c r="AB69" s="339">
        <f t="shared" si="7"/>
        <v>0</v>
      </c>
      <c r="AC69" s="339">
        <f t="shared" si="7"/>
        <v>0</v>
      </c>
      <c r="AD69" s="339">
        <f t="shared" si="7"/>
        <v>0</v>
      </c>
      <c r="AE69" s="339">
        <f t="shared" si="7"/>
        <v>0</v>
      </c>
      <c r="AF69" s="339">
        <f t="shared" si="7"/>
        <v>0</v>
      </c>
      <c r="AG69" s="339">
        <f t="shared" si="7"/>
        <v>0</v>
      </c>
      <c r="AH69" s="192"/>
      <c r="AI69" s="192"/>
      <c r="AJ69" s="192"/>
      <c r="AK69" s="192"/>
      <c r="AL69" s="192"/>
      <c r="AM69" s="192"/>
      <c r="AN69" s="192"/>
      <c r="AO69" s="192"/>
      <c r="AP69" s="192"/>
      <c r="AQ69" s="192"/>
      <c r="AR69" s="192"/>
      <c r="AS69" s="192"/>
      <c r="AT69" s="192"/>
      <c r="AU69" s="192"/>
      <c r="AV69" s="192"/>
    </row>
    <row r="70" spans="1:48" s="49" customFormat="1">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1:48" s="49" customFormat="1">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row>
    <row r="72" spans="1:48" s="49" customFormat="1" ht="13.5">
      <c r="A72" s="58"/>
    </row>
    <row r="73" spans="1:48" s="49" customFormat="1" ht="13.9">
      <c r="A73" s="59" t="s">
        <v>385</v>
      </c>
    </row>
    <row r="74" spans="1:48" s="49" customFormat="1" ht="13.5">
      <c r="A74" s="58" t="s">
        <v>386</v>
      </c>
      <c r="F74" s="195">
        <f>C69</f>
        <v>0</v>
      </c>
      <c r="G74" s="199" t="e">
        <f ca="1">F77</f>
        <v>#VALUE!</v>
      </c>
      <c r="H74" s="199" t="e">
        <f t="shared" ref="H74:AG74" ca="1" si="8">G77</f>
        <v>#VALUE!</v>
      </c>
      <c r="I74" s="199" t="e">
        <f t="shared" ca="1" si="8"/>
        <v>#VALUE!</v>
      </c>
      <c r="J74" s="199" t="e">
        <f t="shared" ca="1" si="8"/>
        <v>#VALUE!</v>
      </c>
      <c r="K74" s="199" t="e">
        <f t="shared" ca="1" si="8"/>
        <v>#VALUE!</v>
      </c>
      <c r="L74" s="199" t="e">
        <f t="shared" ca="1" si="8"/>
        <v>#VALUE!</v>
      </c>
      <c r="M74" s="199" t="e">
        <f t="shared" ca="1" si="8"/>
        <v>#VALUE!</v>
      </c>
      <c r="N74" s="199" t="e">
        <f t="shared" ca="1" si="8"/>
        <v>#VALUE!</v>
      </c>
      <c r="O74" s="199" t="e">
        <f t="shared" ca="1" si="8"/>
        <v>#VALUE!</v>
      </c>
      <c r="P74" s="199" t="e">
        <f t="shared" ca="1" si="8"/>
        <v>#VALUE!</v>
      </c>
      <c r="Q74" s="199" t="e">
        <f t="shared" ca="1" si="8"/>
        <v>#VALUE!</v>
      </c>
      <c r="R74" s="199" t="e">
        <f t="shared" ca="1" si="8"/>
        <v>#VALUE!</v>
      </c>
      <c r="S74" s="199" t="e">
        <f t="shared" ca="1" si="8"/>
        <v>#VALUE!</v>
      </c>
      <c r="T74" s="199" t="e">
        <f t="shared" ca="1" si="8"/>
        <v>#VALUE!</v>
      </c>
      <c r="U74" s="199" t="e">
        <f t="shared" ca="1" si="8"/>
        <v>#VALUE!</v>
      </c>
      <c r="V74" s="199" t="e">
        <f t="shared" ca="1" si="8"/>
        <v>#VALUE!</v>
      </c>
      <c r="W74" s="199" t="e">
        <f t="shared" ca="1" si="8"/>
        <v>#VALUE!</v>
      </c>
      <c r="X74" s="199" t="e">
        <f t="shared" ca="1" si="8"/>
        <v>#VALUE!</v>
      </c>
      <c r="Y74" s="199" t="e">
        <f t="shared" ca="1" si="8"/>
        <v>#VALUE!</v>
      </c>
      <c r="Z74" s="199" t="e">
        <f t="shared" ca="1" si="8"/>
        <v>#VALUE!</v>
      </c>
      <c r="AA74" s="199" t="e">
        <f t="shared" ca="1" si="8"/>
        <v>#VALUE!</v>
      </c>
      <c r="AB74" s="199" t="e">
        <f t="shared" ca="1" si="8"/>
        <v>#VALUE!</v>
      </c>
      <c r="AC74" s="199" t="e">
        <f t="shared" ca="1" si="8"/>
        <v>#VALUE!</v>
      </c>
      <c r="AD74" s="199" t="e">
        <f t="shared" ca="1" si="8"/>
        <v>#VALUE!</v>
      </c>
      <c r="AE74" s="199" t="e">
        <f t="shared" ca="1" si="8"/>
        <v>#VALUE!</v>
      </c>
      <c r="AF74" s="199" t="e">
        <f t="shared" ca="1" si="8"/>
        <v>#VALUE!</v>
      </c>
      <c r="AG74" s="199" t="e">
        <f t="shared" ca="1" si="8"/>
        <v>#VALUE!</v>
      </c>
    </row>
    <row r="75" spans="1:48" s="49" customFormat="1" ht="13.9">
      <c r="A75" s="58" t="s">
        <v>387</v>
      </c>
      <c r="C75" s="193" t="e">
        <f ca="1">'Dev Budget'!B79</f>
        <v>#VALUE!</v>
      </c>
      <c r="D75" s="193" t="s">
        <v>388</v>
      </c>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row>
    <row r="76" spans="1:48" s="49" customFormat="1" ht="13.9">
      <c r="A76" s="58" t="s">
        <v>389</v>
      </c>
      <c r="C76" s="193" t="e">
        <f ca="1">C75/(SUM($B$10:$B$15))</f>
        <v>#VALUE!</v>
      </c>
      <c r="D76" s="193" t="s">
        <v>390</v>
      </c>
      <c r="F76" s="195" t="e">
        <f ca="1">'Project Sellout'!C31</f>
        <v>#VALUE!</v>
      </c>
      <c r="G76" s="195" t="e">
        <f ca="1">'Project Sellout'!D31</f>
        <v>#VALUE!</v>
      </c>
      <c r="H76" s="195" t="e">
        <f ca="1">'Project Sellout'!E31</f>
        <v>#VALUE!</v>
      </c>
      <c r="I76" s="195" t="e">
        <f ca="1">'Project Sellout'!F31</f>
        <v>#VALUE!</v>
      </c>
      <c r="J76" s="195" t="e">
        <f ca="1">'Project Sellout'!G31</f>
        <v>#VALUE!</v>
      </c>
      <c r="K76" s="195" t="e">
        <f ca="1">'Project Sellout'!H31</f>
        <v>#VALUE!</v>
      </c>
      <c r="L76" s="195" t="e">
        <f ca="1">'Project Sellout'!I31</f>
        <v>#VALUE!</v>
      </c>
      <c r="M76" s="195" t="e">
        <f ca="1">'Project Sellout'!J31</f>
        <v>#VALUE!</v>
      </c>
      <c r="N76" s="195" t="e">
        <f ca="1">'Project Sellout'!K31</f>
        <v>#VALUE!</v>
      </c>
      <c r="O76" s="195" t="e">
        <f ca="1">'Project Sellout'!L31</f>
        <v>#VALUE!</v>
      </c>
      <c r="P76" s="195" t="e">
        <f ca="1">'Project Sellout'!M31</f>
        <v>#VALUE!</v>
      </c>
      <c r="Q76" s="195" t="e">
        <f ca="1">'Project Sellout'!N31</f>
        <v>#VALUE!</v>
      </c>
      <c r="R76" s="195" t="e">
        <f ca="1">'Project Sellout'!O31</f>
        <v>#VALUE!</v>
      </c>
      <c r="S76" s="195" t="e">
        <f ca="1">'Project Sellout'!P31</f>
        <v>#VALUE!</v>
      </c>
      <c r="T76" s="195" t="e">
        <f ca="1">'Project Sellout'!Q31</f>
        <v>#VALUE!</v>
      </c>
      <c r="U76" s="195" t="e">
        <f ca="1">'Project Sellout'!R31</f>
        <v>#VALUE!</v>
      </c>
      <c r="V76" s="195" t="e">
        <f ca="1">'Project Sellout'!S31</f>
        <v>#VALUE!</v>
      </c>
      <c r="W76" s="195" t="e">
        <f ca="1">'Project Sellout'!T31</f>
        <v>#VALUE!</v>
      </c>
      <c r="X76" s="195" t="e">
        <f ca="1">'Project Sellout'!U31</f>
        <v>#VALUE!</v>
      </c>
      <c r="Y76" s="195" t="e">
        <f ca="1">'Project Sellout'!V31</f>
        <v>#VALUE!</v>
      </c>
      <c r="Z76" s="195" t="e">
        <f ca="1">'Project Sellout'!W31</f>
        <v>#VALUE!</v>
      </c>
      <c r="AA76" s="195" t="e">
        <f ca="1">'Project Sellout'!X31</f>
        <v>#VALUE!</v>
      </c>
      <c r="AB76" s="195" t="e">
        <f ca="1">'Project Sellout'!Y31</f>
        <v>#VALUE!</v>
      </c>
      <c r="AC76" s="195" t="e">
        <f ca="1">'Project Sellout'!Z31</f>
        <v>#VALUE!</v>
      </c>
      <c r="AD76" s="195" t="e">
        <f ca="1">'Project Sellout'!AA31</f>
        <v>#VALUE!</v>
      </c>
      <c r="AE76" s="195" t="e">
        <f ca="1">'Project Sellout'!AB31</f>
        <v>#VALUE!</v>
      </c>
      <c r="AF76" s="195" t="e">
        <f ca="1">'Project Sellout'!AC31</f>
        <v>#VALUE!</v>
      </c>
      <c r="AG76" s="195" t="e">
        <f ca="1">'Project Sellout'!AD31</f>
        <v>#VALUE!</v>
      </c>
    </row>
    <row r="77" spans="1:48" s="197" customFormat="1" ht="13.9" thickBot="1">
      <c r="A77" s="200" t="s">
        <v>391</v>
      </c>
      <c r="F77" s="198" t="e">
        <f ca="1">F74+F75-F76</f>
        <v>#VALUE!</v>
      </c>
      <c r="G77" s="198" t="e">
        <f t="shared" ref="G77:AG77" ca="1" si="9">G74+G75-G76</f>
        <v>#VALUE!</v>
      </c>
      <c r="H77" s="198" t="e">
        <f t="shared" ca="1" si="9"/>
        <v>#VALUE!</v>
      </c>
      <c r="I77" s="198" t="e">
        <f t="shared" ca="1" si="9"/>
        <v>#VALUE!</v>
      </c>
      <c r="J77" s="198" t="e">
        <f t="shared" ca="1" si="9"/>
        <v>#VALUE!</v>
      </c>
      <c r="K77" s="198" t="e">
        <f t="shared" ca="1" si="9"/>
        <v>#VALUE!</v>
      </c>
      <c r="L77" s="198" t="e">
        <f t="shared" ca="1" si="9"/>
        <v>#VALUE!</v>
      </c>
      <c r="M77" s="198" t="e">
        <f t="shared" ca="1" si="9"/>
        <v>#VALUE!</v>
      </c>
      <c r="N77" s="198" t="e">
        <f t="shared" ca="1" si="9"/>
        <v>#VALUE!</v>
      </c>
      <c r="O77" s="198" t="e">
        <f t="shared" ca="1" si="9"/>
        <v>#VALUE!</v>
      </c>
      <c r="P77" s="198" t="e">
        <f t="shared" ca="1" si="9"/>
        <v>#VALUE!</v>
      </c>
      <c r="Q77" s="198" t="e">
        <f t="shared" ca="1" si="9"/>
        <v>#VALUE!</v>
      </c>
      <c r="R77" s="198" t="e">
        <f t="shared" ca="1" si="9"/>
        <v>#VALUE!</v>
      </c>
      <c r="S77" s="198" t="e">
        <f t="shared" ca="1" si="9"/>
        <v>#VALUE!</v>
      </c>
      <c r="T77" s="198" t="e">
        <f t="shared" ca="1" si="9"/>
        <v>#VALUE!</v>
      </c>
      <c r="U77" s="198" t="e">
        <f t="shared" ca="1" si="9"/>
        <v>#VALUE!</v>
      </c>
      <c r="V77" s="198" t="e">
        <f t="shared" ca="1" si="9"/>
        <v>#VALUE!</v>
      </c>
      <c r="W77" s="198" t="e">
        <f t="shared" ca="1" si="9"/>
        <v>#VALUE!</v>
      </c>
      <c r="X77" s="198" t="e">
        <f t="shared" ca="1" si="9"/>
        <v>#VALUE!</v>
      </c>
      <c r="Y77" s="198" t="e">
        <f t="shared" ca="1" si="9"/>
        <v>#VALUE!</v>
      </c>
      <c r="Z77" s="198" t="e">
        <f t="shared" ca="1" si="9"/>
        <v>#VALUE!</v>
      </c>
      <c r="AA77" s="198" t="e">
        <f t="shared" ca="1" si="9"/>
        <v>#VALUE!</v>
      </c>
      <c r="AB77" s="198" t="e">
        <f t="shared" ca="1" si="9"/>
        <v>#VALUE!</v>
      </c>
      <c r="AC77" s="198" t="e">
        <f t="shared" ca="1" si="9"/>
        <v>#VALUE!</v>
      </c>
      <c r="AD77" s="198" t="e">
        <f t="shared" ca="1" si="9"/>
        <v>#VALUE!</v>
      </c>
      <c r="AE77" s="198" t="e">
        <f t="shared" ca="1" si="9"/>
        <v>#VALUE!</v>
      </c>
      <c r="AF77" s="198" t="e">
        <f t="shared" ca="1" si="9"/>
        <v>#VALUE!</v>
      </c>
      <c r="AG77" s="198" t="e">
        <f t="shared" ca="1" si="9"/>
        <v>#VALUE!</v>
      </c>
    </row>
    <row r="78" spans="1:48" s="49" customFormat="1" ht="13.5">
      <c r="A78" s="58"/>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row>
    <row r="79" spans="1:48" s="49" customFormat="1" ht="13.9">
      <c r="A79" s="59" t="s">
        <v>392</v>
      </c>
    </row>
    <row r="80" spans="1:48" s="49" customFormat="1" ht="13.9">
      <c r="A80" s="58" t="s">
        <v>393</v>
      </c>
      <c r="C80" s="193" t="e">
        <f ca="1">'Dev Budget'!B80</f>
        <v>#VALUE!</v>
      </c>
      <c r="D80" s="193" t="s">
        <v>388</v>
      </c>
      <c r="F80" s="195">
        <v>0</v>
      </c>
      <c r="G80" s="199" t="e">
        <f ca="1">F82</f>
        <v>#VALUE!</v>
      </c>
      <c r="H80" s="199" t="e">
        <f t="shared" ref="H80:AG80" ca="1" si="10">G82</f>
        <v>#VALUE!</v>
      </c>
      <c r="I80" s="199" t="e">
        <f t="shared" ca="1" si="10"/>
        <v>#VALUE!</v>
      </c>
      <c r="J80" s="199" t="e">
        <f t="shared" ca="1" si="10"/>
        <v>#VALUE!</v>
      </c>
      <c r="K80" s="199" t="e">
        <f t="shared" ca="1" si="10"/>
        <v>#VALUE!</v>
      </c>
      <c r="L80" s="199" t="e">
        <f t="shared" ca="1" si="10"/>
        <v>#VALUE!</v>
      </c>
      <c r="M80" s="199" t="e">
        <f t="shared" ca="1" si="10"/>
        <v>#VALUE!</v>
      </c>
      <c r="N80" s="199" t="e">
        <f t="shared" ca="1" si="10"/>
        <v>#VALUE!</v>
      </c>
      <c r="O80" s="199" t="e">
        <f t="shared" ca="1" si="10"/>
        <v>#VALUE!</v>
      </c>
      <c r="P80" s="199" t="e">
        <f t="shared" ca="1" si="10"/>
        <v>#VALUE!</v>
      </c>
      <c r="Q80" s="199" t="e">
        <f t="shared" ca="1" si="10"/>
        <v>#VALUE!</v>
      </c>
      <c r="R80" s="199" t="e">
        <f t="shared" ca="1" si="10"/>
        <v>#VALUE!</v>
      </c>
      <c r="S80" s="199" t="e">
        <f t="shared" ca="1" si="10"/>
        <v>#VALUE!</v>
      </c>
      <c r="T80" s="199" t="e">
        <f t="shared" ca="1" si="10"/>
        <v>#VALUE!</v>
      </c>
      <c r="U80" s="199" t="e">
        <f t="shared" ca="1" si="10"/>
        <v>#VALUE!</v>
      </c>
      <c r="V80" s="199" t="e">
        <f t="shared" ca="1" si="10"/>
        <v>#VALUE!</v>
      </c>
      <c r="W80" s="199" t="e">
        <f t="shared" ca="1" si="10"/>
        <v>#VALUE!</v>
      </c>
      <c r="X80" s="199" t="e">
        <f t="shared" ca="1" si="10"/>
        <v>#VALUE!</v>
      </c>
      <c r="Y80" s="199" t="e">
        <f t="shared" ca="1" si="10"/>
        <v>#VALUE!</v>
      </c>
      <c r="Z80" s="199" t="e">
        <f t="shared" ca="1" si="10"/>
        <v>#VALUE!</v>
      </c>
      <c r="AA80" s="199" t="e">
        <f t="shared" ca="1" si="10"/>
        <v>#VALUE!</v>
      </c>
      <c r="AB80" s="199" t="e">
        <f t="shared" ca="1" si="10"/>
        <v>#VALUE!</v>
      </c>
      <c r="AC80" s="199" t="e">
        <f t="shared" ca="1" si="10"/>
        <v>#VALUE!</v>
      </c>
      <c r="AD80" s="199" t="e">
        <f t="shared" ca="1" si="10"/>
        <v>#VALUE!</v>
      </c>
      <c r="AE80" s="199" t="e">
        <f t="shared" ca="1" si="10"/>
        <v>#VALUE!</v>
      </c>
      <c r="AF80" s="199" t="e">
        <f t="shared" ca="1" si="10"/>
        <v>#VALUE!</v>
      </c>
      <c r="AG80" s="199" t="e">
        <f t="shared" ca="1" si="10"/>
        <v>#VALUE!</v>
      </c>
    </row>
    <row r="81" spans="1:33" s="49" customFormat="1" ht="13.9">
      <c r="A81" s="58" t="s">
        <v>394</v>
      </c>
      <c r="C81" s="193" t="e">
        <f ca="1">C80/(SUM($B$10:$B$15))</f>
        <v>#VALUE!</v>
      </c>
      <c r="D81" s="193" t="s">
        <v>390</v>
      </c>
      <c r="F81" s="89" t="e">
        <f ca="1">F16*$C$81</f>
        <v>#VALUE!</v>
      </c>
      <c r="G81" s="89" t="e">
        <f t="shared" ref="G81:AG81" ca="1" si="11">G16*$C$81</f>
        <v>#VALUE!</v>
      </c>
      <c r="H81" s="89" t="e">
        <f t="shared" ca="1" si="11"/>
        <v>#VALUE!</v>
      </c>
      <c r="I81" s="89" t="e">
        <f t="shared" ca="1" si="11"/>
        <v>#VALUE!</v>
      </c>
      <c r="J81" s="89" t="e">
        <f t="shared" ca="1" si="11"/>
        <v>#VALUE!</v>
      </c>
      <c r="K81" s="89" t="e">
        <f t="shared" ca="1" si="11"/>
        <v>#VALUE!</v>
      </c>
      <c r="L81" s="89" t="e">
        <f t="shared" ca="1" si="11"/>
        <v>#VALUE!</v>
      </c>
      <c r="M81" s="89" t="e">
        <f t="shared" ca="1" si="11"/>
        <v>#VALUE!</v>
      </c>
      <c r="N81" s="89" t="e">
        <f t="shared" ca="1" si="11"/>
        <v>#VALUE!</v>
      </c>
      <c r="O81" s="89" t="e">
        <f t="shared" ca="1" si="11"/>
        <v>#VALUE!</v>
      </c>
      <c r="P81" s="89" t="e">
        <f t="shared" ca="1" si="11"/>
        <v>#VALUE!</v>
      </c>
      <c r="Q81" s="89" t="e">
        <f t="shared" ca="1" si="11"/>
        <v>#VALUE!</v>
      </c>
      <c r="R81" s="89" t="e">
        <f t="shared" ca="1" si="11"/>
        <v>#VALUE!</v>
      </c>
      <c r="S81" s="89" t="e">
        <f t="shared" ca="1" si="11"/>
        <v>#VALUE!</v>
      </c>
      <c r="T81" s="89" t="e">
        <f t="shared" ca="1" si="11"/>
        <v>#VALUE!</v>
      </c>
      <c r="U81" s="89" t="e">
        <f t="shared" ca="1" si="11"/>
        <v>#VALUE!</v>
      </c>
      <c r="V81" s="89" t="e">
        <f t="shared" ca="1" si="11"/>
        <v>#VALUE!</v>
      </c>
      <c r="W81" s="89" t="e">
        <f t="shared" ca="1" si="11"/>
        <v>#VALUE!</v>
      </c>
      <c r="X81" s="89" t="e">
        <f t="shared" ca="1" si="11"/>
        <v>#VALUE!</v>
      </c>
      <c r="Y81" s="89" t="e">
        <f t="shared" ca="1" si="11"/>
        <v>#VALUE!</v>
      </c>
      <c r="Z81" s="89" t="e">
        <f t="shared" ca="1" si="11"/>
        <v>#VALUE!</v>
      </c>
      <c r="AA81" s="89" t="e">
        <f t="shared" ca="1" si="11"/>
        <v>#VALUE!</v>
      </c>
      <c r="AB81" s="89" t="e">
        <f t="shared" ca="1" si="11"/>
        <v>#VALUE!</v>
      </c>
      <c r="AC81" s="89" t="e">
        <f t="shared" ca="1" si="11"/>
        <v>#VALUE!</v>
      </c>
      <c r="AD81" s="89" t="e">
        <f t="shared" ca="1" si="11"/>
        <v>#VALUE!</v>
      </c>
      <c r="AE81" s="89" t="e">
        <f t="shared" ca="1" si="11"/>
        <v>#VALUE!</v>
      </c>
      <c r="AF81" s="89" t="e">
        <f t="shared" ca="1" si="11"/>
        <v>#VALUE!</v>
      </c>
      <c r="AG81" s="89" t="e">
        <f t="shared" ca="1" si="11"/>
        <v>#VALUE!</v>
      </c>
    </row>
    <row r="82" spans="1:33" s="197" customFormat="1" ht="13.9" thickBot="1">
      <c r="A82" s="200" t="s">
        <v>395</v>
      </c>
      <c r="F82" s="198" t="e">
        <f ca="1">F80+F81</f>
        <v>#VALUE!</v>
      </c>
      <c r="G82" s="198" t="e">
        <f t="shared" ref="G82:AG82" ca="1" si="12">G80+G81</f>
        <v>#VALUE!</v>
      </c>
      <c r="H82" s="198" t="e">
        <f t="shared" ca="1" si="12"/>
        <v>#VALUE!</v>
      </c>
      <c r="I82" s="198" t="e">
        <f t="shared" ca="1" si="12"/>
        <v>#VALUE!</v>
      </c>
      <c r="J82" s="198" t="e">
        <f t="shared" ca="1" si="12"/>
        <v>#VALUE!</v>
      </c>
      <c r="K82" s="198" t="e">
        <f t="shared" ca="1" si="12"/>
        <v>#VALUE!</v>
      </c>
      <c r="L82" s="198" t="e">
        <f t="shared" ca="1" si="12"/>
        <v>#VALUE!</v>
      </c>
      <c r="M82" s="198" t="e">
        <f t="shared" ca="1" si="12"/>
        <v>#VALUE!</v>
      </c>
      <c r="N82" s="198" t="e">
        <f t="shared" ca="1" si="12"/>
        <v>#VALUE!</v>
      </c>
      <c r="O82" s="198" t="e">
        <f t="shared" ca="1" si="12"/>
        <v>#VALUE!</v>
      </c>
      <c r="P82" s="198" t="e">
        <f t="shared" ca="1" si="12"/>
        <v>#VALUE!</v>
      </c>
      <c r="Q82" s="198" t="e">
        <f t="shared" ca="1" si="12"/>
        <v>#VALUE!</v>
      </c>
      <c r="R82" s="198" t="e">
        <f t="shared" ca="1" si="12"/>
        <v>#VALUE!</v>
      </c>
      <c r="S82" s="198" t="e">
        <f t="shared" ca="1" si="12"/>
        <v>#VALUE!</v>
      </c>
      <c r="T82" s="198" t="e">
        <f t="shared" ca="1" si="12"/>
        <v>#VALUE!</v>
      </c>
      <c r="U82" s="198" t="e">
        <f t="shared" ca="1" si="12"/>
        <v>#VALUE!</v>
      </c>
      <c r="V82" s="198" t="e">
        <f t="shared" ca="1" si="12"/>
        <v>#VALUE!</v>
      </c>
      <c r="W82" s="198" t="e">
        <f t="shared" ca="1" si="12"/>
        <v>#VALUE!</v>
      </c>
      <c r="X82" s="198" t="e">
        <f t="shared" ca="1" si="12"/>
        <v>#VALUE!</v>
      </c>
      <c r="Y82" s="198" t="e">
        <f t="shared" ca="1" si="12"/>
        <v>#VALUE!</v>
      </c>
      <c r="Z82" s="198" t="e">
        <f t="shared" ca="1" si="12"/>
        <v>#VALUE!</v>
      </c>
      <c r="AA82" s="198" t="e">
        <f t="shared" ca="1" si="12"/>
        <v>#VALUE!</v>
      </c>
      <c r="AB82" s="198" t="e">
        <f t="shared" ca="1" si="12"/>
        <v>#VALUE!</v>
      </c>
      <c r="AC82" s="198" t="e">
        <f t="shared" ca="1" si="12"/>
        <v>#VALUE!</v>
      </c>
      <c r="AD82" s="198" t="e">
        <f t="shared" ca="1" si="12"/>
        <v>#VALUE!</v>
      </c>
      <c r="AE82" s="198" t="e">
        <f t="shared" ca="1" si="12"/>
        <v>#VALUE!</v>
      </c>
      <c r="AF82" s="198" t="e">
        <f t="shared" ca="1" si="12"/>
        <v>#VALUE!</v>
      </c>
      <c r="AG82" s="198" t="e">
        <f t="shared" ca="1" si="12"/>
        <v>#VALUE!</v>
      </c>
    </row>
    <row r="83" spans="1:33" s="49" customFormat="1" ht="13.5">
      <c r="A83" s="58"/>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row>
    <row r="84" spans="1:33" s="49" customFormat="1" ht="13.9">
      <c r="A84" s="59" t="s">
        <v>396</v>
      </c>
    </row>
    <row r="85" spans="1:33" s="49" customFormat="1" ht="13.9">
      <c r="A85" s="58" t="s">
        <v>397</v>
      </c>
      <c r="C85" s="193" t="e">
        <f>'Dev Budget'!#REF!</f>
        <v>#REF!</v>
      </c>
      <c r="D85" s="193" t="s">
        <v>388</v>
      </c>
      <c r="F85" s="195">
        <v>0</v>
      </c>
      <c r="G85" s="199" t="e">
        <f>F87</f>
        <v>#REF!</v>
      </c>
      <c r="H85" s="199" t="e">
        <f t="shared" ref="H85:AG85" si="13">G87</f>
        <v>#REF!</v>
      </c>
      <c r="I85" s="199" t="e">
        <f t="shared" si="13"/>
        <v>#REF!</v>
      </c>
      <c r="J85" s="199" t="e">
        <f t="shared" si="13"/>
        <v>#REF!</v>
      </c>
      <c r="K85" s="199" t="e">
        <f t="shared" si="13"/>
        <v>#REF!</v>
      </c>
      <c r="L85" s="199" t="e">
        <f t="shared" si="13"/>
        <v>#REF!</v>
      </c>
      <c r="M85" s="199" t="e">
        <f t="shared" si="13"/>
        <v>#REF!</v>
      </c>
      <c r="N85" s="199" t="e">
        <f t="shared" si="13"/>
        <v>#REF!</v>
      </c>
      <c r="O85" s="199" t="e">
        <f t="shared" si="13"/>
        <v>#REF!</v>
      </c>
      <c r="P85" s="199" t="e">
        <f t="shared" si="13"/>
        <v>#REF!</v>
      </c>
      <c r="Q85" s="199" t="e">
        <f t="shared" si="13"/>
        <v>#REF!</v>
      </c>
      <c r="R85" s="199" t="e">
        <f t="shared" si="13"/>
        <v>#REF!</v>
      </c>
      <c r="S85" s="199" t="e">
        <f t="shared" si="13"/>
        <v>#REF!</v>
      </c>
      <c r="T85" s="199" t="e">
        <f t="shared" si="13"/>
        <v>#REF!</v>
      </c>
      <c r="U85" s="199" t="e">
        <f t="shared" si="13"/>
        <v>#REF!</v>
      </c>
      <c r="V85" s="199" t="e">
        <f t="shared" si="13"/>
        <v>#REF!</v>
      </c>
      <c r="W85" s="199" t="e">
        <f t="shared" si="13"/>
        <v>#REF!</v>
      </c>
      <c r="X85" s="199" t="e">
        <f t="shared" si="13"/>
        <v>#REF!</v>
      </c>
      <c r="Y85" s="199" t="e">
        <f t="shared" si="13"/>
        <v>#REF!</v>
      </c>
      <c r="Z85" s="199" t="e">
        <f t="shared" si="13"/>
        <v>#REF!</v>
      </c>
      <c r="AA85" s="199" t="e">
        <f t="shared" si="13"/>
        <v>#REF!</v>
      </c>
      <c r="AB85" s="199" t="e">
        <f t="shared" si="13"/>
        <v>#REF!</v>
      </c>
      <c r="AC85" s="199" t="e">
        <f t="shared" si="13"/>
        <v>#REF!</v>
      </c>
      <c r="AD85" s="199" t="e">
        <f t="shared" si="13"/>
        <v>#REF!</v>
      </c>
      <c r="AE85" s="199" t="e">
        <f t="shared" si="13"/>
        <v>#REF!</v>
      </c>
      <c r="AF85" s="199" t="e">
        <f t="shared" si="13"/>
        <v>#REF!</v>
      </c>
      <c r="AG85" s="199" t="e">
        <f t="shared" si="13"/>
        <v>#REF!</v>
      </c>
    </row>
    <row r="86" spans="1:33" s="49" customFormat="1" ht="13.9">
      <c r="A86" s="58" t="s">
        <v>398</v>
      </c>
      <c r="C86" s="193" t="e">
        <f>C85/(SUM($B$10:$B$15))</f>
        <v>#REF!</v>
      </c>
      <c r="D86" s="193" t="s">
        <v>390</v>
      </c>
      <c r="F86" s="89" t="e">
        <f>F16*$C$86</f>
        <v>#REF!</v>
      </c>
      <c r="G86" s="89" t="e">
        <f t="shared" ref="G86:AG86" si="14">G16*$C$86</f>
        <v>#REF!</v>
      </c>
      <c r="H86" s="89" t="e">
        <f t="shared" si="14"/>
        <v>#REF!</v>
      </c>
      <c r="I86" s="89" t="e">
        <f t="shared" si="14"/>
        <v>#REF!</v>
      </c>
      <c r="J86" s="89" t="e">
        <f t="shared" si="14"/>
        <v>#REF!</v>
      </c>
      <c r="K86" s="89" t="e">
        <f t="shared" si="14"/>
        <v>#REF!</v>
      </c>
      <c r="L86" s="89" t="e">
        <f t="shared" si="14"/>
        <v>#REF!</v>
      </c>
      <c r="M86" s="89" t="e">
        <f t="shared" si="14"/>
        <v>#REF!</v>
      </c>
      <c r="N86" s="89" t="e">
        <f t="shared" si="14"/>
        <v>#REF!</v>
      </c>
      <c r="O86" s="89" t="e">
        <f t="shared" si="14"/>
        <v>#REF!</v>
      </c>
      <c r="P86" s="89" t="e">
        <f t="shared" si="14"/>
        <v>#REF!</v>
      </c>
      <c r="Q86" s="89" t="e">
        <f t="shared" si="14"/>
        <v>#REF!</v>
      </c>
      <c r="R86" s="89" t="e">
        <f t="shared" si="14"/>
        <v>#REF!</v>
      </c>
      <c r="S86" s="89" t="e">
        <f t="shared" si="14"/>
        <v>#REF!</v>
      </c>
      <c r="T86" s="89" t="e">
        <f t="shared" si="14"/>
        <v>#REF!</v>
      </c>
      <c r="U86" s="89" t="e">
        <f t="shared" si="14"/>
        <v>#REF!</v>
      </c>
      <c r="V86" s="89" t="e">
        <f t="shared" si="14"/>
        <v>#REF!</v>
      </c>
      <c r="W86" s="89" t="e">
        <f t="shared" si="14"/>
        <v>#REF!</v>
      </c>
      <c r="X86" s="89" t="e">
        <f t="shared" si="14"/>
        <v>#REF!</v>
      </c>
      <c r="Y86" s="89" t="e">
        <f t="shared" si="14"/>
        <v>#REF!</v>
      </c>
      <c r="Z86" s="89" t="e">
        <f t="shared" si="14"/>
        <v>#REF!</v>
      </c>
      <c r="AA86" s="89" t="e">
        <f t="shared" si="14"/>
        <v>#REF!</v>
      </c>
      <c r="AB86" s="89" t="e">
        <f t="shared" si="14"/>
        <v>#REF!</v>
      </c>
      <c r="AC86" s="89" t="e">
        <f t="shared" si="14"/>
        <v>#REF!</v>
      </c>
      <c r="AD86" s="89" t="e">
        <f t="shared" si="14"/>
        <v>#REF!</v>
      </c>
      <c r="AE86" s="89" t="e">
        <f t="shared" si="14"/>
        <v>#REF!</v>
      </c>
      <c r="AF86" s="89" t="e">
        <f t="shared" si="14"/>
        <v>#REF!</v>
      </c>
      <c r="AG86" s="89" t="e">
        <f t="shared" si="14"/>
        <v>#REF!</v>
      </c>
    </row>
    <row r="87" spans="1:33" s="197" customFormat="1" ht="13.9" thickBot="1">
      <c r="A87" s="200" t="s">
        <v>399</v>
      </c>
      <c r="F87" s="198" t="e">
        <f>F85+F86</f>
        <v>#REF!</v>
      </c>
      <c r="G87" s="198" t="e">
        <f t="shared" ref="G87:AG87" si="15">G85+G86</f>
        <v>#REF!</v>
      </c>
      <c r="H87" s="198" t="e">
        <f t="shared" si="15"/>
        <v>#REF!</v>
      </c>
      <c r="I87" s="198" t="e">
        <f t="shared" si="15"/>
        <v>#REF!</v>
      </c>
      <c r="J87" s="198" t="e">
        <f t="shared" si="15"/>
        <v>#REF!</v>
      </c>
      <c r="K87" s="198" t="e">
        <f t="shared" si="15"/>
        <v>#REF!</v>
      </c>
      <c r="L87" s="198" t="e">
        <f t="shared" si="15"/>
        <v>#REF!</v>
      </c>
      <c r="M87" s="198" t="e">
        <f t="shared" si="15"/>
        <v>#REF!</v>
      </c>
      <c r="N87" s="198" t="e">
        <f t="shared" si="15"/>
        <v>#REF!</v>
      </c>
      <c r="O87" s="198" t="e">
        <f t="shared" si="15"/>
        <v>#REF!</v>
      </c>
      <c r="P87" s="198" t="e">
        <f t="shared" si="15"/>
        <v>#REF!</v>
      </c>
      <c r="Q87" s="198" t="e">
        <f t="shared" si="15"/>
        <v>#REF!</v>
      </c>
      <c r="R87" s="198" t="e">
        <f t="shared" si="15"/>
        <v>#REF!</v>
      </c>
      <c r="S87" s="198" t="e">
        <f t="shared" si="15"/>
        <v>#REF!</v>
      </c>
      <c r="T87" s="198" t="e">
        <f t="shared" si="15"/>
        <v>#REF!</v>
      </c>
      <c r="U87" s="198" t="e">
        <f t="shared" si="15"/>
        <v>#REF!</v>
      </c>
      <c r="V87" s="198" t="e">
        <f t="shared" si="15"/>
        <v>#REF!</v>
      </c>
      <c r="W87" s="198" t="e">
        <f t="shared" si="15"/>
        <v>#REF!</v>
      </c>
      <c r="X87" s="198" t="e">
        <f t="shared" si="15"/>
        <v>#REF!</v>
      </c>
      <c r="Y87" s="198" t="e">
        <f t="shared" si="15"/>
        <v>#REF!</v>
      </c>
      <c r="Z87" s="198" t="e">
        <f t="shared" si="15"/>
        <v>#REF!</v>
      </c>
      <c r="AA87" s="198" t="e">
        <f t="shared" si="15"/>
        <v>#REF!</v>
      </c>
      <c r="AB87" s="198" t="e">
        <f t="shared" si="15"/>
        <v>#REF!</v>
      </c>
      <c r="AC87" s="198" t="e">
        <f t="shared" si="15"/>
        <v>#REF!</v>
      </c>
      <c r="AD87" s="198" t="e">
        <f t="shared" si="15"/>
        <v>#REF!</v>
      </c>
      <c r="AE87" s="198" t="e">
        <f t="shared" si="15"/>
        <v>#REF!</v>
      </c>
      <c r="AF87" s="198" t="e">
        <f t="shared" si="15"/>
        <v>#REF!</v>
      </c>
      <c r="AG87" s="198" t="e">
        <f t="shared" si="15"/>
        <v>#REF!</v>
      </c>
    </row>
    <row r="88" spans="1:33" s="49" customFormat="1" ht="13.5">
      <c r="A88" s="58"/>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row>
    <row r="89" spans="1:33" s="49" customFormat="1" ht="13.9">
      <c r="A89" s="59" t="s">
        <v>400</v>
      </c>
    </row>
    <row r="90" spans="1:33" s="49" customFormat="1" ht="13.5">
      <c r="A90" s="58" t="s">
        <v>401</v>
      </c>
      <c r="F90" s="195">
        <f>D69</f>
        <v>0</v>
      </c>
      <c r="G90" s="199">
        <f>F93</f>
        <v>0</v>
      </c>
      <c r="H90" s="199">
        <f t="shared" ref="H90" si="16">G93</f>
        <v>0</v>
      </c>
      <c r="I90" s="199">
        <f t="shared" ref="I90" si="17">H93</f>
        <v>0</v>
      </c>
      <c r="J90" s="199">
        <f t="shared" ref="J90" si="18">I93</f>
        <v>0</v>
      </c>
      <c r="K90" s="199">
        <f t="shared" ref="K90" si="19">J93</f>
        <v>0</v>
      </c>
      <c r="L90" s="199">
        <f t="shared" ref="L90" si="20">K93</f>
        <v>0</v>
      </c>
      <c r="M90" s="199">
        <f t="shared" ref="M90" si="21">L93</f>
        <v>0</v>
      </c>
      <c r="N90" s="199">
        <f t="shared" ref="N90" si="22">M93</f>
        <v>0</v>
      </c>
      <c r="O90" s="199">
        <f t="shared" ref="O90" si="23">N93</f>
        <v>0</v>
      </c>
      <c r="P90" s="199">
        <f t="shared" ref="P90" si="24">O93</f>
        <v>0</v>
      </c>
      <c r="Q90" s="199">
        <f t="shared" ref="Q90" si="25">P93</f>
        <v>0</v>
      </c>
      <c r="R90" s="199">
        <f t="shared" ref="R90" si="26">Q93</f>
        <v>0</v>
      </c>
      <c r="S90" s="199">
        <f t="shared" ref="S90" si="27">R93</f>
        <v>0</v>
      </c>
      <c r="T90" s="199">
        <f t="shared" ref="T90" si="28">S93</f>
        <v>0</v>
      </c>
      <c r="U90" s="199">
        <f t="shared" ref="U90" si="29">T93</f>
        <v>0</v>
      </c>
      <c r="V90" s="199">
        <f t="shared" ref="V90" si="30">U93</f>
        <v>0</v>
      </c>
      <c r="W90" s="199">
        <f t="shared" ref="W90" si="31">V93</f>
        <v>0</v>
      </c>
      <c r="X90" s="199">
        <f t="shared" ref="X90" si="32">W93</f>
        <v>0</v>
      </c>
      <c r="Y90" s="199">
        <f t="shared" ref="Y90" si="33">X93</f>
        <v>0</v>
      </c>
      <c r="Z90" s="199">
        <f t="shared" ref="Z90" si="34">Y93</f>
        <v>0</v>
      </c>
      <c r="AA90" s="199">
        <f t="shared" ref="AA90" si="35">Z93</f>
        <v>0</v>
      </c>
      <c r="AB90" s="199">
        <f t="shared" ref="AB90" si="36">AA93</f>
        <v>0</v>
      </c>
      <c r="AC90" s="199">
        <f t="shared" ref="AC90" si="37">AB93</f>
        <v>0</v>
      </c>
      <c r="AD90" s="199">
        <f t="shared" ref="AD90" si="38">AC93</f>
        <v>0</v>
      </c>
      <c r="AE90" s="199">
        <f t="shared" ref="AE90" si="39">AD93</f>
        <v>0</v>
      </c>
      <c r="AF90" s="199">
        <f t="shared" ref="AF90" si="40">AE93</f>
        <v>0</v>
      </c>
      <c r="AG90" s="199">
        <f t="shared" ref="AG90" si="41">AF93</f>
        <v>0</v>
      </c>
    </row>
    <row r="91" spans="1:33" s="49" customFormat="1" ht="13.5">
      <c r="A91" s="58" t="s">
        <v>402</v>
      </c>
      <c r="F91" s="194"/>
      <c r="G91" s="194"/>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row>
    <row r="92" spans="1:33" s="49" customFormat="1" ht="13.5">
      <c r="A92" s="58" t="s">
        <v>403</v>
      </c>
      <c r="F92" s="195">
        <f>'Project Sellout'!C34</f>
        <v>0</v>
      </c>
      <c r="G92" s="195">
        <f>'Project Sellout'!D34</f>
        <v>0</v>
      </c>
      <c r="H92" s="195">
        <f>'Project Sellout'!E34</f>
        <v>0</v>
      </c>
      <c r="I92" s="195">
        <f>'Project Sellout'!F34</f>
        <v>0</v>
      </c>
      <c r="J92" s="195">
        <f>'Project Sellout'!G34</f>
        <v>0</v>
      </c>
      <c r="K92" s="195">
        <f>'Project Sellout'!H34</f>
        <v>0</v>
      </c>
      <c r="L92" s="195">
        <f>'Project Sellout'!I34</f>
        <v>0</v>
      </c>
      <c r="M92" s="195">
        <f>'Project Sellout'!J34</f>
        <v>0</v>
      </c>
      <c r="N92" s="195">
        <f>'Project Sellout'!K34</f>
        <v>0</v>
      </c>
      <c r="O92" s="195">
        <f>'Project Sellout'!L34</f>
        <v>0</v>
      </c>
      <c r="P92" s="195">
        <f>'Project Sellout'!M34</f>
        <v>0</v>
      </c>
      <c r="Q92" s="195">
        <f>'Project Sellout'!N34</f>
        <v>0</v>
      </c>
      <c r="R92" s="195">
        <f>'Project Sellout'!O34</f>
        <v>0</v>
      </c>
      <c r="S92" s="195">
        <f>'Project Sellout'!P34</f>
        <v>0</v>
      </c>
      <c r="T92" s="195">
        <f>'Project Sellout'!Q34</f>
        <v>0</v>
      </c>
      <c r="U92" s="195">
        <f>'Project Sellout'!R34</f>
        <v>0</v>
      </c>
      <c r="V92" s="195">
        <f>'Project Sellout'!S34</f>
        <v>0</v>
      </c>
      <c r="W92" s="195">
        <f>'Project Sellout'!T34</f>
        <v>0</v>
      </c>
      <c r="X92" s="195">
        <f>'Project Sellout'!U34</f>
        <v>0</v>
      </c>
      <c r="Y92" s="195">
        <f>'Project Sellout'!V34</f>
        <v>0</v>
      </c>
      <c r="Z92" s="195">
        <f>'Project Sellout'!W34</f>
        <v>0</v>
      </c>
      <c r="AA92" s="195">
        <f>'Project Sellout'!X34</f>
        <v>0</v>
      </c>
      <c r="AB92" s="195">
        <f>'Project Sellout'!Y34</f>
        <v>0</v>
      </c>
      <c r="AC92" s="195">
        <f>'Project Sellout'!Z34</f>
        <v>0</v>
      </c>
      <c r="AD92" s="195">
        <f>'Project Sellout'!AA34</f>
        <v>0</v>
      </c>
      <c r="AE92" s="195">
        <f>'Project Sellout'!AB34</f>
        <v>0</v>
      </c>
      <c r="AF92" s="195">
        <f>'Project Sellout'!AC34</f>
        <v>0</v>
      </c>
      <c r="AG92" s="195">
        <f>'Project Sellout'!AD34</f>
        <v>0</v>
      </c>
    </row>
    <row r="93" spans="1:33" s="197" customFormat="1" ht="13.9" thickBot="1">
      <c r="A93" s="200" t="s">
        <v>404</v>
      </c>
      <c r="D93" s="196"/>
      <c r="F93" s="198">
        <f>F90+F91-F92</f>
        <v>0</v>
      </c>
      <c r="G93" s="198">
        <f t="shared" ref="G93:AG93" si="42">G90+G91-G92</f>
        <v>0</v>
      </c>
      <c r="H93" s="198">
        <f t="shared" si="42"/>
        <v>0</v>
      </c>
      <c r="I93" s="198">
        <f t="shared" si="42"/>
        <v>0</v>
      </c>
      <c r="J93" s="198">
        <f t="shared" si="42"/>
        <v>0</v>
      </c>
      <c r="K93" s="198">
        <f t="shared" si="42"/>
        <v>0</v>
      </c>
      <c r="L93" s="198">
        <f t="shared" si="42"/>
        <v>0</v>
      </c>
      <c r="M93" s="198">
        <f t="shared" si="42"/>
        <v>0</v>
      </c>
      <c r="N93" s="198">
        <f t="shared" si="42"/>
        <v>0</v>
      </c>
      <c r="O93" s="198">
        <f t="shared" si="42"/>
        <v>0</v>
      </c>
      <c r="P93" s="198">
        <f t="shared" si="42"/>
        <v>0</v>
      </c>
      <c r="Q93" s="198">
        <f t="shared" si="42"/>
        <v>0</v>
      </c>
      <c r="R93" s="198">
        <f t="shared" si="42"/>
        <v>0</v>
      </c>
      <c r="S93" s="198">
        <f t="shared" si="42"/>
        <v>0</v>
      </c>
      <c r="T93" s="198">
        <f t="shared" si="42"/>
        <v>0</v>
      </c>
      <c r="U93" s="198">
        <f t="shared" si="42"/>
        <v>0</v>
      </c>
      <c r="V93" s="198">
        <f t="shared" si="42"/>
        <v>0</v>
      </c>
      <c r="W93" s="198">
        <f t="shared" si="42"/>
        <v>0</v>
      </c>
      <c r="X93" s="198">
        <f t="shared" si="42"/>
        <v>0</v>
      </c>
      <c r="Y93" s="198">
        <f t="shared" si="42"/>
        <v>0</v>
      </c>
      <c r="Z93" s="198">
        <f t="shared" si="42"/>
        <v>0</v>
      </c>
      <c r="AA93" s="198">
        <f t="shared" si="42"/>
        <v>0</v>
      </c>
      <c r="AB93" s="198">
        <f t="shared" si="42"/>
        <v>0</v>
      </c>
      <c r="AC93" s="198">
        <f t="shared" si="42"/>
        <v>0</v>
      </c>
      <c r="AD93" s="198">
        <f t="shared" si="42"/>
        <v>0</v>
      </c>
      <c r="AE93" s="198">
        <f t="shared" si="42"/>
        <v>0</v>
      </c>
      <c r="AF93" s="198">
        <f t="shared" si="42"/>
        <v>0</v>
      </c>
      <c r="AG93" s="198">
        <f t="shared" si="42"/>
        <v>0</v>
      </c>
    </row>
    <row r="95" spans="1:33">
      <c r="A95" s="59" t="s">
        <v>405</v>
      </c>
    </row>
    <row r="96" spans="1:33" s="192" customFormat="1" ht="14.65" thickBot="1">
      <c r="A96" s="200" t="s">
        <v>406</v>
      </c>
      <c r="F96" s="196" t="e">
        <f ca="1">'Project Sellout'!C37</f>
        <v>#VALUE!</v>
      </c>
      <c r="G96" s="196" t="e">
        <f ca="1">'Project Sellout'!D37</f>
        <v>#VALUE!</v>
      </c>
      <c r="H96" s="196" t="e">
        <f ca="1">'Project Sellout'!E37</f>
        <v>#VALUE!</v>
      </c>
      <c r="I96" s="196" t="e">
        <f ca="1">'Project Sellout'!F37</f>
        <v>#VALUE!</v>
      </c>
      <c r="J96" s="196" t="e">
        <f ca="1">'Project Sellout'!G37</f>
        <v>#VALUE!</v>
      </c>
      <c r="K96" s="196" t="e">
        <f ca="1">'Project Sellout'!H37</f>
        <v>#VALUE!</v>
      </c>
      <c r="L96" s="196" t="e">
        <f ca="1">'Project Sellout'!I37</f>
        <v>#VALUE!</v>
      </c>
      <c r="M96" s="196" t="e">
        <f ca="1">'Project Sellout'!J37</f>
        <v>#VALUE!</v>
      </c>
      <c r="N96" s="196" t="e">
        <f ca="1">'Project Sellout'!K37</f>
        <v>#VALUE!</v>
      </c>
      <c r="O96" s="196" t="e">
        <f ca="1">'Project Sellout'!L37</f>
        <v>#VALUE!</v>
      </c>
      <c r="P96" s="196" t="e">
        <f ca="1">'Project Sellout'!M37</f>
        <v>#VALUE!</v>
      </c>
      <c r="Q96" s="196" t="e">
        <f ca="1">'Project Sellout'!N37</f>
        <v>#VALUE!</v>
      </c>
      <c r="R96" s="196" t="e">
        <f ca="1">'Project Sellout'!O37</f>
        <v>#VALUE!</v>
      </c>
      <c r="S96" s="196" t="e">
        <f ca="1">'Project Sellout'!P37</f>
        <v>#VALUE!</v>
      </c>
      <c r="T96" s="196" t="e">
        <f ca="1">'Project Sellout'!Q37</f>
        <v>#VALUE!</v>
      </c>
      <c r="U96" s="196" t="e">
        <f ca="1">'Project Sellout'!R37</f>
        <v>#VALUE!</v>
      </c>
      <c r="V96" s="196" t="e">
        <f ca="1">'Project Sellout'!S37</f>
        <v>#VALUE!</v>
      </c>
      <c r="W96" s="196" t="e">
        <f ca="1">'Project Sellout'!T37</f>
        <v>#VALUE!</v>
      </c>
      <c r="X96" s="196" t="e">
        <f ca="1">'Project Sellout'!U37</f>
        <v>#VALUE!</v>
      </c>
      <c r="Y96" s="196" t="e">
        <f ca="1">'Project Sellout'!V37</f>
        <v>#VALUE!</v>
      </c>
      <c r="Z96" s="196" t="e">
        <f ca="1">'Project Sellout'!W37</f>
        <v>#VALUE!</v>
      </c>
      <c r="AA96" s="196" t="e">
        <f ca="1">'Project Sellout'!X37</f>
        <v>#VALUE!</v>
      </c>
      <c r="AB96" s="196" t="e">
        <f ca="1">'Project Sellout'!Y37</f>
        <v>#VALUE!</v>
      </c>
      <c r="AC96" s="196" t="e">
        <f ca="1">'Project Sellout'!Z37</f>
        <v>#VALUE!</v>
      </c>
      <c r="AD96" s="196" t="e">
        <f ca="1">'Project Sellout'!AA37</f>
        <v>#VALUE!</v>
      </c>
      <c r="AE96" s="196" t="e">
        <f ca="1">'Project Sellout'!AB37</f>
        <v>#VALUE!</v>
      </c>
      <c r="AF96" s="196" t="e">
        <f ca="1">'Project Sellout'!AC37</f>
        <v>#VALUE!</v>
      </c>
      <c r="AG96" s="196" t="e">
        <f ca="1">'Project Sellout'!AD37</f>
        <v>#VALUE!</v>
      </c>
    </row>
  </sheetData>
  <mergeCells count="1">
    <mergeCell ref="C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topLeftCell="A23" zoomScaleNormal="100" zoomScaleSheetLayoutView="85" workbookViewId="0">
      <selection activeCell="A45" sqref="A45"/>
    </sheetView>
  </sheetViews>
  <sheetFormatPr defaultColWidth="11.3984375" defaultRowHeight="13.5"/>
  <cols>
    <col min="1" max="1" width="26.86328125" style="49" customWidth="1"/>
    <col min="2" max="2" width="19.86328125" style="49" customWidth="1"/>
    <col min="3" max="3" width="15.3984375" style="49" customWidth="1"/>
    <col min="4" max="4" width="15.86328125" style="49" customWidth="1"/>
    <col min="5" max="5" width="17" style="49" customWidth="1"/>
    <col min="6" max="6" width="12.86328125" style="49" bestFit="1" customWidth="1"/>
    <col min="7" max="7" width="11.3984375" style="49"/>
    <col min="8" max="8" width="12.86328125" style="49" bestFit="1" customWidth="1"/>
    <col min="9" max="16384" width="11.3984375" style="49"/>
  </cols>
  <sheetData>
    <row r="1" spans="1:8" s="89" customFormat="1" ht="14.25">
      <c r="A1" s="202" t="s">
        <v>4</v>
      </c>
      <c r="B1" s="415"/>
      <c r="C1" s="202"/>
      <c r="D1" s="416"/>
      <c r="E1" s="202"/>
      <c r="F1" s="271"/>
    </row>
    <row r="2" spans="1:8" s="89" customFormat="1" ht="14.25">
      <c r="A2" s="235" t="s">
        <v>5</v>
      </c>
      <c r="B2" s="415"/>
      <c r="C2" s="202"/>
      <c r="D2" s="416"/>
      <c r="E2" s="202"/>
      <c r="F2" s="271"/>
    </row>
    <row r="3" spans="1:8" s="89" customFormat="1" ht="15.75">
      <c r="A3" s="202" t="s">
        <v>6</v>
      </c>
      <c r="B3" s="415"/>
      <c r="C3" s="202"/>
      <c r="D3" s="417" t="s">
        <v>7</v>
      </c>
      <c r="E3" s="415"/>
      <c r="F3" s="271"/>
    </row>
    <row r="4" spans="1:8" s="89" customFormat="1" ht="14.25">
      <c r="A4" s="235" t="s">
        <v>8</v>
      </c>
      <c r="B4" s="415"/>
      <c r="C4" s="418"/>
      <c r="D4" s="419"/>
      <c r="E4" s="418"/>
      <c r="F4" s="271"/>
    </row>
    <row r="5" spans="1:8" s="89" customFormat="1" ht="14.25">
      <c r="A5" s="235"/>
      <c r="B5" s="418"/>
      <c r="C5" s="418"/>
      <c r="D5" s="419"/>
      <c r="E5" s="418"/>
      <c r="F5" s="271"/>
    </row>
    <row r="6" spans="1:8" s="89" customFormat="1" ht="14.25">
      <c r="A6" s="235" t="s">
        <v>9</v>
      </c>
      <c r="B6" s="418"/>
      <c r="C6" s="418"/>
      <c r="D6" s="419"/>
      <c r="E6" s="418"/>
      <c r="F6" s="271"/>
    </row>
    <row r="7" spans="1:8" s="89" customFormat="1" ht="14.65" thickBot="1">
      <c r="A7" s="202"/>
      <c r="B7" s="271"/>
      <c r="C7" s="271"/>
      <c r="D7" s="420"/>
      <c r="E7" s="271"/>
      <c r="F7" s="271"/>
    </row>
    <row r="8" spans="1:8" s="89" customFormat="1" ht="14.25">
      <c r="A8" s="421" t="s">
        <v>10</v>
      </c>
      <c r="B8" s="422" t="s">
        <v>11</v>
      </c>
      <c r="C8" s="358" t="s">
        <v>12</v>
      </c>
      <c r="D8" s="423"/>
      <c r="E8" s="465"/>
      <c r="F8" s="271"/>
    </row>
    <row r="9" spans="1:8" s="89" customFormat="1" ht="14.25">
      <c r="A9" s="424" t="e">
        <f>B9/$B$13</f>
        <v>#DIV/0!</v>
      </c>
      <c r="B9" s="425" t="e">
        <f>'Sale Proceeds'!E79/D9</f>
        <v>#DIV/0!</v>
      </c>
      <c r="C9" s="426" t="s">
        <v>13</v>
      </c>
      <c r="D9" s="415"/>
      <c r="E9" s="427" t="s">
        <v>14</v>
      </c>
      <c r="F9" s="271"/>
    </row>
    <row r="10" spans="1:8" s="89" customFormat="1" ht="14.25">
      <c r="A10" s="424" t="e">
        <f>B10/$B$13</f>
        <v>#DIV/0!</v>
      </c>
      <c r="B10" s="415"/>
      <c r="C10" s="426" t="s">
        <v>15</v>
      </c>
      <c r="D10" s="428"/>
      <c r="E10" s="429"/>
      <c r="F10" s="271"/>
    </row>
    <row r="11" spans="1:8" s="89" customFormat="1" ht="14.25">
      <c r="A11" s="424" t="e">
        <f>B11/$B$13</f>
        <v>#DIV/0!</v>
      </c>
      <c r="B11" s="415"/>
      <c r="C11" s="426" t="s">
        <v>16</v>
      </c>
      <c r="D11" s="428"/>
      <c r="E11" s="429"/>
      <c r="F11" s="271"/>
    </row>
    <row r="12" spans="1:8" s="89" customFormat="1" ht="14.25">
      <c r="A12" s="424" t="e">
        <f>B12/$B$13</f>
        <v>#DIV/0!</v>
      </c>
      <c r="B12" s="415"/>
      <c r="C12" s="426" t="s">
        <v>17</v>
      </c>
      <c r="D12" s="415"/>
      <c r="E12" s="430" t="s">
        <v>18</v>
      </c>
      <c r="F12" s="271"/>
    </row>
    <row r="13" spans="1:8" s="89" customFormat="1" ht="14.65" thickBot="1">
      <c r="A13" s="466" t="e">
        <f>SUM(A9:A12)</f>
        <v>#DIV/0!</v>
      </c>
      <c r="B13" s="431" t="e">
        <f>SUM(B9:B12)</f>
        <v>#DIV/0!</v>
      </c>
      <c r="C13" s="432" t="s">
        <v>19</v>
      </c>
      <c r="D13" s="433"/>
      <c r="E13" s="355"/>
      <c r="F13" s="271"/>
    </row>
    <row r="14" spans="1:8" s="89" customFormat="1" ht="14.65" thickBot="1">
      <c r="A14" s="434"/>
      <c r="B14" s="435"/>
      <c r="C14" s="436"/>
      <c r="D14" s="428"/>
      <c r="E14" s="202"/>
      <c r="F14" s="271"/>
    </row>
    <row r="15" spans="1:8" ht="14.25">
      <c r="A15" s="437" t="s">
        <v>20</v>
      </c>
      <c r="B15" s="438" t="s">
        <v>21</v>
      </c>
      <c r="C15" s="439" t="s">
        <v>22</v>
      </c>
      <c r="D15" s="440" t="s">
        <v>23</v>
      </c>
      <c r="E15" s="467" t="s">
        <v>24</v>
      </c>
      <c r="F15" s="441"/>
      <c r="H15" s="62"/>
    </row>
    <row r="16" spans="1:8" ht="14.25">
      <c r="A16" s="352" t="s">
        <v>25</v>
      </c>
      <c r="B16" s="425">
        <f>COUNTIF('Sale Proceeds'!B:B, "0BR")</f>
        <v>0</v>
      </c>
      <c r="C16" s="442" t="e">
        <f t="shared" ref="C16:C21" si="0">B16/TOTALDU</f>
        <v>#DIV/0!</v>
      </c>
      <c r="D16" s="378">
        <v>2</v>
      </c>
      <c r="E16" s="443">
        <f>B16*D16</f>
        <v>0</v>
      </c>
      <c r="F16" s="441"/>
    </row>
    <row r="17" spans="1:9" ht="14.25">
      <c r="A17" s="352" t="s">
        <v>26</v>
      </c>
      <c r="B17" s="425">
        <f>COUNTIF('Sale Proceeds'!B:B, A17)</f>
        <v>0</v>
      </c>
      <c r="C17" s="442" t="e">
        <f t="shared" si="0"/>
        <v>#DIV/0!</v>
      </c>
      <c r="D17" s="378">
        <v>3</v>
      </c>
      <c r="E17" s="443">
        <f t="shared" ref="E17:E20" si="1">B17*D17</f>
        <v>0</v>
      </c>
      <c r="F17" s="441"/>
    </row>
    <row r="18" spans="1:9" ht="14.25">
      <c r="A18" s="352" t="s">
        <v>27</v>
      </c>
      <c r="B18" s="425">
        <f>COUNTIF('Sale Proceeds'!B:B, A18)</f>
        <v>0</v>
      </c>
      <c r="C18" s="442" t="e">
        <f t="shared" si="0"/>
        <v>#DIV/0!</v>
      </c>
      <c r="D18" s="378">
        <v>4</v>
      </c>
      <c r="E18" s="443">
        <f t="shared" si="1"/>
        <v>0</v>
      </c>
      <c r="F18" s="441"/>
    </row>
    <row r="19" spans="1:9" ht="14.25">
      <c r="A19" s="352" t="s">
        <v>28</v>
      </c>
      <c r="B19" s="425">
        <f>COUNTIF('Sale Proceeds'!B:B, A19)</f>
        <v>0</v>
      </c>
      <c r="C19" s="442" t="e">
        <f t="shared" si="0"/>
        <v>#DIV/0!</v>
      </c>
      <c r="D19" s="378">
        <v>5</v>
      </c>
      <c r="E19" s="443">
        <f t="shared" si="1"/>
        <v>0</v>
      </c>
      <c r="F19" s="441"/>
    </row>
    <row r="20" spans="1:9" ht="14.25">
      <c r="A20" s="352" t="s">
        <v>29</v>
      </c>
      <c r="B20" s="425">
        <f>COUNTIF('Sale Proceeds'!B:B, A20)</f>
        <v>0</v>
      </c>
      <c r="C20" s="442" t="e">
        <f t="shared" si="0"/>
        <v>#DIV/0!</v>
      </c>
      <c r="D20" s="378">
        <v>6</v>
      </c>
      <c r="E20" s="443">
        <f t="shared" si="1"/>
        <v>0</v>
      </c>
      <c r="F20" s="441"/>
    </row>
    <row r="21" spans="1:9" ht="14.25">
      <c r="A21" s="352" t="s">
        <v>30</v>
      </c>
      <c r="B21" s="415"/>
      <c r="C21" s="442" t="e">
        <f t="shared" si="0"/>
        <v>#DIV/0!</v>
      </c>
      <c r="D21" s="415"/>
      <c r="E21" s="443">
        <f t="shared" ref="E21" si="2">B21*D21</f>
        <v>0</v>
      </c>
      <c r="F21" s="441"/>
    </row>
    <row r="22" spans="1:9" ht="14.65" thickBot="1">
      <c r="A22" s="468" t="s">
        <v>31</v>
      </c>
      <c r="B22" s="444">
        <f>SUM(B16:B21)</f>
        <v>0</v>
      </c>
      <c r="C22" s="445"/>
      <c r="D22" s="444"/>
      <c r="E22" s="446">
        <f>SUM(E16:E21)</f>
        <v>0</v>
      </c>
      <c r="F22" s="441"/>
    </row>
    <row r="23" spans="1:9" s="89" customFormat="1" ht="14.25">
      <c r="A23" s="447"/>
      <c r="B23" s="447"/>
      <c r="C23" s="447"/>
      <c r="D23" s="447"/>
      <c r="E23" s="448"/>
      <c r="F23" s="449"/>
    </row>
    <row r="24" spans="1:9" s="89" customFormat="1" ht="14.25">
      <c r="A24" s="449"/>
      <c r="B24" s="449"/>
      <c r="C24" s="449"/>
      <c r="D24" s="450"/>
      <c r="E24" s="449"/>
      <c r="F24" s="449"/>
    </row>
    <row r="25" spans="1:9" s="89" customFormat="1" ht="14.25">
      <c r="A25" s="449"/>
      <c r="B25" s="449"/>
      <c r="C25" s="676" t="s">
        <v>32</v>
      </c>
      <c r="D25" s="677"/>
      <c r="E25" s="677"/>
      <c r="F25" s="677"/>
      <c r="G25" s="677"/>
      <c r="H25" s="678"/>
    </row>
    <row r="26" spans="1:9" s="89" customFormat="1" ht="14.25">
      <c r="A26" s="469" t="s">
        <v>20</v>
      </c>
      <c r="B26" s="469" t="s">
        <v>21</v>
      </c>
      <c r="C26" s="469" t="s">
        <v>412</v>
      </c>
      <c r="D26" s="469" t="s">
        <v>33</v>
      </c>
      <c r="E26" s="469" t="s">
        <v>407</v>
      </c>
      <c r="F26" s="469" t="s">
        <v>34</v>
      </c>
      <c r="G26" s="470" t="s">
        <v>413</v>
      </c>
      <c r="H26" s="471" t="s">
        <v>35</v>
      </c>
      <c r="I26" s="449"/>
    </row>
    <row r="27" spans="1:9" s="89" customFormat="1" ht="14.25">
      <c r="A27" s="472" t="s">
        <v>36</v>
      </c>
      <c r="B27" s="473">
        <f>B16</f>
        <v>0</v>
      </c>
      <c r="C27" s="474">
        <f>COUNTIFS('Sale Proceeds'!$B:$B,"0BR",'Sale Proceeds'!$K:$K,"&lt;=80%")</f>
        <v>0</v>
      </c>
      <c r="D27" s="474">
        <f>COUNTIFS('Sale Proceeds'!$B:$B,"0BR",'Sale Proceeds'!$K:$K,"&gt;80%",'Sale Proceeds'!$K:$K,"&lt;=90%")</f>
        <v>0</v>
      </c>
      <c r="E27" s="474">
        <f>COUNTIFS('Sale Proceeds'!$B:$B,"0BR",'Sale Proceeds'!$K:$K,"&gt;90%",'Sale Proceeds'!$K:$K,"&lt;=100%")</f>
        <v>0</v>
      </c>
      <c r="F27" s="474">
        <f>COUNTIFS('Sale Proceeds'!$B:$B,"0BR",'Sale Proceeds'!$K:$K,"&gt;100%",'Sale Proceeds'!$K:$K,"&lt;=110%")</f>
        <v>0</v>
      </c>
      <c r="G27" s="474">
        <f>COUNTIFS('Sale Proceeds'!$B:$B,"0BR",'Sale Proceeds'!$K:$K,"&gt;110%",'Sale Proceeds'!$K:$K,"&lt;=120%")</f>
        <v>0</v>
      </c>
      <c r="H27" s="474">
        <f>COUNTIFS('Sale Proceeds'!$B:$B,"0BR",'Sale Proceeds'!$K:$K,"&gt;120%",'Sale Proceeds'!$K:$K,"&lt;=130%")</f>
        <v>0</v>
      </c>
      <c r="I27" s="449"/>
    </row>
    <row r="28" spans="1:9" s="89" customFormat="1" ht="14.25">
      <c r="A28" s="472" t="s">
        <v>26</v>
      </c>
      <c r="B28" s="473">
        <f>B17</f>
        <v>0</v>
      </c>
      <c r="C28" s="474">
        <f>COUNTIFS('Sale Proceeds'!$B:$B,"1BR",'Sale Proceeds'!$K:$K,"&lt;=80%")</f>
        <v>0</v>
      </c>
      <c r="D28" s="474">
        <f>COUNTIFS('Sale Proceeds'!$B:$B,$A28,'Sale Proceeds'!$K:$K,"&gt;80%",'Sale Proceeds'!$K:$K,"&lt;=90%")</f>
        <v>0</v>
      </c>
      <c r="E28" s="474">
        <f>COUNTIFS('Sale Proceeds'!$B:$B,$A28,'Sale Proceeds'!$K:$K,"&gt;90%",'Sale Proceeds'!$K:$K,"&lt;=100%")</f>
        <v>0</v>
      </c>
      <c r="F28" s="474">
        <f>COUNTIFS('Sale Proceeds'!$B:$B,$A28,'Sale Proceeds'!$K:$K,"&gt;100%",'Sale Proceeds'!$K:$K,"&lt;=110%")</f>
        <v>0</v>
      </c>
      <c r="G28" s="474">
        <f>COUNTIFS('Sale Proceeds'!$B:$B,$A28,'Sale Proceeds'!$K:$K,"&gt;110%",'Sale Proceeds'!$K:$K,"&lt;=120%")</f>
        <v>0</v>
      </c>
      <c r="H28" s="474">
        <f>COUNTIFS('Sale Proceeds'!$B:$B,$A28,'Sale Proceeds'!$K:$K,"&gt;120%",'Sale Proceeds'!$K:$K,"&lt;=130%")</f>
        <v>0</v>
      </c>
      <c r="I28" s="449"/>
    </row>
    <row r="29" spans="1:9" s="89" customFormat="1" ht="14.25">
      <c r="A29" s="472" t="s">
        <v>27</v>
      </c>
      <c r="B29" s="473">
        <f>B18</f>
        <v>0</v>
      </c>
      <c r="C29" s="474">
        <f>COUNTIFS('Sale Proceeds'!$B:$B,"2BR",'Sale Proceeds'!$K:$K,"&lt;=80%")</f>
        <v>0</v>
      </c>
      <c r="D29" s="474">
        <f>COUNTIFS('Sale Proceeds'!$B:$B,$A29,'Sale Proceeds'!$K:$K,"&gt;80%",'Sale Proceeds'!$K:$K,"&lt;=90%")</f>
        <v>0</v>
      </c>
      <c r="E29" s="474">
        <f>COUNTIFS('Sale Proceeds'!$B:$B,$A29,'Sale Proceeds'!$K:$K,"&gt;90%",'Sale Proceeds'!$K:$K,"&lt;=100%")</f>
        <v>0</v>
      </c>
      <c r="F29" s="474">
        <f>COUNTIFS('Sale Proceeds'!$B:$B,$A29,'Sale Proceeds'!$K:$K,"&gt;100%",'Sale Proceeds'!$K:$K,"&lt;=110%")</f>
        <v>0</v>
      </c>
      <c r="G29" s="474">
        <f>COUNTIFS('Sale Proceeds'!$B:$B,$A29,'Sale Proceeds'!$K:$K,"&gt;110%",'Sale Proceeds'!$K:$K,"&lt;=120%")</f>
        <v>0</v>
      </c>
      <c r="H29" s="474">
        <f>COUNTIFS('Sale Proceeds'!$B:$B,$A29,'Sale Proceeds'!$K:$K,"&gt;120%",'Sale Proceeds'!$K:$K,"&lt;=130%")</f>
        <v>0</v>
      </c>
      <c r="I29" s="449"/>
    </row>
    <row r="30" spans="1:9" s="89" customFormat="1" ht="14.25">
      <c r="A30" s="472" t="s">
        <v>28</v>
      </c>
      <c r="B30" s="473">
        <f>B19</f>
        <v>0</v>
      </c>
      <c r="C30" s="474">
        <f>COUNTIFS('Sale Proceeds'!$B:$B,"3BR",'Sale Proceeds'!$K:$K,"&lt;=80%")</f>
        <v>0</v>
      </c>
      <c r="D30" s="474">
        <f>COUNTIFS('Sale Proceeds'!$B:$B,$A30,'Sale Proceeds'!$K:$K,"&gt;80%",'Sale Proceeds'!$K:$K,"&lt;=90%")</f>
        <v>0</v>
      </c>
      <c r="E30" s="474">
        <f>COUNTIFS('Sale Proceeds'!$B:$B,$A30,'Sale Proceeds'!$K:$K,"&gt;90%",'Sale Proceeds'!$K:$K,"&lt;=100%")</f>
        <v>0</v>
      </c>
      <c r="F30" s="474">
        <f>COUNTIFS('Sale Proceeds'!$B:$B,$A30,'Sale Proceeds'!$K:$K,"&gt;100%",'Sale Proceeds'!$K:$K,"&lt;=110%")</f>
        <v>0</v>
      </c>
      <c r="G30" s="474">
        <f>COUNTIFS('Sale Proceeds'!$B:$B,$A30,'Sale Proceeds'!$K:$K,"&gt;110%",'Sale Proceeds'!$K:$K,"&lt;=120%")</f>
        <v>0</v>
      </c>
      <c r="H30" s="474">
        <f>COUNTIFS('Sale Proceeds'!$B:$B,$A30,'Sale Proceeds'!$K:$K,"&gt;120%",'Sale Proceeds'!$K:$K,"&lt;=130%")</f>
        <v>0</v>
      </c>
      <c r="I30" s="449"/>
    </row>
    <row r="31" spans="1:9" s="89" customFormat="1" ht="14.25">
      <c r="A31" s="472" t="s">
        <v>29</v>
      </c>
      <c r="B31" s="473">
        <f>B20</f>
        <v>0</v>
      </c>
      <c r="C31" s="474">
        <f>COUNTIFS('Sale Proceeds'!$B:$B,"4BR",'Sale Proceeds'!$K:$K,"&lt;=80%")</f>
        <v>0</v>
      </c>
      <c r="D31" s="474">
        <f>COUNTIFS('Sale Proceeds'!$B:$B,$A31,'Sale Proceeds'!$K:$K,"&gt;80%",'Sale Proceeds'!$K:$K,"&lt;=90%")</f>
        <v>0</v>
      </c>
      <c r="E31" s="474">
        <f>COUNTIFS('Sale Proceeds'!$B:$B,$A31,'Sale Proceeds'!$K:$K,"&gt;90%",'Sale Proceeds'!$K:$K,"&lt;=100%")</f>
        <v>0</v>
      </c>
      <c r="F31" s="474">
        <f>COUNTIFS('Sale Proceeds'!$B:$B,$A31,'Sale Proceeds'!$K:$K,"&gt;100%",'Sale Proceeds'!$K:$K,"&lt;=110%")</f>
        <v>0</v>
      </c>
      <c r="G31" s="474">
        <f>COUNTIFS('Sale Proceeds'!$B:$B,$A31,'Sale Proceeds'!$K:$K,"&gt;110%",'Sale Proceeds'!$K:$K,"&lt;=120%")</f>
        <v>0</v>
      </c>
      <c r="H31" s="474">
        <f>COUNTIFS('Sale Proceeds'!$B:$B,$A31,'Sale Proceeds'!$K:$K,"&gt;120%",'Sale Proceeds'!$K:$K,"&lt;=130%")</f>
        <v>0</v>
      </c>
      <c r="I31" s="449"/>
    </row>
    <row r="32" spans="1:9" s="89" customFormat="1" ht="14.25">
      <c r="A32" s="475" t="s">
        <v>31</v>
      </c>
      <c r="B32" s="476">
        <f t="shared" ref="B32:H32" si="3">SUM(B27:B31)</f>
        <v>0</v>
      </c>
      <c r="C32" s="477">
        <f t="shared" si="3"/>
        <v>0</v>
      </c>
      <c r="D32" s="477">
        <f t="shared" si="3"/>
        <v>0</v>
      </c>
      <c r="E32" s="477">
        <f t="shared" si="3"/>
        <v>0</v>
      </c>
      <c r="F32" s="477">
        <f t="shared" si="3"/>
        <v>0</v>
      </c>
      <c r="G32" s="477">
        <f t="shared" si="3"/>
        <v>0</v>
      </c>
      <c r="H32" s="477">
        <f t="shared" si="3"/>
        <v>0</v>
      </c>
      <c r="I32" s="449"/>
    </row>
    <row r="33" spans="1:6" s="89" customFormat="1" ht="14.25">
      <c r="A33" s="449"/>
      <c r="B33" s="449"/>
      <c r="C33" s="449"/>
      <c r="D33" s="450"/>
      <c r="E33" s="449"/>
      <c r="F33" s="449"/>
    </row>
    <row r="34" spans="1:6" ht="14.25">
      <c r="A34" s="478"/>
      <c r="B34" s="441"/>
      <c r="C34" s="441"/>
      <c r="D34" s="441"/>
      <c r="E34" s="441"/>
      <c r="F34" s="441"/>
    </row>
    <row r="35" spans="1:6" ht="14.25">
      <c r="A35" s="675" t="s">
        <v>37</v>
      </c>
      <c r="B35" s="675"/>
      <c r="C35" s="675"/>
      <c r="D35" s="675"/>
      <c r="E35" s="441"/>
      <c r="F35" s="441"/>
    </row>
    <row r="36" spans="1:6" ht="14.25">
      <c r="A36" s="479" t="s">
        <v>38</v>
      </c>
      <c r="B36" s="479" t="s">
        <v>39</v>
      </c>
      <c r="C36" s="479" t="s">
        <v>40</v>
      </c>
      <c r="D36" s="479" t="s">
        <v>41</v>
      </c>
      <c r="E36" s="441"/>
      <c r="F36" s="441"/>
    </row>
    <row r="37" spans="1:6" ht="14.25">
      <c r="A37" s="480">
        <v>40000</v>
      </c>
      <c r="B37" s="481">
        <v>0.9</v>
      </c>
      <c r="C37" s="482">
        <f>C32+D32</f>
        <v>0</v>
      </c>
      <c r="D37" s="483">
        <f>C37*A37</f>
        <v>0</v>
      </c>
      <c r="E37" s="441"/>
      <c r="F37" s="441"/>
    </row>
    <row r="38" spans="1:6" ht="14.25">
      <c r="A38" s="480">
        <v>32500</v>
      </c>
      <c r="B38" s="481">
        <v>1.1000000000000001</v>
      </c>
      <c r="C38" s="482">
        <f>E32+F32</f>
        <v>0</v>
      </c>
      <c r="D38" s="483">
        <f>C38*A38</f>
        <v>0</v>
      </c>
      <c r="E38" s="441"/>
      <c r="F38" s="441"/>
    </row>
    <row r="39" spans="1:6" ht="14.25">
      <c r="A39" s="480">
        <v>25000</v>
      </c>
      <c r="B39" s="481">
        <v>1.3</v>
      </c>
      <c r="C39" s="482">
        <f>G32+H32</f>
        <v>0</v>
      </c>
      <c r="D39" s="483">
        <f t="shared" ref="D39" si="4">C39*A39</f>
        <v>0</v>
      </c>
      <c r="E39" s="441"/>
      <c r="F39" s="441"/>
    </row>
    <row r="40" spans="1:6" ht="14.25">
      <c r="A40" s="201"/>
      <c r="B40" s="201"/>
      <c r="C40" s="201" t="s">
        <v>31</v>
      </c>
      <c r="D40" s="649">
        <f>SUM(D37:D39)</f>
        <v>0</v>
      </c>
      <c r="E40" s="201"/>
      <c r="F40" s="201"/>
    </row>
    <row r="41" spans="1:6" ht="14.25">
      <c r="A41" s="201"/>
      <c r="B41" s="201"/>
      <c r="C41" s="201"/>
      <c r="D41" s="201"/>
      <c r="E41" s="201"/>
      <c r="F41" s="201"/>
    </row>
    <row r="43" spans="1:6" ht="14.25">
      <c r="A43" s="675" t="s">
        <v>414</v>
      </c>
      <c r="B43" s="675"/>
      <c r="C43" s="675"/>
      <c r="D43" s="675"/>
    </row>
    <row r="44" spans="1:6" ht="14.25">
      <c r="A44" s="479" t="s">
        <v>38</v>
      </c>
      <c r="B44" s="479" t="s">
        <v>39</v>
      </c>
      <c r="C44" s="479" t="s">
        <v>40</v>
      </c>
      <c r="D44" s="479" t="s">
        <v>41</v>
      </c>
    </row>
    <row r="45" spans="1:6" ht="14.25">
      <c r="A45" s="480">
        <v>200000</v>
      </c>
      <c r="B45" s="481">
        <v>0.8</v>
      </c>
      <c r="C45" s="482">
        <f>C32</f>
        <v>0</v>
      </c>
      <c r="D45" s="483">
        <f>C45*A45</f>
        <v>0</v>
      </c>
    </row>
    <row r="46" spans="1:6" ht="14.25">
      <c r="A46" s="480">
        <v>150000</v>
      </c>
      <c r="B46" s="481">
        <v>1</v>
      </c>
      <c r="C46" s="482">
        <f>SUM(D32:E32)</f>
        <v>0</v>
      </c>
      <c r="D46" s="483">
        <f t="shared" ref="D46" si="5">C46*A46</f>
        <v>0</v>
      </c>
    </row>
    <row r="47" spans="1:6" ht="14.25">
      <c r="A47" s="201"/>
      <c r="B47" s="201"/>
      <c r="C47" s="201" t="s">
        <v>31</v>
      </c>
      <c r="D47" s="648">
        <f>SUM(D45:D46)</f>
        <v>0</v>
      </c>
    </row>
  </sheetData>
  <mergeCells count="3">
    <mergeCell ref="A35:D35"/>
    <mergeCell ref="C25:H25"/>
    <mergeCell ref="A43:D43"/>
  </mergeCells>
  <pageMargins left="0.7" right="0.7" top="0.75" bottom="0.75" header="0.3" footer="0.3"/>
  <pageSetup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77"/>
  <sheetViews>
    <sheetView zoomScaleNormal="100" zoomScaleSheetLayoutView="85" workbookViewId="0">
      <selection activeCell="B10" sqref="B10"/>
    </sheetView>
  </sheetViews>
  <sheetFormatPr defaultColWidth="9.1328125" defaultRowHeight="13.5"/>
  <cols>
    <col min="1" max="1" width="46" style="49" customWidth="1"/>
    <col min="2" max="2" width="18.265625" style="91" customWidth="1"/>
    <col min="3" max="3" width="13.3984375" style="92" customWidth="1"/>
    <col min="4" max="4" width="13.86328125" style="91" customWidth="1"/>
    <col min="5" max="5" width="12.73046875" style="49" customWidth="1"/>
    <col min="6" max="6" width="15.3984375" style="49" customWidth="1"/>
    <col min="7" max="7" width="13.265625" style="49" customWidth="1"/>
    <col min="8" max="8" width="15.3984375" style="49" customWidth="1"/>
    <col min="9" max="10" width="10.73046875" style="49" customWidth="1"/>
    <col min="11" max="11" width="8.3984375" style="49" customWidth="1"/>
    <col min="12" max="15" width="13.265625" style="49" customWidth="1"/>
    <col min="16" max="16" width="11.265625" style="49" bestFit="1" customWidth="1"/>
    <col min="17" max="16384" width="9.1328125" style="49"/>
  </cols>
  <sheetData>
    <row r="1" spans="1:14" ht="14.25">
      <c r="A1" s="202" t="str">
        <f>'Project Overview'!A1</f>
        <v>Project Name</v>
      </c>
      <c r="B1" s="203">
        <f>'Project Overview'!B1</f>
        <v>0</v>
      </c>
      <c r="C1" s="402"/>
      <c r="D1" s="268"/>
      <c r="E1" s="403"/>
      <c r="F1" s="77"/>
      <c r="G1" s="78"/>
      <c r="H1" s="79"/>
      <c r="L1" s="79"/>
      <c r="M1" s="79"/>
      <c r="N1" s="79"/>
    </row>
    <row r="2" spans="1:14" ht="14.25">
      <c r="A2" s="202" t="str">
        <f>'Project Overview'!A2</f>
        <v>Developer</v>
      </c>
      <c r="B2" s="205">
        <f>'Project Overview'!B2</f>
        <v>0</v>
      </c>
      <c r="C2" s="404"/>
      <c r="D2" s="404"/>
      <c r="E2" s="403"/>
      <c r="F2" s="77"/>
      <c r="G2" s="78"/>
      <c r="H2" s="79"/>
      <c r="L2" s="79"/>
      <c r="M2" s="79"/>
      <c r="N2" s="79"/>
    </row>
    <row r="3" spans="1:14" ht="15.75">
      <c r="A3" s="202" t="str">
        <f>'Project Overview'!A3</f>
        <v>Address</v>
      </c>
      <c r="B3" s="203">
        <f>'Project Overview'!B3</f>
        <v>0</v>
      </c>
      <c r="C3" s="206"/>
      <c r="D3" s="206" t="str">
        <f>'Project Overview'!$D$3</f>
        <v>Units:</v>
      </c>
      <c r="E3" s="207">
        <f>'Project Overview'!$E$3</f>
        <v>0</v>
      </c>
      <c r="F3" s="77"/>
      <c r="G3" s="78"/>
      <c r="H3" s="79"/>
      <c r="L3" s="79"/>
      <c r="M3" s="79"/>
      <c r="N3" s="79"/>
    </row>
    <row r="4" spans="1:14" ht="14.25">
      <c r="A4" s="202" t="str">
        <f>'Project Overview'!A4</f>
        <v>BBL</v>
      </c>
      <c r="B4" s="203">
        <f>'Project Overview'!B4</f>
        <v>0</v>
      </c>
      <c r="C4" s="402"/>
      <c r="D4" s="268"/>
      <c r="E4" s="403"/>
      <c r="F4" s="77"/>
      <c r="G4" s="78"/>
      <c r="H4" s="79"/>
      <c r="L4" s="79"/>
      <c r="M4" s="79"/>
      <c r="N4" s="79"/>
    </row>
    <row r="5" spans="1:14" ht="14.25">
      <c r="A5" s="202"/>
      <c r="B5" s="268"/>
      <c r="C5" s="402"/>
      <c r="D5" s="268"/>
      <c r="E5" s="403"/>
      <c r="F5" s="77"/>
      <c r="G5" s="78"/>
      <c r="H5" s="79"/>
      <c r="L5" s="79"/>
      <c r="M5" s="79"/>
      <c r="N5" s="79"/>
    </row>
    <row r="6" spans="1:14" ht="14.25">
      <c r="A6" s="202" t="s">
        <v>42</v>
      </c>
      <c r="B6" s="268"/>
      <c r="C6" s="402"/>
      <c r="D6" s="268"/>
      <c r="E6" s="403"/>
      <c r="F6" s="77"/>
      <c r="G6" s="78"/>
      <c r="H6" s="79"/>
      <c r="L6" s="79"/>
      <c r="M6" s="79"/>
      <c r="N6" s="79"/>
    </row>
    <row r="7" spans="1:14" ht="14.65" thickBot="1">
      <c r="A7" s="405"/>
      <c r="B7" s="406"/>
      <c r="C7" s="407"/>
      <c r="D7" s="406"/>
      <c r="E7" s="201"/>
    </row>
    <row r="8" spans="1:14" ht="14.65" thickTop="1">
      <c r="A8" s="484" t="s">
        <v>43</v>
      </c>
      <c r="B8" s="485"/>
      <c r="C8" s="486" t="s">
        <v>44</v>
      </c>
      <c r="D8" s="486" t="s">
        <v>45</v>
      </c>
      <c r="E8" s="458"/>
      <c r="F8" s="97"/>
    </row>
    <row r="9" spans="1:14" ht="14.25">
      <c r="A9" s="487" t="str">
        <f>'Dev Budget'!A79</f>
        <v>Construction Loan</v>
      </c>
      <c r="B9" s="488" t="e">
        <f ca="1">'Dev Budget'!B79</f>
        <v>#VALUE!</v>
      </c>
      <c r="C9" s="489" t="e">
        <f ca="1">'Dev Budget'!C79</f>
        <v>#VALUE!</v>
      </c>
      <c r="D9" s="490" t="e">
        <f ca="1">'Dev Budget'!D79</f>
        <v>#VALUE!</v>
      </c>
      <c r="E9" s="319"/>
      <c r="F9" s="80"/>
      <c r="G9" s="81"/>
    </row>
    <row r="10" spans="1:14" ht="14.25">
      <c r="A10" s="487" t="str">
        <f>'Dev Budget'!A80</f>
        <v>NYC HPD Open Door</v>
      </c>
      <c r="B10" s="488" t="e">
        <f ca="1">'Dev Budget'!B80</f>
        <v>#VALUE!</v>
      </c>
      <c r="C10" s="489" t="e">
        <f ca="1">'Dev Budget'!C80</f>
        <v>#VALUE!</v>
      </c>
      <c r="D10" s="490" t="e">
        <f ca="1">'Dev Budget'!D80</f>
        <v>#VALUE!</v>
      </c>
      <c r="E10" s="319"/>
      <c r="F10" s="80"/>
    </row>
    <row r="11" spans="1:14" ht="14.25">
      <c r="A11" s="487" t="str">
        <f>'Dev Budget'!A83</f>
        <v>Developer Equity</v>
      </c>
      <c r="B11" s="488">
        <f>'Dev Budget'!B83</f>
        <v>0</v>
      </c>
      <c r="C11" s="489" t="e">
        <f>'Dev Budget'!C83</f>
        <v>#DIV/0!</v>
      </c>
      <c r="D11" s="490" t="e">
        <f ca="1">'Dev Budget'!D83</f>
        <v>#VALUE!</v>
      </c>
      <c r="E11" s="319"/>
      <c r="F11" s="80"/>
      <c r="G11" s="81"/>
    </row>
    <row r="12" spans="1:14" ht="14.25">
      <c r="A12" s="487" t="str">
        <f>'Dev Budget'!A84</f>
        <v>Deferred Developer Fee</v>
      </c>
      <c r="B12" s="488" t="e">
        <f ca="1">'Dev Budget'!B84</f>
        <v>#VALUE!</v>
      </c>
      <c r="C12" s="489" t="e">
        <f ca="1">'Dev Budget'!C84</f>
        <v>#VALUE!</v>
      </c>
      <c r="D12" s="490" t="e">
        <f ca="1">'Dev Budget'!D84</f>
        <v>#VALUE!</v>
      </c>
      <c r="E12" s="319"/>
      <c r="F12" s="80"/>
      <c r="G12" s="81"/>
    </row>
    <row r="13" spans="1:14" ht="14.25">
      <c r="A13" s="487" t="str">
        <f>'Dev Budget'!A85</f>
        <v>Deferred Reserves</v>
      </c>
      <c r="B13" s="488">
        <f ca="1">'Dev Budget'!B85</f>
        <v>0</v>
      </c>
      <c r="C13" s="489" t="e">
        <f ca="1">'Dev Budget'!C85</f>
        <v>#DIV/0!</v>
      </c>
      <c r="D13" s="490" t="e">
        <f ca="1">'Dev Budget'!D85</f>
        <v>#VALUE!</v>
      </c>
      <c r="E13" s="319"/>
      <c r="F13" s="80"/>
      <c r="G13" s="81"/>
    </row>
    <row r="14" spans="1:14" ht="14.25">
      <c r="A14" s="487" t="s">
        <v>46</v>
      </c>
      <c r="B14" s="488" t="e">
        <f ca="1">'Dev Budget'!B86</f>
        <v>#VALUE!</v>
      </c>
      <c r="C14" s="488" t="e">
        <f ca="1">'Dev Budget'!C86</f>
        <v>#VALUE!</v>
      </c>
      <c r="D14" s="488" t="e">
        <f ca="1">'Dev Budget'!D86</f>
        <v>#VALUE!</v>
      </c>
      <c r="E14" s="319"/>
      <c r="F14" s="80"/>
      <c r="G14" s="81"/>
    </row>
    <row r="15" spans="1:14" ht="14.25">
      <c r="A15" s="487" t="s">
        <v>47</v>
      </c>
      <c r="B15" s="491" t="e">
        <f ca="1">SUM(B9:B14)</f>
        <v>#VALUE!</v>
      </c>
      <c r="C15" s="491" t="e">
        <f ca="1">SUM(C9:C14)</f>
        <v>#VALUE!</v>
      </c>
      <c r="D15" s="492" t="e">
        <f ca="1">SUM(D9:D14)</f>
        <v>#VALUE!</v>
      </c>
      <c r="E15" s="408"/>
      <c r="F15" s="82"/>
      <c r="G15" s="81"/>
    </row>
    <row r="16" spans="1:14" ht="14.65" thickBot="1">
      <c r="A16" s="409"/>
      <c r="B16" s="410"/>
      <c r="C16" s="410"/>
      <c r="D16" s="410"/>
      <c r="E16" s="201"/>
      <c r="G16" s="83"/>
    </row>
    <row r="17" spans="1:9" ht="14.65" thickTop="1">
      <c r="A17" s="484" t="s">
        <v>48</v>
      </c>
      <c r="B17" s="485"/>
      <c r="C17" s="486" t="s">
        <v>44</v>
      </c>
      <c r="D17" s="486" t="s">
        <v>45</v>
      </c>
      <c r="E17" s="458"/>
      <c r="F17" s="97"/>
    </row>
    <row r="18" spans="1:9" ht="14.25">
      <c r="A18" s="493" t="str">
        <f>'Dev Budget'!A90</f>
        <v>NYC HPD Open Door</v>
      </c>
      <c r="B18" s="488" t="e">
        <f ca="1">'Dev Budget'!B90</f>
        <v>#VALUE!</v>
      </c>
      <c r="C18" s="488" t="e">
        <f ca="1">'Dev Budget'!C90</f>
        <v>#VALUE!</v>
      </c>
      <c r="D18" s="490" t="e">
        <f ca="1">'Dev Budget'!D90</f>
        <v>#VALUE!</v>
      </c>
      <c r="E18" s="319"/>
      <c r="F18" s="80"/>
    </row>
    <row r="19" spans="1:9" ht="14.25">
      <c r="A19" s="493" t="str">
        <f>'Dev Budget'!A91</f>
        <v>AHC</v>
      </c>
      <c r="B19" s="488">
        <f>'Dev Budget'!B91</f>
        <v>0</v>
      </c>
      <c r="C19" s="488" t="e">
        <f>'Dev Budget'!C91</f>
        <v>#DIV/0!</v>
      </c>
      <c r="D19" s="490" t="e">
        <f ca="1">'Dev Budget'!D91</f>
        <v>#VALUE!</v>
      </c>
      <c r="E19" s="319"/>
      <c r="F19" s="80"/>
      <c r="G19" s="78"/>
    </row>
    <row r="20" spans="1:9" ht="14.25">
      <c r="A20" s="493" t="s">
        <v>415</v>
      </c>
      <c r="B20" s="488">
        <f>'Dev Budget'!B92</f>
        <v>0</v>
      </c>
      <c r="C20" s="488" t="e">
        <f>'Dev Budget'!C92</f>
        <v>#DIV/0!</v>
      </c>
      <c r="D20" s="490" t="e">
        <f ca="1">'Dev Budget'!D92</f>
        <v>#VALUE!</v>
      </c>
      <c r="E20" s="319"/>
      <c r="F20" s="80"/>
      <c r="G20" s="78"/>
    </row>
    <row r="21" spans="1:9" ht="14.25">
      <c r="A21" s="493" t="str">
        <f>'Dev Budget'!A93</f>
        <v>Sales Proceeds</v>
      </c>
      <c r="B21" s="488">
        <f>'Dev Budget'!B93</f>
        <v>0</v>
      </c>
      <c r="C21" s="488" t="e">
        <f>'Dev Budget'!C93</f>
        <v>#DIV/0!</v>
      </c>
      <c r="D21" s="490" t="e">
        <f ca="1">'Dev Budget'!D93</f>
        <v>#VALUE!</v>
      </c>
      <c r="E21" s="319"/>
      <c r="F21" s="80"/>
      <c r="G21" s="81"/>
    </row>
    <row r="22" spans="1:9" ht="14.25">
      <c r="A22" s="493" t="s">
        <v>46</v>
      </c>
      <c r="B22" s="494" t="e">
        <f ca="1">'Dev Budget'!B94</f>
        <v>#VALUE!</v>
      </c>
      <c r="C22" s="494" t="e">
        <f ca="1">'Dev Budget'!C94</f>
        <v>#VALUE!</v>
      </c>
      <c r="D22" s="494" t="e">
        <f ca="1">'Dev Budget'!D94</f>
        <v>#VALUE!</v>
      </c>
      <c r="E22" s="319"/>
      <c r="F22" s="80"/>
      <c r="G22" s="81"/>
    </row>
    <row r="23" spans="1:9" ht="14.25">
      <c r="A23" s="487" t="s">
        <v>47</v>
      </c>
      <c r="B23" s="491" t="e">
        <f ca="1">SUM(B18:B22)</f>
        <v>#VALUE!</v>
      </c>
      <c r="C23" s="491" t="e">
        <f ca="1">SUM(C18:C22)</f>
        <v>#VALUE!</v>
      </c>
      <c r="D23" s="492" t="e">
        <f ca="1">SUM(D18:D22)</f>
        <v>#VALUE!</v>
      </c>
      <c r="E23" s="408"/>
      <c r="F23" s="82"/>
      <c r="G23" s="81"/>
    </row>
    <row r="24" spans="1:9" ht="14.65" thickBot="1">
      <c r="A24" s="409"/>
      <c r="B24" s="411"/>
      <c r="C24" s="412"/>
      <c r="D24" s="411"/>
      <c r="E24" s="201"/>
      <c r="G24" s="83"/>
    </row>
    <row r="25" spans="1:9" ht="14.65" thickTop="1">
      <c r="A25" s="495" t="s">
        <v>49</v>
      </c>
      <c r="B25" s="485"/>
      <c r="C25" s="486" t="s">
        <v>44</v>
      </c>
      <c r="D25" s="486" t="s">
        <v>45</v>
      </c>
      <c r="E25" s="201"/>
      <c r="F25" s="57"/>
    </row>
    <row r="26" spans="1:9" ht="14.25">
      <c r="A26" s="487" t="s">
        <v>50</v>
      </c>
      <c r="B26" s="496">
        <f>'Dev Budget'!B12</f>
        <v>0</v>
      </c>
      <c r="C26" s="488" t="e">
        <f>B26/TOTALDU</f>
        <v>#DIV/0!</v>
      </c>
      <c r="D26" s="497" t="e">
        <f ca="1">B26/$B$30</f>
        <v>#VALUE!</v>
      </c>
      <c r="E26" s="413"/>
      <c r="F26" s="85"/>
      <c r="G26" s="86"/>
    </row>
    <row r="27" spans="1:9" ht="14.25">
      <c r="A27" s="487" t="s">
        <v>51</v>
      </c>
      <c r="B27" s="496">
        <f>'Dev Budget'!B22</f>
        <v>0</v>
      </c>
      <c r="C27" s="488" t="e">
        <f>B27/TOTALDU</f>
        <v>#DIV/0!</v>
      </c>
      <c r="D27" s="497" t="e">
        <f ca="1">B27/$B$30</f>
        <v>#VALUE!</v>
      </c>
      <c r="E27" s="414"/>
      <c r="F27" s="87"/>
      <c r="G27" s="86"/>
      <c r="H27" s="64"/>
      <c r="I27" s="88"/>
    </row>
    <row r="28" spans="1:9" ht="14.25">
      <c r="A28" s="487" t="s">
        <v>52</v>
      </c>
      <c r="B28" s="496" t="e">
        <f ca="1">'Dev Budget'!B71</f>
        <v>#VALUE!</v>
      </c>
      <c r="C28" s="488" t="e">
        <f ca="1">B28/TOTALDU</f>
        <v>#VALUE!</v>
      </c>
      <c r="D28" s="497" t="e">
        <f ca="1">B28/$B$30</f>
        <v>#VALUE!</v>
      </c>
      <c r="E28" s="271"/>
      <c r="F28" s="57"/>
      <c r="G28" s="57"/>
    </row>
    <row r="29" spans="1:9" ht="14.25">
      <c r="A29" s="487" t="s">
        <v>53</v>
      </c>
      <c r="B29" s="496" t="e">
        <f ca="1">'Dev Budget'!B73</f>
        <v>#VALUE!</v>
      </c>
      <c r="C29" s="488" t="e">
        <f ca="1">B29/TOTALDU</f>
        <v>#VALUE!</v>
      </c>
      <c r="D29" s="497" t="e">
        <f ca="1">B29/B30</f>
        <v>#VALUE!</v>
      </c>
      <c r="E29" s="271"/>
      <c r="F29" s="90"/>
      <c r="G29" s="86"/>
    </row>
    <row r="30" spans="1:9" ht="14.25">
      <c r="A30" s="487" t="s">
        <v>54</v>
      </c>
      <c r="B30" s="491" t="e">
        <f ca="1">SUM(B26:B29)</f>
        <v>#VALUE!</v>
      </c>
      <c r="C30" s="491" t="e">
        <f t="shared" ref="C30:D30" si="0">SUM(C26:C29)</f>
        <v>#DIV/0!</v>
      </c>
      <c r="D30" s="492" t="e">
        <f t="shared" ca="1" si="0"/>
        <v>#VALUE!</v>
      </c>
      <c r="E30" s="271"/>
      <c r="F30" s="89"/>
    </row>
    <row r="31" spans="1:9" ht="13.9">
      <c r="A31" s="48"/>
      <c r="G31" s="48"/>
    </row>
    <row r="32" spans="1:9" ht="13.9">
      <c r="A32" s="48"/>
      <c r="G32" s="64"/>
    </row>
    <row r="33" spans="1:13" ht="13.9">
      <c r="A33" s="48"/>
      <c r="G33" s="64"/>
    </row>
    <row r="34" spans="1:13">
      <c r="B34" s="68"/>
      <c r="C34" s="93"/>
      <c r="D34" s="93"/>
      <c r="G34" s="89"/>
    </row>
    <row r="35" spans="1:13" ht="13.9">
      <c r="B35" s="75"/>
      <c r="C35" s="94"/>
      <c r="D35" s="76"/>
      <c r="E35" s="89"/>
      <c r="F35" s="89"/>
      <c r="J35" s="53"/>
    </row>
    <row r="36" spans="1:13">
      <c r="B36" s="93"/>
      <c r="C36" s="93"/>
      <c r="D36" s="93"/>
      <c r="K36" s="89"/>
      <c r="L36" s="89"/>
      <c r="M36" s="89"/>
    </row>
    <row r="37" spans="1:13">
      <c r="B37" s="93"/>
      <c r="C37" s="93"/>
      <c r="D37" s="93"/>
      <c r="G37" s="53"/>
    </row>
    <row r="38" spans="1:13" ht="13.9">
      <c r="A38" s="95"/>
      <c r="B38" s="93"/>
      <c r="C38" s="96"/>
      <c r="D38" s="96"/>
      <c r="E38" s="97"/>
    </row>
    <row r="39" spans="1:13">
      <c r="A39" s="98"/>
      <c r="B39" s="93"/>
      <c r="C39" s="99"/>
      <c r="D39" s="93"/>
      <c r="E39" s="100"/>
      <c r="F39" s="71"/>
    </row>
    <row r="40" spans="1:13">
      <c r="A40" s="58"/>
      <c r="B40" s="93"/>
      <c r="C40" s="101"/>
      <c r="D40" s="93"/>
      <c r="E40" s="70"/>
      <c r="F40" s="102"/>
    </row>
    <row r="41" spans="1:13">
      <c r="A41" s="58"/>
      <c r="B41" s="93"/>
      <c r="C41" s="101"/>
      <c r="D41" s="93"/>
      <c r="E41" s="70"/>
      <c r="F41" s="102"/>
    </row>
    <row r="42" spans="1:13">
      <c r="A42" s="58"/>
      <c r="B42" s="93"/>
      <c r="C42" s="101"/>
      <c r="D42" s="93"/>
      <c r="E42" s="70"/>
      <c r="F42" s="103"/>
    </row>
    <row r="43" spans="1:13">
      <c r="A43" s="104"/>
      <c r="B43" s="105"/>
      <c r="C43" s="106"/>
      <c r="D43" s="105"/>
      <c r="E43" s="107"/>
      <c r="F43" s="108"/>
      <c r="G43" s="109"/>
      <c r="H43" s="109"/>
      <c r="I43" s="109"/>
    </row>
    <row r="44" spans="1:13">
      <c r="A44" s="104"/>
      <c r="B44" s="105"/>
      <c r="C44" s="110"/>
      <c r="D44" s="105"/>
      <c r="E44" s="108"/>
      <c r="F44" s="111"/>
      <c r="G44" s="109"/>
      <c r="H44" s="109"/>
      <c r="I44" s="109"/>
    </row>
    <row r="45" spans="1:13">
      <c r="A45" s="104"/>
      <c r="B45" s="105"/>
      <c r="C45" s="106"/>
      <c r="D45" s="105"/>
      <c r="E45" s="107"/>
      <c r="G45" s="109"/>
      <c r="H45" s="109"/>
      <c r="I45" s="109"/>
    </row>
    <row r="46" spans="1:13">
      <c r="A46" s="104"/>
      <c r="B46" s="105"/>
      <c r="C46" s="110"/>
      <c r="D46" s="105"/>
      <c r="E46" s="108"/>
      <c r="F46" s="111"/>
      <c r="G46" s="109"/>
      <c r="H46" s="109"/>
      <c r="I46" s="109"/>
    </row>
    <row r="47" spans="1:13">
      <c r="A47" s="112"/>
      <c r="B47" s="113"/>
      <c r="C47" s="99"/>
      <c r="D47" s="113"/>
      <c r="E47" s="100"/>
      <c r="F47" s="114"/>
      <c r="G47" s="115"/>
      <c r="H47" s="115"/>
      <c r="I47" s="115"/>
    </row>
    <row r="48" spans="1:13">
      <c r="A48" s="112"/>
      <c r="B48" s="113"/>
      <c r="C48" s="99"/>
      <c r="D48" s="113"/>
      <c r="E48" s="100"/>
      <c r="F48" s="106"/>
      <c r="G48" s="116"/>
      <c r="H48" s="115"/>
      <c r="I48" s="115"/>
    </row>
    <row r="49" spans="1:18" ht="13.9">
      <c r="A49" s="117"/>
      <c r="B49" s="99"/>
      <c r="C49" s="118"/>
      <c r="D49" s="99"/>
      <c r="E49" s="119"/>
      <c r="F49" s="120"/>
      <c r="G49" s="121"/>
      <c r="I49" s="122"/>
    </row>
    <row r="50" spans="1:18">
      <c r="A50" s="117"/>
      <c r="B50" s="99"/>
      <c r="C50" s="99"/>
      <c r="D50" s="99"/>
      <c r="E50" s="100"/>
      <c r="F50" s="100"/>
      <c r="G50" s="121"/>
      <c r="H50" s="116"/>
      <c r="I50" s="122"/>
      <c r="K50" s="53"/>
    </row>
    <row r="51" spans="1:18" ht="13.9">
      <c r="A51" s="117"/>
      <c r="B51" s="99"/>
      <c r="C51" s="99"/>
      <c r="D51" s="99"/>
      <c r="E51" s="100"/>
      <c r="F51" s="100"/>
      <c r="G51" s="123"/>
      <c r="H51" s="64"/>
      <c r="I51" s="124"/>
    </row>
    <row r="52" spans="1:18">
      <c r="A52" s="117"/>
      <c r="B52" s="99"/>
      <c r="C52" s="99"/>
      <c r="D52" s="99"/>
      <c r="E52" s="100"/>
      <c r="F52" s="100"/>
      <c r="G52" s="116"/>
      <c r="H52" s="116"/>
      <c r="I52" s="116"/>
    </row>
    <row r="53" spans="1:18">
      <c r="A53" s="112"/>
      <c r="B53" s="113"/>
      <c r="C53" s="99"/>
      <c r="D53" s="113"/>
      <c r="E53" s="100"/>
      <c r="F53" s="114"/>
      <c r="G53" s="115"/>
      <c r="H53" s="116"/>
      <c r="I53" s="115"/>
    </row>
    <row r="54" spans="1:18">
      <c r="A54" s="112"/>
      <c r="B54" s="113"/>
      <c r="C54" s="118"/>
      <c r="D54" s="113"/>
      <c r="E54" s="119"/>
    </row>
    <row r="55" spans="1:18">
      <c r="A55" s="117"/>
      <c r="B55" s="113"/>
      <c r="C55" s="99"/>
      <c r="D55" s="113"/>
      <c r="E55" s="100"/>
    </row>
    <row r="56" spans="1:18">
      <c r="A56" s="117"/>
      <c r="B56" s="113"/>
      <c r="C56" s="99"/>
      <c r="D56" s="113"/>
      <c r="E56" s="100"/>
    </row>
    <row r="57" spans="1:18">
      <c r="A57" s="117"/>
      <c r="B57" s="113"/>
      <c r="C57" s="99"/>
      <c r="D57" s="113"/>
      <c r="E57" s="100"/>
    </row>
    <row r="58" spans="1:18" ht="13.9">
      <c r="A58" s="117"/>
      <c r="B58" s="99"/>
      <c r="C58" s="125"/>
      <c r="D58" s="99"/>
      <c r="E58" s="126"/>
      <c r="F58" s="100"/>
    </row>
    <row r="59" spans="1:18">
      <c r="A59" s="127"/>
      <c r="B59" s="128"/>
      <c r="C59" s="128"/>
      <c r="D59" s="128"/>
      <c r="E59" s="129"/>
      <c r="F59" s="116"/>
      <c r="G59" s="116"/>
      <c r="H59" s="116"/>
    </row>
    <row r="60" spans="1:18">
      <c r="A60" s="127"/>
      <c r="B60" s="128"/>
      <c r="C60" s="128"/>
      <c r="D60" s="128"/>
    </row>
    <row r="61" spans="1:18">
      <c r="A61" s="115"/>
      <c r="B61" s="93"/>
      <c r="C61" s="128"/>
      <c r="D61" s="130"/>
      <c r="E61" s="129"/>
    </row>
    <row r="62" spans="1:18">
      <c r="A62" s="115"/>
      <c r="B62" s="93"/>
      <c r="C62" s="128"/>
      <c r="D62" s="131"/>
      <c r="E62" s="129"/>
    </row>
    <row r="63" spans="1:18">
      <c r="B63" s="84"/>
      <c r="C63" s="128"/>
      <c r="D63" s="128"/>
      <c r="E63" s="132"/>
      <c r="F63" s="132"/>
      <c r="G63" s="133"/>
      <c r="H63" s="133"/>
      <c r="I63" s="132"/>
      <c r="J63" s="132"/>
      <c r="K63" s="132"/>
      <c r="L63" s="132"/>
      <c r="M63" s="132"/>
      <c r="N63" s="132"/>
      <c r="O63" s="132"/>
      <c r="P63" s="132"/>
      <c r="Q63" s="132"/>
      <c r="R63" s="132"/>
    </row>
    <row r="64" spans="1:18" ht="13.9">
      <c r="A64" s="64"/>
      <c r="B64" s="84"/>
      <c r="C64" s="128"/>
      <c r="D64" s="128"/>
      <c r="E64" s="132"/>
      <c r="F64" s="132"/>
      <c r="G64" s="133"/>
      <c r="H64" s="133"/>
      <c r="I64" s="132"/>
      <c r="J64" s="132"/>
      <c r="K64" s="132"/>
      <c r="L64" s="132"/>
      <c r="M64" s="132"/>
      <c r="N64" s="132"/>
      <c r="O64" s="132"/>
      <c r="P64" s="132"/>
      <c r="Q64" s="132"/>
      <c r="R64" s="132"/>
    </row>
    <row r="65" spans="1:17">
      <c r="B65" s="134"/>
      <c r="C65" s="93"/>
      <c r="D65" s="135"/>
      <c r="E65" s="133"/>
      <c r="F65" s="133"/>
      <c r="G65" s="133"/>
      <c r="H65" s="133"/>
      <c r="I65" s="133"/>
      <c r="J65" s="133"/>
      <c r="K65" s="133"/>
      <c r="L65" s="133"/>
      <c r="M65" s="133"/>
      <c r="N65" s="133"/>
      <c r="O65" s="133"/>
    </row>
    <row r="66" spans="1:17">
      <c r="B66" s="134"/>
      <c r="C66" s="93"/>
      <c r="D66" s="135"/>
      <c r="E66" s="100"/>
      <c r="F66" s="100"/>
      <c r="G66" s="133"/>
      <c r="H66" s="133"/>
      <c r="I66" s="133"/>
      <c r="J66" s="133"/>
      <c r="K66" s="133"/>
      <c r="L66" s="133"/>
      <c r="M66" s="133"/>
      <c r="N66" s="133"/>
      <c r="O66" s="133"/>
      <c r="Q66" s="136"/>
    </row>
    <row r="67" spans="1:17">
      <c r="B67" s="137"/>
      <c r="C67" s="93"/>
      <c r="D67" s="118"/>
      <c r="G67" s="100"/>
      <c r="H67" s="100"/>
      <c r="I67" s="100"/>
      <c r="J67" s="100"/>
      <c r="K67" s="100"/>
      <c r="L67" s="100"/>
      <c r="M67" s="100"/>
      <c r="N67" s="100"/>
      <c r="O67" s="100"/>
    </row>
    <row r="68" spans="1:17">
      <c r="B68" s="84"/>
      <c r="C68" s="69"/>
      <c r="D68" s="84"/>
    </row>
    <row r="69" spans="1:17">
      <c r="A69" s="93"/>
      <c r="B69" s="138"/>
      <c r="C69" s="69"/>
      <c r="D69" s="139"/>
    </row>
    <row r="70" spans="1:17">
      <c r="A70" s="140"/>
      <c r="B70" s="141"/>
      <c r="C70" s="69"/>
      <c r="D70" s="142"/>
    </row>
    <row r="71" spans="1:17">
      <c r="A71" s="50"/>
      <c r="B71" s="141"/>
      <c r="C71" s="69"/>
      <c r="D71" s="142"/>
    </row>
    <row r="72" spans="1:17">
      <c r="A72" s="140"/>
      <c r="B72" s="141"/>
      <c r="C72" s="143"/>
      <c r="D72" s="142"/>
    </row>
    <row r="73" spans="1:17">
      <c r="A73" s="50"/>
      <c r="B73" s="141"/>
      <c r="C73" s="69"/>
      <c r="D73" s="142"/>
    </row>
    <row r="74" spans="1:17">
      <c r="A74" s="140"/>
      <c r="B74" s="141"/>
      <c r="C74" s="69"/>
      <c r="D74" s="142"/>
    </row>
    <row r="75" spans="1:17">
      <c r="A75" s="50"/>
      <c r="B75" s="141"/>
      <c r="C75" s="69"/>
      <c r="D75" s="142"/>
    </row>
    <row r="76" spans="1:17">
      <c r="A76" s="50"/>
      <c r="B76" s="141"/>
      <c r="C76" s="69"/>
      <c r="D76" s="144"/>
    </row>
    <row r="77" spans="1:17">
      <c r="A77" s="50"/>
      <c r="B77" s="141"/>
      <c r="D77" s="145"/>
    </row>
  </sheetData>
  <dataConsolidate/>
  <conditionalFormatting sqref="A53:B53 G53 I53">
    <cfRule type="cellIs" dxfId="7" priority="3" stopIfTrue="1" operator="lessThan">
      <formula>10000</formula>
    </cfRule>
  </conditionalFormatting>
  <conditionalFormatting sqref="B39">
    <cfRule type="cellIs" dxfId="6" priority="4" stopIfTrue="1" operator="greaterThan">
      <formula>0</formula>
    </cfRule>
  </conditionalFormatting>
  <conditionalFormatting sqref="B60">
    <cfRule type="cellIs" dxfId="5" priority="5" stopIfTrue="1" operator="notEqual">
      <formula>0</formula>
    </cfRule>
  </conditionalFormatting>
  <pageMargins left="0.7" right="0.7" top="0.75" bottom="0.75" header="0.3" footer="0.3"/>
  <pageSetup scale="99" orientation="portrait" r:id="rId1"/>
  <headerFooter>
    <oddHeader>&amp;L&amp;"Arial,Bold"&amp;12&amp;A&amp;R&amp;"Arial,Regular"&amp;D</oddHeader>
    <oddFooter>&amp;L&amp;"Arial,Regular"&amp;9&amp;F&amp;R&amp;"Arial,Italic"&amp;10&amp;P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102"/>
  <sheetViews>
    <sheetView topLeftCell="A42" zoomScaleNormal="100" zoomScaleSheetLayoutView="85" workbookViewId="0">
      <selection activeCell="B52" sqref="B52"/>
    </sheetView>
  </sheetViews>
  <sheetFormatPr defaultColWidth="9.1328125" defaultRowHeight="13.5"/>
  <cols>
    <col min="1" max="1" width="46" style="49" customWidth="1"/>
    <col min="2" max="2" width="19.73046875" style="79" customWidth="1"/>
    <col min="3" max="3" width="13.3984375" style="146" customWidth="1"/>
    <col min="4" max="4" width="13.265625" style="146" customWidth="1"/>
    <col min="5" max="5" width="11.3984375" style="146" customWidth="1"/>
    <col min="6" max="6" width="49.265625" style="49" customWidth="1"/>
    <col min="7" max="7" width="15.73046875" style="49" customWidth="1"/>
    <col min="8" max="8" width="16" style="49" customWidth="1"/>
    <col min="9" max="9" width="17.265625" style="49" bestFit="1" customWidth="1"/>
    <col min="10" max="10" width="15.3984375" style="49" customWidth="1"/>
    <col min="11" max="11" width="10.3984375" style="49" bestFit="1" customWidth="1"/>
    <col min="12" max="16384" width="9.1328125" style="49"/>
  </cols>
  <sheetData>
    <row r="1" spans="1:13" ht="14.25">
      <c r="A1" s="202" t="str">
        <f>'Project Overview'!A1</f>
        <v>Project Name</v>
      </c>
      <c r="B1" s="203">
        <f>'Project Overview'!B1</f>
        <v>0</v>
      </c>
      <c r="C1" s="370"/>
      <c r="D1" s="370"/>
      <c r="E1" s="370"/>
      <c r="F1" s="201"/>
      <c r="G1" s="201"/>
    </row>
    <row r="2" spans="1:13" ht="14.25">
      <c r="A2" s="202" t="str">
        <f>'Project Overview'!A2</f>
        <v>Developer</v>
      </c>
      <c r="B2" s="205">
        <f>'Project Overview'!B2</f>
        <v>0</v>
      </c>
      <c r="C2" s="370"/>
      <c r="D2" s="370"/>
      <c r="E2" s="370"/>
      <c r="F2" s="201"/>
      <c r="G2" s="201"/>
    </row>
    <row r="3" spans="1:13" ht="15.75">
      <c r="A3" s="202" t="str">
        <f>'Project Overview'!A3</f>
        <v>Address</v>
      </c>
      <c r="B3" s="203">
        <f>'Project Overview'!B3</f>
        <v>0</v>
      </c>
      <c r="C3" s="206"/>
      <c r="D3" s="206" t="str">
        <f>'Project Overview'!$D$3</f>
        <v>Units:</v>
      </c>
      <c r="E3" s="207">
        <f>'Project Overview'!$E$3</f>
        <v>0</v>
      </c>
      <c r="F3" s="201"/>
      <c r="G3" s="201"/>
    </row>
    <row r="4" spans="1:13" ht="14.25">
      <c r="A4" s="202" t="str">
        <f>'Project Overview'!A4</f>
        <v>BBL</v>
      </c>
      <c r="B4" s="203">
        <f>'Project Overview'!B4</f>
        <v>0</v>
      </c>
      <c r="C4" s="370"/>
      <c r="D4" s="370"/>
      <c r="E4" s="370"/>
      <c r="F4" s="201"/>
      <c r="G4" s="201"/>
    </row>
    <row r="5" spans="1:13" ht="14.25">
      <c r="A5" s="201"/>
      <c r="B5" s="371"/>
      <c r="C5" s="370"/>
      <c r="D5" s="370"/>
      <c r="E5" s="370"/>
      <c r="F5" s="201"/>
      <c r="G5" s="201"/>
    </row>
    <row r="6" spans="1:13" ht="14.25">
      <c r="A6" s="235" t="s">
        <v>55</v>
      </c>
      <c r="B6" s="371"/>
      <c r="C6" s="370"/>
      <c r="D6" s="370"/>
      <c r="E6" s="370"/>
      <c r="F6" s="201"/>
      <c r="G6" s="201"/>
    </row>
    <row r="7" spans="1:13" ht="14.25">
      <c r="A7" s="235"/>
      <c r="B7" s="371"/>
      <c r="C7" s="370"/>
      <c r="D7" s="370"/>
      <c r="E7" s="370"/>
      <c r="F7" s="201"/>
      <c r="G7" s="201"/>
    </row>
    <row r="8" spans="1:13" ht="14.25">
      <c r="A8" s="498" t="s">
        <v>56</v>
      </c>
      <c r="B8" s="453" t="s">
        <v>31</v>
      </c>
      <c r="C8" s="453" t="s">
        <v>44</v>
      </c>
      <c r="D8" s="453" t="s">
        <v>57</v>
      </c>
      <c r="E8" s="679" t="s">
        <v>58</v>
      </c>
      <c r="F8" s="680"/>
      <c r="G8" s="201"/>
    </row>
    <row r="9" spans="1:13" ht="14.25">
      <c r="A9" s="499"/>
      <c r="B9" s="201"/>
      <c r="C9" s="372"/>
      <c r="D9" s="372"/>
      <c r="E9" s="372"/>
      <c r="F9" s="373"/>
      <c r="G9" s="201"/>
      <c r="H9" s="53"/>
      <c r="M9" s="146"/>
    </row>
    <row r="10" spans="1:13" ht="14.25">
      <c r="A10" s="500" t="s">
        <v>50</v>
      </c>
      <c r="B10" s="212"/>
      <c r="C10" s="374"/>
      <c r="D10" s="375"/>
      <c r="E10" s="375"/>
      <c r="F10" s="376"/>
      <c r="G10" s="201"/>
      <c r="H10" s="53"/>
      <c r="I10" s="53"/>
      <c r="M10" s="146"/>
    </row>
    <row r="11" spans="1:13" ht="14.25">
      <c r="A11" s="501" t="s">
        <v>59</v>
      </c>
      <c r="B11" s="650"/>
      <c r="C11" s="651" t="e">
        <f>B11/TOTALDU</f>
        <v>#DIV/0!</v>
      </c>
      <c r="D11" s="651" t="e">
        <f>B11/GSF</f>
        <v>#DIV/0!</v>
      </c>
      <c r="E11" s="379"/>
      <c r="F11" s="380"/>
      <c r="G11" s="201"/>
      <c r="H11" s="79"/>
      <c r="I11" s="53"/>
      <c r="M11" s="146"/>
    </row>
    <row r="12" spans="1:13" ht="14.25">
      <c r="A12" s="502" t="s">
        <v>60</v>
      </c>
      <c r="B12" s="652">
        <f>SUM(B11:B11)</f>
        <v>0</v>
      </c>
      <c r="C12" s="653" t="e">
        <f>B12/TOTALDU</f>
        <v>#DIV/0!</v>
      </c>
      <c r="D12" s="653" t="e">
        <f>B12/GSF</f>
        <v>#DIV/0!</v>
      </c>
      <c r="E12" s="379"/>
      <c r="F12" s="380"/>
      <c r="G12" s="201"/>
      <c r="I12" s="53"/>
      <c r="M12" s="146"/>
    </row>
    <row r="13" spans="1:13" ht="14.25">
      <c r="A13" s="499"/>
      <c r="B13" s="654"/>
      <c r="C13" s="655"/>
      <c r="D13" s="655"/>
      <c r="E13" s="382"/>
      <c r="F13" s="376"/>
      <c r="G13" s="201"/>
      <c r="I13" s="146"/>
      <c r="M13" s="146"/>
    </row>
    <row r="14" spans="1:13" ht="14.25">
      <c r="A14" s="500" t="s">
        <v>51</v>
      </c>
      <c r="B14" s="656"/>
      <c r="C14" s="657"/>
      <c r="D14" s="657"/>
      <c r="E14" s="375"/>
      <c r="F14" s="376"/>
      <c r="G14" s="201"/>
    </row>
    <row r="15" spans="1:13" ht="14.25">
      <c r="A15" s="501" t="s">
        <v>61</v>
      </c>
      <c r="B15" s="650"/>
      <c r="C15" s="651" t="e">
        <f>B15/TOTALDU</f>
        <v>#DIV/0!</v>
      </c>
      <c r="D15" s="651" t="e">
        <f>B15/GSF</f>
        <v>#DIV/0!</v>
      </c>
      <c r="E15" s="379"/>
      <c r="F15" s="376"/>
      <c r="G15" s="201"/>
    </row>
    <row r="16" spans="1:13" ht="14.25">
      <c r="A16" s="501" t="s">
        <v>62</v>
      </c>
      <c r="B16" s="656"/>
      <c r="C16" s="657"/>
      <c r="D16" s="657"/>
      <c r="E16" s="375"/>
      <c r="F16" s="376"/>
      <c r="G16" s="201"/>
    </row>
    <row r="17" spans="1:10" ht="14.25">
      <c r="A17" s="478" t="s">
        <v>63</v>
      </c>
      <c r="B17" s="650"/>
      <c r="C17" s="651" t="e">
        <f t="shared" ref="C17:C22" si="0">B17/TOTALDU</f>
        <v>#DIV/0!</v>
      </c>
      <c r="D17" s="651" t="e">
        <f t="shared" ref="D17:D22" si="1">B17/GSF</f>
        <v>#DIV/0!</v>
      </c>
      <c r="E17" s="379"/>
      <c r="F17" s="376"/>
      <c r="G17" s="201"/>
    </row>
    <row r="18" spans="1:10" ht="14.25">
      <c r="A18" s="478" t="s">
        <v>64</v>
      </c>
      <c r="B18" s="650"/>
      <c r="C18" s="651" t="e">
        <f t="shared" si="0"/>
        <v>#DIV/0!</v>
      </c>
      <c r="D18" s="651" t="e">
        <f t="shared" si="1"/>
        <v>#DIV/0!</v>
      </c>
      <c r="E18" s="379"/>
      <c r="F18" s="376"/>
      <c r="G18" s="201"/>
    </row>
    <row r="19" spans="1:10" ht="14.25">
      <c r="A19" s="478" t="s">
        <v>65</v>
      </c>
      <c r="B19" s="650"/>
      <c r="C19" s="651" t="e">
        <f t="shared" si="0"/>
        <v>#DIV/0!</v>
      </c>
      <c r="D19" s="651" t="e">
        <f t="shared" si="1"/>
        <v>#DIV/0!</v>
      </c>
      <c r="E19" s="379"/>
      <c r="F19" s="376"/>
      <c r="G19" s="201"/>
    </row>
    <row r="20" spans="1:10" ht="14.25">
      <c r="A20" s="478" t="s">
        <v>17</v>
      </c>
      <c r="B20" s="650"/>
      <c r="C20" s="651" t="e">
        <f t="shared" si="0"/>
        <v>#DIV/0!</v>
      </c>
      <c r="D20" s="651" t="e">
        <f t="shared" si="1"/>
        <v>#DIV/0!</v>
      </c>
      <c r="E20" s="379"/>
      <c r="F20" s="376"/>
      <c r="G20" s="201"/>
    </row>
    <row r="21" spans="1:10" ht="14.25">
      <c r="A21" s="501" t="s">
        <v>66</v>
      </c>
      <c r="B21" s="658">
        <f>SUM(B15:B20)*E21</f>
        <v>0</v>
      </c>
      <c r="C21" s="651" t="e">
        <f t="shared" si="0"/>
        <v>#DIV/0!</v>
      </c>
      <c r="D21" s="651" t="e">
        <f t="shared" si="1"/>
        <v>#DIV/0!</v>
      </c>
      <c r="E21" s="383">
        <v>0.05</v>
      </c>
      <c r="F21" s="380" t="s">
        <v>67</v>
      </c>
      <c r="G21" s="384"/>
      <c r="I21" s="79"/>
      <c r="J21" s="79"/>
    </row>
    <row r="22" spans="1:10" ht="14.25">
      <c r="A22" s="502" t="s">
        <v>68</v>
      </c>
      <c r="B22" s="652">
        <f>SUM(B15:B21)</f>
        <v>0</v>
      </c>
      <c r="C22" s="653" t="e">
        <f t="shared" si="0"/>
        <v>#DIV/0!</v>
      </c>
      <c r="D22" s="653" t="e">
        <f t="shared" si="1"/>
        <v>#DIV/0!</v>
      </c>
      <c r="E22" s="379"/>
      <c r="F22" s="380"/>
      <c r="G22" s="201"/>
      <c r="J22" s="62"/>
    </row>
    <row r="23" spans="1:10" ht="14.25">
      <c r="A23" s="499"/>
      <c r="B23" s="654"/>
      <c r="C23" s="658"/>
      <c r="D23" s="658"/>
      <c r="E23" s="385"/>
      <c r="F23" s="386"/>
      <c r="G23" s="201"/>
    </row>
    <row r="24" spans="1:10" ht="14.25">
      <c r="A24" s="500" t="s">
        <v>52</v>
      </c>
      <c r="B24" s="656"/>
      <c r="C24" s="659"/>
      <c r="D24" s="659"/>
      <c r="E24" s="375"/>
      <c r="F24" s="376"/>
      <c r="G24" s="201"/>
    </row>
    <row r="25" spans="1:10" ht="14.25">
      <c r="A25" s="503" t="s">
        <v>69</v>
      </c>
      <c r="B25" s="656"/>
      <c r="C25" s="659"/>
      <c r="D25" s="659"/>
      <c r="E25" s="375"/>
      <c r="F25" s="376"/>
      <c r="G25" s="201"/>
    </row>
    <row r="26" spans="1:10" ht="14.25">
      <c r="A26" s="504" t="s">
        <v>70</v>
      </c>
      <c r="B26" s="650"/>
      <c r="C26" s="651" t="e">
        <f t="shared" ref="C26" si="2">B26/TOTALDU</f>
        <v>#DIV/0!</v>
      </c>
      <c r="D26" s="651" t="e">
        <f t="shared" ref="D26" si="3">B26/GSF</f>
        <v>#DIV/0!</v>
      </c>
      <c r="E26" s="375"/>
      <c r="F26" s="376"/>
      <c r="G26" s="201"/>
    </row>
    <row r="27" spans="1:10" ht="14.25">
      <c r="A27" s="504" t="s">
        <v>71</v>
      </c>
      <c r="B27" s="650"/>
      <c r="C27" s="651" t="e">
        <f t="shared" ref="C27" si="4">B27/TOTALDU</f>
        <v>#DIV/0!</v>
      </c>
      <c r="D27" s="651" t="e">
        <f t="shared" ref="D27" si="5">B27/GSF</f>
        <v>#DIV/0!</v>
      </c>
      <c r="E27" s="375"/>
      <c r="F27" s="376"/>
      <c r="G27" s="201"/>
    </row>
    <row r="28" spans="1:10" ht="14.25">
      <c r="A28" s="504" t="s">
        <v>72</v>
      </c>
      <c r="B28" s="650"/>
      <c r="C28" s="651" t="e">
        <f t="shared" ref="C28:C29" si="6">B28/TOTALDU</f>
        <v>#DIV/0!</v>
      </c>
      <c r="D28" s="651" t="e">
        <f t="shared" ref="D28:D29" si="7">B28/GSF</f>
        <v>#DIV/0!</v>
      </c>
      <c r="E28" s="375"/>
      <c r="F28" s="376"/>
      <c r="G28" s="201"/>
    </row>
    <row r="29" spans="1:10" ht="14.25">
      <c r="A29" s="504" t="s">
        <v>73</v>
      </c>
      <c r="B29" s="650"/>
      <c r="C29" s="651" t="e">
        <f t="shared" si="6"/>
        <v>#DIV/0!</v>
      </c>
      <c r="D29" s="651" t="e">
        <f t="shared" si="7"/>
        <v>#DIV/0!</v>
      </c>
      <c r="E29" s="383" t="e">
        <f>B29/SUM(B17:B20)</f>
        <v>#DIV/0!</v>
      </c>
      <c r="F29" s="380" t="s">
        <v>74</v>
      </c>
      <c r="G29" s="201"/>
    </row>
    <row r="30" spans="1:10" ht="14.25">
      <c r="A30" s="504" t="s">
        <v>75</v>
      </c>
      <c r="B30" s="650"/>
      <c r="C30" s="651" t="e">
        <f t="shared" ref="C30:C33" si="8">B30/TOTALDU</f>
        <v>#DIV/0!</v>
      </c>
      <c r="D30" s="651" t="e">
        <f t="shared" ref="D30:D33" si="9">B30/GSF</f>
        <v>#DIV/0!</v>
      </c>
      <c r="E30" s="387"/>
      <c r="F30" s="380"/>
      <c r="G30" s="201"/>
    </row>
    <row r="31" spans="1:10" ht="14.25">
      <c r="A31" s="504" t="s">
        <v>76</v>
      </c>
      <c r="B31" s="650"/>
      <c r="C31" s="651" t="e">
        <f t="shared" ref="C31" si="10">B31/TOTALDU</f>
        <v>#DIV/0!</v>
      </c>
      <c r="D31" s="651" t="e">
        <f t="shared" ref="D31" si="11">B31/GSF</f>
        <v>#DIV/0!</v>
      </c>
      <c r="E31" s="388"/>
      <c r="F31" s="380" t="s">
        <v>77</v>
      </c>
      <c r="G31" s="201"/>
    </row>
    <row r="32" spans="1:10" ht="14.25">
      <c r="A32" s="504" t="s">
        <v>78</v>
      </c>
      <c r="B32" s="650"/>
      <c r="C32" s="651" t="e">
        <f t="shared" si="8"/>
        <v>#DIV/0!</v>
      </c>
      <c r="D32" s="651" t="e">
        <f t="shared" si="9"/>
        <v>#DIV/0!</v>
      </c>
      <c r="E32" s="387"/>
      <c r="F32" s="380"/>
      <c r="G32" s="201"/>
    </row>
    <row r="33" spans="1:8" ht="14.25">
      <c r="A33" s="505" t="s">
        <v>79</v>
      </c>
      <c r="B33" s="650"/>
      <c r="C33" s="651" t="e">
        <f t="shared" si="8"/>
        <v>#DIV/0!</v>
      </c>
      <c r="D33" s="651" t="e">
        <f t="shared" si="9"/>
        <v>#DIV/0!</v>
      </c>
      <c r="E33" s="383" t="e">
        <f>B33/SUM(B17:B20)</f>
        <v>#DIV/0!</v>
      </c>
      <c r="F33" s="380" t="s">
        <v>80</v>
      </c>
      <c r="G33" s="201"/>
    </row>
    <row r="34" spans="1:8" ht="14.25">
      <c r="A34" s="504" t="s">
        <v>81</v>
      </c>
      <c r="B34" s="650"/>
      <c r="C34" s="651" t="e">
        <f t="shared" ref="C34:C36" si="12">B34/TOTALDU</f>
        <v>#DIV/0!</v>
      </c>
      <c r="D34" s="651" t="e">
        <f t="shared" ref="D34:D36" si="13">B34/GSF</f>
        <v>#DIV/0!</v>
      </c>
      <c r="E34" s="379"/>
      <c r="F34" s="380"/>
      <c r="G34" s="201"/>
    </row>
    <row r="35" spans="1:8" ht="14.25">
      <c r="A35" s="504" t="s">
        <v>82</v>
      </c>
      <c r="B35" s="650"/>
      <c r="C35" s="651" t="e">
        <f t="shared" si="12"/>
        <v>#DIV/0!</v>
      </c>
      <c r="D35" s="651" t="e">
        <f t="shared" si="13"/>
        <v>#DIV/0!</v>
      </c>
      <c r="E35" s="379"/>
      <c r="F35" s="380"/>
      <c r="G35" s="201"/>
    </row>
    <row r="36" spans="1:8" ht="14.25">
      <c r="A36" s="501" t="s">
        <v>83</v>
      </c>
      <c r="B36" s="650"/>
      <c r="C36" s="651" t="e">
        <f t="shared" si="12"/>
        <v>#DIV/0!</v>
      </c>
      <c r="D36" s="651" t="e">
        <f t="shared" si="13"/>
        <v>#DIV/0!</v>
      </c>
      <c r="E36" s="379"/>
      <c r="F36" s="380"/>
      <c r="G36" s="201"/>
    </row>
    <row r="37" spans="1:8" ht="14.25">
      <c r="A37" s="501" t="s">
        <v>84</v>
      </c>
      <c r="B37" s="650"/>
      <c r="C37" s="651" t="e">
        <f t="shared" ref="C37:C38" si="14">B37/TOTALDU</f>
        <v>#DIV/0!</v>
      </c>
      <c r="D37" s="651" t="e">
        <f t="shared" ref="D37:D38" si="15">B37/GSF</f>
        <v>#DIV/0!</v>
      </c>
      <c r="E37" s="379"/>
      <c r="F37" s="380"/>
      <c r="G37" s="201"/>
    </row>
    <row r="38" spans="1:8" ht="14.25">
      <c r="A38" s="501" t="s">
        <v>85</v>
      </c>
      <c r="B38" s="650"/>
      <c r="C38" s="651" t="e">
        <f t="shared" si="14"/>
        <v>#DIV/0!</v>
      </c>
      <c r="D38" s="651" t="e">
        <f t="shared" si="15"/>
        <v>#DIV/0!</v>
      </c>
      <c r="E38" s="383"/>
      <c r="F38" s="380"/>
      <c r="G38" s="201"/>
    </row>
    <row r="39" spans="1:8" ht="14.25">
      <c r="A39" s="505" t="s">
        <v>86</v>
      </c>
      <c r="B39" s="650"/>
      <c r="C39" s="651" t="e">
        <f t="shared" ref="C39:C40" si="16">B39/TOTALDU</f>
        <v>#DIV/0!</v>
      </c>
      <c r="D39" s="651" t="e">
        <f t="shared" ref="D39:D40" si="17">B39/GSF</f>
        <v>#DIV/0!</v>
      </c>
      <c r="E39" s="383"/>
      <c r="F39" s="380"/>
      <c r="G39" s="201"/>
    </row>
    <row r="40" spans="1:8" ht="14.25">
      <c r="A40" s="502" t="s">
        <v>87</v>
      </c>
      <c r="B40" s="652">
        <f>SUM(B26:B39)</f>
        <v>0</v>
      </c>
      <c r="C40" s="653" t="e">
        <f t="shared" si="16"/>
        <v>#DIV/0!</v>
      </c>
      <c r="D40" s="653" t="e">
        <f t="shared" si="17"/>
        <v>#DIV/0!</v>
      </c>
      <c r="E40" s="379"/>
      <c r="F40" s="380"/>
      <c r="G40" s="201"/>
    </row>
    <row r="41" spans="1:8" ht="14.25">
      <c r="A41" s="501"/>
      <c r="B41" s="651"/>
      <c r="C41" s="651"/>
      <c r="D41" s="651"/>
      <c r="E41" s="379"/>
      <c r="F41" s="380"/>
      <c r="G41" s="201"/>
    </row>
    <row r="42" spans="1:8" ht="14.25">
      <c r="A42" s="503" t="s">
        <v>88</v>
      </c>
      <c r="B42" s="660"/>
      <c r="C42" s="659"/>
      <c r="D42" s="659"/>
      <c r="E42" s="375"/>
      <c r="F42" s="376"/>
      <c r="G42" s="201"/>
    </row>
    <row r="43" spans="1:8" ht="14.25">
      <c r="A43" s="501" t="s">
        <v>89</v>
      </c>
      <c r="B43" s="651" t="e">
        <f ca="1">E43*B79</f>
        <v>#VALUE!</v>
      </c>
      <c r="C43" s="651" t="e">
        <f ca="1">B43/TOTALDU</f>
        <v>#VALUE!</v>
      </c>
      <c r="D43" s="651" t="e">
        <f ca="1">B43/GSF</f>
        <v>#VALUE!</v>
      </c>
      <c r="E43" s="388"/>
      <c r="F43" s="380" t="s">
        <v>90</v>
      </c>
      <c r="G43" s="201"/>
    </row>
    <row r="44" spans="1:8" ht="14.25">
      <c r="A44" s="501" t="s">
        <v>91</v>
      </c>
      <c r="B44" s="651">
        <v>1400</v>
      </c>
      <c r="C44" s="651" t="e">
        <f>B44/TOTALDU</f>
        <v>#DIV/0!</v>
      </c>
      <c r="D44" s="651" t="e">
        <f>B44/GSF</f>
        <v>#DIV/0!</v>
      </c>
      <c r="E44" s="383"/>
      <c r="F44" s="380"/>
      <c r="G44" s="201"/>
    </row>
    <row r="45" spans="1:8" ht="14.25">
      <c r="A45" s="501" t="s">
        <v>92</v>
      </c>
      <c r="B45" s="658">
        <f>E45*TOTALDU</f>
        <v>0</v>
      </c>
      <c r="C45" s="651" t="e">
        <f t="shared" ref="C45" si="18">B45/TOTALDU</f>
        <v>#DIV/0!</v>
      </c>
      <c r="D45" s="651" t="e">
        <f t="shared" ref="D45" si="19">B45/GSF</f>
        <v>#DIV/0!</v>
      </c>
      <c r="E45" s="389"/>
      <c r="F45" s="380" t="s">
        <v>93</v>
      </c>
      <c r="G45" s="201"/>
    </row>
    <row r="46" spans="1:8" ht="14.25">
      <c r="A46" s="501" t="s">
        <v>94</v>
      </c>
      <c r="B46" s="650"/>
      <c r="C46" s="651" t="e">
        <f t="shared" ref="C46" si="20">B46/TOTALDU</f>
        <v>#DIV/0!</v>
      </c>
      <c r="D46" s="651" t="e">
        <f t="shared" ref="D46" si="21">B46/GSF</f>
        <v>#DIV/0!</v>
      </c>
      <c r="E46" s="390">
        <v>100</v>
      </c>
      <c r="F46" s="380" t="s">
        <v>95</v>
      </c>
      <c r="G46" s="201"/>
    </row>
    <row r="47" spans="1:8" ht="14.25">
      <c r="A47" s="501" t="s">
        <v>96</v>
      </c>
      <c r="B47" s="651" t="e">
        <f ca="1">E47*SUM(B79:B80)</f>
        <v>#VALUE!</v>
      </c>
      <c r="C47" s="651" t="e">
        <f ca="1">B47/TOTALDU</f>
        <v>#VALUE!</v>
      </c>
      <c r="D47" s="651" t="e">
        <f ca="1">B47/GSF</f>
        <v>#VALUE!</v>
      </c>
      <c r="E47" s="391">
        <v>8.9999999999999993E-3</v>
      </c>
      <c r="F47" s="380" t="s">
        <v>97</v>
      </c>
      <c r="G47" s="201"/>
      <c r="H47" s="84"/>
    </row>
    <row r="48" spans="1:8" ht="14.25">
      <c r="A48" s="502" t="s">
        <v>87</v>
      </c>
      <c r="B48" s="652" t="e">
        <f ca="1">SUM(B43:B47)</f>
        <v>#VALUE!</v>
      </c>
      <c r="C48" s="653" t="e">
        <f t="shared" ref="C48" ca="1" si="22">B48/TOTALDU</f>
        <v>#VALUE!</v>
      </c>
      <c r="D48" s="653" t="e">
        <f t="shared" ref="D48" ca="1" si="23">B48/GSF</f>
        <v>#VALUE!</v>
      </c>
      <c r="E48" s="387"/>
      <c r="F48" s="380"/>
      <c r="G48" s="201"/>
    </row>
    <row r="49" spans="1:9" ht="14.25">
      <c r="A49" s="506"/>
      <c r="B49" s="656"/>
      <c r="C49" s="657"/>
      <c r="D49" s="657"/>
      <c r="E49" s="375"/>
      <c r="F49" s="376"/>
      <c r="G49" s="201"/>
    </row>
    <row r="50" spans="1:9" ht="14.25">
      <c r="A50" s="503" t="s">
        <v>98</v>
      </c>
      <c r="B50" s="656"/>
      <c r="C50" s="657"/>
      <c r="D50" s="657"/>
      <c r="E50" s="375"/>
      <c r="F50" s="376"/>
      <c r="G50" s="201"/>
    </row>
    <row r="51" spans="1:9" ht="14.25">
      <c r="A51" s="501" t="s">
        <v>99</v>
      </c>
      <c r="B51" s="651">
        <f>E51*B93</f>
        <v>0</v>
      </c>
      <c r="C51" s="651" t="e">
        <f t="shared" ref="C51" si="24">B51/TOTALDU</f>
        <v>#DIV/0!</v>
      </c>
      <c r="D51" s="651" t="e">
        <f>B51/GSF</f>
        <v>#DIV/0!</v>
      </c>
      <c r="E51" s="387">
        <v>6.0000000000000001E-3</v>
      </c>
      <c r="F51" s="380" t="s">
        <v>100</v>
      </c>
      <c r="G51" s="201"/>
    </row>
    <row r="52" spans="1:9" ht="14.25">
      <c r="A52" s="507" t="s">
        <v>101</v>
      </c>
      <c r="B52" s="654" t="e">
        <f ca="1">'Const. Loan Interest'!F24</f>
        <v>#VALUE!</v>
      </c>
      <c r="C52" s="651" t="e">
        <f ca="1">B52/TOTALDU</f>
        <v>#VALUE!</v>
      </c>
      <c r="D52" s="651" t="e">
        <f ca="1">B52/GSF</f>
        <v>#VALUE!</v>
      </c>
      <c r="E52" s="379"/>
      <c r="F52" s="380"/>
      <c r="G52" s="201"/>
      <c r="I52" s="84"/>
    </row>
    <row r="53" spans="1:9" ht="14.25">
      <c r="A53" s="501" t="s">
        <v>102</v>
      </c>
      <c r="B53" s="658">
        <f>E53*TOTALDU</f>
        <v>0</v>
      </c>
      <c r="C53" s="651" t="e">
        <f t="shared" ref="C53" si="25">B53/TOTALDU</f>
        <v>#DIV/0!</v>
      </c>
      <c r="D53" s="651" t="e">
        <f t="shared" ref="D53" si="26">B53/GSF</f>
        <v>#DIV/0!</v>
      </c>
      <c r="E53" s="392"/>
      <c r="F53" s="380" t="s">
        <v>93</v>
      </c>
      <c r="G53" s="201"/>
      <c r="I53" s="84"/>
    </row>
    <row r="54" spans="1:9" ht="14.25">
      <c r="A54" s="501" t="s">
        <v>103</v>
      </c>
      <c r="B54" s="650"/>
      <c r="C54" s="651" t="e">
        <f t="shared" ref="C54:C69" si="27">B54/TOTALDU</f>
        <v>#DIV/0!</v>
      </c>
      <c r="D54" s="651" t="e">
        <f t="shared" ref="D54:D69" si="28">B54/GSF</f>
        <v>#DIV/0!</v>
      </c>
      <c r="E54" s="379"/>
      <c r="F54" s="380"/>
      <c r="G54" s="201"/>
    </row>
    <row r="55" spans="1:9" ht="14.25">
      <c r="A55" s="501" t="s">
        <v>104</v>
      </c>
      <c r="B55" s="651">
        <f>E55*TOTALDU</f>
        <v>0</v>
      </c>
      <c r="C55" s="651" t="e">
        <f t="shared" si="27"/>
        <v>#DIV/0!</v>
      </c>
      <c r="D55" s="651" t="e">
        <f t="shared" si="28"/>
        <v>#DIV/0!</v>
      </c>
      <c r="E55" s="389"/>
      <c r="F55" s="380" t="s">
        <v>93</v>
      </c>
      <c r="G55" s="201"/>
    </row>
    <row r="56" spans="1:9" ht="14.25">
      <c r="A56" s="501" t="s">
        <v>105</v>
      </c>
      <c r="B56" s="650"/>
      <c r="C56" s="651" t="e">
        <f t="shared" si="27"/>
        <v>#DIV/0!</v>
      </c>
      <c r="D56" s="651" t="e">
        <f t="shared" si="28"/>
        <v>#DIV/0!</v>
      </c>
      <c r="E56" s="379"/>
      <c r="F56" s="380"/>
      <c r="G56" s="201"/>
    </row>
    <row r="57" spans="1:9" ht="14.25">
      <c r="A57" s="501" t="s">
        <v>106</v>
      </c>
      <c r="B57" s="658">
        <f>E57*TOTALDU</f>
        <v>0</v>
      </c>
      <c r="C57" s="651" t="e">
        <f t="shared" si="27"/>
        <v>#DIV/0!</v>
      </c>
      <c r="D57" s="651" t="e">
        <f t="shared" si="28"/>
        <v>#DIV/0!</v>
      </c>
      <c r="E57" s="392"/>
      <c r="F57" s="380" t="s">
        <v>93</v>
      </c>
      <c r="G57" s="201"/>
    </row>
    <row r="58" spans="1:9" ht="14.25">
      <c r="A58" s="501" t="s">
        <v>107</v>
      </c>
      <c r="B58" s="658" t="e">
        <f ca="1">B95*0.004</f>
        <v>#VALUE!</v>
      </c>
      <c r="C58" s="651" t="e">
        <f t="shared" ca="1" si="27"/>
        <v>#VALUE!</v>
      </c>
      <c r="D58" s="651" t="e">
        <f t="shared" ca="1" si="28"/>
        <v>#VALUE!</v>
      </c>
      <c r="E58" s="387">
        <v>4.0000000000000001E-3</v>
      </c>
      <c r="F58" s="380" t="s">
        <v>108</v>
      </c>
      <c r="G58" s="201"/>
    </row>
    <row r="59" spans="1:9" ht="14.25">
      <c r="A59" s="501" t="s">
        <v>109</v>
      </c>
      <c r="B59" s="650"/>
      <c r="C59" s="651" t="e">
        <f t="shared" si="27"/>
        <v>#DIV/0!</v>
      </c>
      <c r="D59" s="651" t="e">
        <f t="shared" si="28"/>
        <v>#DIV/0!</v>
      </c>
      <c r="E59" s="379"/>
      <c r="F59" s="380"/>
      <c r="G59" s="201"/>
    </row>
    <row r="60" spans="1:9" ht="14.25">
      <c r="A60" s="501" t="s">
        <v>110</v>
      </c>
      <c r="B60" s="650"/>
      <c r="C60" s="651" t="e">
        <f t="shared" si="27"/>
        <v>#DIV/0!</v>
      </c>
      <c r="D60" s="651" t="e">
        <f t="shared" si="28"/>
        <v>#DIV/0!</v>
      </c>
      <c r="E60" s="379"/>
      <c r="F60" s="380"/>
      <c r="G60" s="201"/>
    </row>
    <row r="61" spans="1:9" ht="14.25">
      <c r="A61" s="501" t="s">
        <v>111</v>
      </c>
      <c r="B61" s="650"/>
      <c r="C61" s="651" t="e">
        <f t="shared" ref="C61:C62" si="29">B61/TOTALDU</f>
        <v>#DIV/0!</v>
      </c>
      <c r="D61" s="651" t="e">
        <f t="shared" ref="D61:D62" si="30">B61/GSF</f>
        <v>#DIV/0!</v>
      </c>
      <c r="E61" s="379"/>
      <c r="F61" s="380"/>
      <c r="G61" s="201"/>
    </row>
    <row r="62" spans="1:9" ht="14.25">
      <c r="A62" s="502" t="s">
        <v>87</v>
      </c>
      <c r="B62" s="652" t="e">
        <f ca="1">SUM(B51:B61)</f>
        <v>#VALUE!</v>
      </c>
      <c r="C62" s="653" t="e">
        <f t="shared" ca="1" si="29"/>
        <v>#VALUE!</v>
      </c>
      <c r="D62" s="653" t="e">
        <f t="shared" ca="1" si="30"/>
        <v>#VALUE!</v>
      </c>
      <c r="E62" s="379"/>
      <c r="F62" s="380"/>
      <c r="G62" s="201"/>
    </row>
    <row r="63" spans="1:9" ht="14.25">
      <c r="A63" s="506"/>
      <c r="B63" s="652"/>
      <c r="C63" s="652"/>
      <c r="D63" s="652"/>
      <c r="E63" s="379"/>
      <c r="F63" s="380"/>
      <c r="G63" s="201"/>
    </row>
    <row r="64" spans="1:9" ht="14.25">
      <c r="A64" s="503" t="s">
        <v>112</v>
      </c>
      <c r="B64" s="652"/>
      <c r="C64" s="652"/>
      <c r="D64" s="652"/>
      <c r="E64" s="379"/>
      <c r="F64" s="380"/>
      <c r="G64" s="201"/>
    </row>
    <row r="65" spans="1:8" ht="14.25">
      <c r="A65" s="501" t="s">
        <v>113</v>
      </c>
      <c r="B65" s="650">
        <f ca="1">'CAM Charges &amp; Cashflow'!CAM/2</f>
        <v>0</v>
      </c>
      <c r="C65" s="651" t="e">
        <f t="shared" ref="C65:C67" ca="1" si="31">B65/TOTALDU</f>
        <v>#DIV/0!</v>
      </c>
      <c r="D65" s="651" t="e">
        <f t="shared" ref="D65:D67" ca="1" si="32">B65/GSF</f>
        <v>#DIV/0!</v>
      </c>
      <c r="E65" s="379"/>
      <c r="F65" s="380"/>
      <c r="G65" s="201"/>
    </row>
    <row r="66" spans="1:8" ht="14.25">
      <c r="A66" s="501" t="s">
        <v>114</v>
      </c>
      <c r="B66" s="658">
        <f>E66*TOTALDU</f>
        <v>0</v>
      </c>
      <c r="C66" s="651" t="e">
        <f t="shared" si="31"/>
        <v>#DIV/0!</v>
      </c>
      <c r="D66" s="651" t="e">
        <f t="shared" si="32"/>
        <v>#DIV/0!</v>
      </c>
      <c r="E66" s="392"/>
      <c r="F66" s="380" t="s">
        <v>115</v>
      </c>
      <c r="G66" s="201"/>
    </row>
    <row r="67" spans="1:8" ht="14.25">
      <c r="A67" s="502" t="s">
        <v>87</v>
      </c>
      <c r="B67" s="652">
        <f ca="1">SUM(B65:B66)</f>
        <v>0</v>
      </c>
      <c r="C67" s="653" t="e">
        <f t="shared" ca="1" si="31"/>
        <v>#DIV/0!</v>
      </c>
      <c r="D67" s="653" t="e">
        <f t="shared" ca="1" si="32"/>
        <v>#DIV/0!</v>
      </c>
      <c r="E67" s="393"/>
      <c r="F67" s="380"/>
      <c r="G67" s="201"/>
    </row>
    <row r="68" spans="1:8" ht="14.25">
      <c r="A68" s="506"/>
      <c r="B68" s="652"/>
      <c r="C68" s="652"/>
      <c r="D68" s="652"/>
      <c r="E68" s="379"/>
      <c r="F68" s="380"/>
      <c r="G68" s="201"/>
    </row>
    <row r="69" spans="1:8" ht="14.25">
      <c r="A69" s="501" t="s">
        <v>116</v>
      </c>
      <c r="B69" s="658" t="e">
        <f ca="1">SUM(B40,B48,B62)*E69</f>
        <v>#VALUE!</v>
      </c>
      <c r="C69" s="651" t="e">
        <f t="shared" ca="1" si="27"/>
        <v>#VALUE!</v>
      </c>
      <c r="D69" s="651" t="e">
        <f t="shared" ca="1" si="28"/>
        <v>#VALUE!</v>
      </c>
      <c r="E69" s="383">
        <v>0.05</v>
      </c>
      <c r="F69" s="380" t="s">
        <v>117</v>
      </c>
      <c r="G69" s="394"/>
      <c r="H69" s="53"/>
    </row>
    <row r="70" spans="1:8" ht="14.25">
      <c r="A70" s="506"/>
      <c r="B70" s="652"/>
      <c r="C70" s="652"/>
      <c r="D70" s="652"/>
      <c r="E70" s="379"/>
      <c r="F70" s="380"/>
      <c r="G70" s="394"/>
      <c r="H70" s="53"/>
    </row>
    <row r="71" spans="1:8" ht="14.25">
      <c r="A71" s="502" t="s">
        <v>118</v>
      </c>
      <c r="B71" s="652" t="e">
        <f ca="1">SUM(B62,B48,B40,B69,B67)</f>
        <v>#VALUE!</v>
      </c>
      <c r="C71" s="653" t="e">
        <f t="shared" ref="C71" ca="1" si="33">B71/TOTALDU</f>
        <v>#VALUE!</v>
      </c>
      <c r="D71" s="653" t="e">
        <f t="shared" ref="D71" ca="1" si="34">B71/GSF</f>
        <v>#VALUE!</v>
      </c>
      <c r="E71" s="383"/>
      <c r="F71" s="380"/>
      <c r="G71" s="201"/>
    </row>
    <row r="72" spans="1:8" ht="14.25">
      <c r="A72" s="501"/>
      <c r="B72" s="661"/>
      <c r="C72" s="658"/>
      <c r="D72" s="658"/>
      <c r="E72" s="385"/>
      <c r="F72" s="386"/>
      <c r="G72" s="201"/>
    </row>
    <row r="73" spans="1:8" ht="42.75">
      <c r="A73" s="500" t="s">
        <v>53</v>
      </c>
      <c r="B73" s="662" t="e">
        <f ca="1">MIN((TDC-B73-B67-B69-B12)*10%,50000*E3)</f>
        <v>#VALUE!</v>
      </c>
      <c r="C73" s="662" t="e">
        <f ca="1">B73/TOTALDU</f>
        <v>#VALUE!</v>
      </c>
      <c r="D73" s="662" t="e">
        <f ca="1">B73/GSF</f>
        <v>#VALUE!</v>
      </c>
      <c r="E73" s="395"/>
      <c r="F73" s="670" t="s">
        <v>417</v>
      </c>
      <c r="G73" s="397"/>
    </row>
    <row r="74" spans="1:8" ht="14.25">
      <c r="A74" s="508"/>
      <c r="B74" s="658"/>
      <c r="C74" s="658"/>
      <c r="D74" s="658"/>
      <c r="E74" s="398"/>
      <c r="F74" s="396"/>
      <c r="G74" s="399"/>
    </row>
    <row r="75" spans="1:8" ht="14.25">
      <c r="A75" s="509" t="s">
        <v>119</v>
      </c>
      <c r="B75" s="663" t="e">
        <f ca="1">SUM(B73,B71,B22,B12)</f>
        <v>#VALUE!</v>
      </c>
      <c r="C75" s="663" t="e">
        <f ca="1">B75/TOTALDU</f>
        <v>#VALUE!</v>
      </c>
      <c r="D75" s="663" t="e">
        <f ca="1">B75/GSF</f>
        <v>#VALUE!</v>
      </c>
      <c r="E75" s="511"/>
      <c r="F75" s="512"/>
      <c r="G75" s="399"/>
    </row>
    <row r="76" spans="1:8" ht="14.25">
      <c r="A76" s="201"/>
      <c r="B76" s="664"/>
      <c r="C76" s="664"/>
      <c r="D76" s="664"/>
      <c r="E76" s="201"/>
      <c r="F76" s="201"/>
      <c r="G76" s="201"/>
    </row>
    <row r="77" spans="1:8" ht="14.25">
      <c r="A77" s="201"/>
      <c r="B77" s="664"/>
      <c r="C77" s="664"/>
      <c r="D77" s="664"/>
      <c r="E77" s="201"/>
      <c r="F77" s="201"/>
      <c r="G77" s="201"/>
    </row>
    <row r="78" spans="1:8" ht="14.25">
      <c r="A78" s="513" t="s">
        <v>43</v>
      </c>
      <c r="B78" s="665" t="s">
        <v>120</v>
      </c>
      <c r="C78" s="665" t="s">
        <v>44</v>
      </c>
      <c r="D78" s="666" t="s">
        <v>121</v>
      </c>
      <c r="E78" s="201"/>
      <c r="F78" s="201"/>
      <c r="G78" s="201"/>
    </row>
    <row r="79" spans="1:8" ht="14.25">
      <c r="A79" s="501" t="s">
        <v>122</v>
      </c>
      <c r="B79" s="650" t="e">
        <f ca="1">TDC-SUM(B80:B85)</f>
        <v>#VALUE!</v>
      </c>
      <c r="C79" s="651" t="e">
        <f ca="1">B79/TOTALDU</f>
        <v>#VALUE!</v>
      </c>
      <c r="D79" s="667" t="e">
        <f t="shared" ref="D79:D84" ca="1" si="35">B79/TDC</f>
        <v>#VALUE!</v>
      </c>
      <c r="E79" s="201"/>
      <c r="F79" s="201"/>
      <c r="G79" s="201"/>
    </row>
    <row r="80" spans="1:8" ht="14.25">
      <c r="A80" s="501" t="s">
        <v>123</v>
      </c>
      <c r="B80" s="651" t="e">
        <f ca="1">B90</f>
        <v>#VALUE!</v>
      </c>
      <c r="C80" s="651" t="e">
        <f t="shared" ref="C80:C83" ca="1" si="36">B80/TOTALDU</f>
        <v>#VALUE!</v>
      </c>
      <c r="D80" s="667" t="e">
        <f t="shared" ca="1" si="35"/>
        <v>#VALUE!</v>
      </c>
      <c r="E80" s="201"/>
      <c r="F80" s="201"/>
      <c r="G80" s="201"/>
    </row>
    <row r="81" spans="1:8" ht="14.25">
      <c r="A81" s="501" t="s">
        <v>208</v>
      </c>
      <c r="B81" s="651">
        <f>TOTALAHC</f>
        <v>0</v>
      </c>
      <c r="C81" s="651" t="e">
        <f>B81/TOTALDU</f>
        <v>#DIV/0!</v>
      </c>
      <c r="D81" s="667" t="e">
        <f t="shared" ca="1" si="35"/>
        <v>#VALUE!</v>
      </c>
      <c r="E81" s="201"/>
      <c r="F81" s="201"/>
      <c r="G81" s="201"/>
    </row>
    <row r="82" spans="1:8" ht="14.25">
      <c r="A82" s="501" t="s">
        <v>415</v>
      </c>
      <c r="B82" s="651">
        <f>TOTALAHOP</f>
        <v>0</v>
      </c>
      <c r="C82" s="651" t="e">
        <f>B82/TOTALDU</f>
        <v>#DIV/0!</v>
      </c>
      <c r="D82" s="667" t="e">
        <f t="shared" ca="1" si="35"/>
        <v>#VALUE!</v>
      </c>
      <c r="E82" s="201"/>
      <c r="F82" s="201"/>
      <c r="G82" s="201"/>
    </row>
    <row r="83" spans="1:8" ht="14.25">
      <c r="A83" s="478" t="s">
        <v>124</v>
      </c>
      <c r="B83" s="651"/>
      <c r="C83" s="651" t="e">
        <f t="shared" si="36"/>
        <v>#DIV/0!</v>
      </c>
      <c r="D83" s="667" t="e">
        <f t="shared" ca="1" si="35"/>
        <v>#VALUE!</v>
      </c>
      <c r="E83" s="400"/>
      <c r="F83" s="201"/>
      <c r="G83" s="201"/>
    </row>
    <row r="84" spans="1:8" ht="14.25">
      <c r="A84" s="478" t="s">
        <v>125</v>
      </c>
      <c r="B84" s="651" t="e">
        <f ca="1">B73*90%</f>
        <v>#VALUE!</v>
      </c>
      <c r="C84" s="651" t="e">
        <f t="shared" ref="C84" ca="1" si="37">B84/TOTALDU</f>
        <v>#VALUE!</v>
      </c>
      <c r="D84" s="667" t="e">
        <f t="shared" ca="1" si="35"/>
        <v>#VALUE!</v>
      </c>
      <c r="E84" s="400"/>
      <c r="F84" s="201"/>
      <c r="G84" s="201"/>
    </row>
    <row r="85" spans="1:8" ht="14.25">
      <c r="A85" s="478" t="s">
        <v>126</v>
      </c>
      <c r="B85" s="658">
        <f ca="1">B67</f>
        <v>0</v>
      </c>
      <c r="C85" s="651" t="e">
        <f ca="1">B85/TOTALDU</f>
        <v>#DIV/0!</v>
      </c>
      <c r="D85" s="667" t="e">
        <f t="shared" ref="D85:D86" ca="1" si="38">B85/TDC</f>
        <v>#VALUE!</v>
      </c>
      <c r="E85" s="400"/>
      <c r="F85" s="201"/>
      <c r="G85" s="201"/>
    </row>
    <row r="86" spans="1:8" ht="14.25">
      <c r="A86" s="478" t="s">
        <v>127</v>
      </c>
      <c r="B86" s="651" t="e">
        <f ca="1">TDC-B79-B80-B83-B84-B85-B81-B82</f>
        <v>#VALUE!</v>
      </c>
      <c r="C86" s="651" t="e">
        <f ca="1">B86/TOTALDU</f>
        <v>#VALUE!</v>
      </c>
      <c r="D86" s="667" t="e">
        <f t="shared" ca="1" si="38"/>
        <v>#VALUE!</v>
      </c>
      <c r="E86" s="400"/>
      <c r="F86" s="201"/>
      <c r="G86" s="201"/>
    </row>
    <row r="87" spans="1:8" ht="14.25">
      <c r="A87" s="514" t="s">
        <v>31</v>
      </c>
      <c r="B87" s="668" t="e">
        <f ca="1">SUM(B79:B86)</f>
        <v>#VALUE!</v>
      </c>
      <c r="C87" s="663" t="e">
        <f ca="1">B87/TOTALDU</f>
        <v>#VALUE!</v>
      </c>
      <c r="D87" s="669" t="e">
        <f ca="1">B87/TDC</f>
        <v>#VALUE!</v>
      </c>
      <c r="E87" s="400"/>
      <c r="F87" s="201"/>
      <c r="G87" s="201"/>
    </row>
    <row r="88" spans="1:8" ht="14.25">
      <c r="A88" s="201"/>
      <c r="B88" s="651"/>
      <c r="C88" s="651"/>
      <c r="D88" s="651"/>
      <c r="E88" s="400"/>
      <c r="F88" s="201"/>
      <c r="G88" s="201"/>
    </row>
    <row r="89" spans="1:8" ht="14.25">
      <c r="A89" s="513" t="s">
        <v>128</v>
      </c>
      <c r="B89" s="665" t="s">
        <v>31</v>
      </c>
      <c r="C89" s="665" t="s">
        <v>44</v>
      </c>
      <c r="D89" s="666" t="s">
        <v>121</v>
      </c>
      <c r="E89" s="400"/>
      <c r="F89" s="201"/>
      <c r="G89" s="201"/>
    </row>
    <row r="90" spans="1:8" ht="14.25">
      <c r="A90" s="501" t="str">
        <f>A80</f>
        <v>NYC HPD Open Door</v>
      </c>
      <c r="B90" s="658" t="e">
        <f ca="1">TDC-SUM(B91:B93)</f>
        <v>#VALUE!</v>
      </c>
      <c r="C90" s="651" t="e">
        <f ca="1">B90/TOTALDU</f>
        <v>#VALUE!</v>
      </c>
      <c r="D90" s="667" t="e">
        <f t="shared" ref="D90:D95" ca="1" si="39">B90/TDC</f>
        <v>#VALUE!</v>
      </c>
      <c r="E90" s="400"/>
      <c r="F90" s="201"/>
      <c r="G90" s="201"/>
    </row>
    <row r="91" spans="1:8" ht="14.25">
      <c r="A91" s="501" t="s">
        <v>208</v>
      </c>
      <c r="B91" s="651">
        <f>TOTALAHC</f>
        <v>0</v>
      </c>
      <c r="C91" s="651" t="e">
        <f>B91/TOTALDU</f>
        <v>#DIV/0!</v>
      </c>
      <c r="D91" s="667" t="e">
        <f t="shared" ca="1" si="39"/>
        <v>#VALUE!</v>
      </c>
      <c r="E91" s="400"/>
      <c r="F91" s="201"/>
      <c r="G91" s="401"/>
    </row>
    <row r="92" spans="1:8" ht="14.25">
      <c r="A92" s="501" t="s">
        <v>415</v>
      </c>
      <c r="B92" s="651">
        <f>TOTALAHOP</f>
        <v>0</v>
      </c>
      <c r="C92" s="651" t="e">
        <f>B92/TOTALDU</f>
        <v>#DIV/0!</v>
      </c>
      <c r="D92" s="667" t="e">
        <f t="shared" ca="1" si="39"/>
        <v>#VALUE!</v>
      </c>
      <c r="E92" s="400"/>
      <c r="F92" s="201"/>
      <c r="G92" s="401"/>
    </row>
    <row r="93" spans="1:8" ht="14.25">
      <c r="A93" s="501" t="s">
        <v>129</v>
      </c>
      <c r="B93" s="651">
        <f>'Sale Proceeds'!C79</f>
        <v>0</v>
      </c>
      <c r="C93" s="651" t="e">
        <f t="shared" ref="C93" si="40">B93/TOTALDU</f>
        <v>#DIV/0!</v>
      </c>
      <c r="D93" s="667" t="e">
        <f t="shared" ca="1" si="39"/>
        <v>#VALUE!</v>
      </c>
      <c r="E93" s="201"/>
      <c r="F93" s="201"/>
      <c r="G93" s="201"/>
    </row>
    <row r="94" spans="1:8" ht="14.25">
      <c r="A94" s="478" t="s">
        <v>127</v>
      </c>
      <c r="B94" s="651" t="e">
        <f ca="1">TDC-B90-B91-B93-B92</f>
        <v>#VALUE!</v>
      </c>
      <c r="C94" s="651" t="e">
        <f ca="1">B94/TOTALDU</f>
        <v>#VALUE!</v>
      </c>
      <c r="D94" s="667" t="e">
        <f t="shared" ca="1" si="39"/>
        <v>#VALUE!</v>
      </c>
      <c r="E94" s="201"/>
      <c r="F94" s="201"/>
      <c r="G94" s="201"/>
    </row>
    <row r="95" spans="1:8" ht="14.25">
      <c r="A95" s="514" t="s">
        <v>130</v>
      </c>
      <c r="B95" s="515" t="e">
        <f ca="1">SUM(B90:B94)</f>
        <v>#VALUE!</v>
      </c>
      <c r="C95" s="510" t="e">
        <f ca="1">B95/TOTALDU</f>
        <v>#VALUE!</v>
      </c>
      <c r="D95" s="516" t="e">
        <f t="shared" ca="1" si="39"/>
        <v>#VALUE!</v>
      </c>
      <c r="E95" s="400"/>
      <c r="F95" s="201"/>
      <c r="G95" s="201"/>
      <c r="H95" s="53"/>
    </row>
    <row r="96" spans="1:8" ht="14.25">
      <c r="A96" s="201"/>
      <c r="B96" s="381"/>
      <c r="C96" s="400"/>
      <c r="D96" s="395"/>
      <c r="E96" s="400"/>
      <c r="F96" s="201"/>
      <c r="G96" s="201"/>
    </row>
    <row r="97" spans="1:7" ht="14.25">
      <c r="A97" s="201"/>
      <c r="B97" s="371"/>
      <c r="C97" s="370"/>
      <c r="D97" s="370"/>
      <c r="E97" s="370"/>
      <c r="F97" s="201"/>
      <c r="G97" s="201"/>
    </row>
    <row r="98" spans="1:7" ht="14.25">
      <c r="A98" s="201" t="s">
        <v>131</v>
      </c>
      <c r="B98" s="377"/>
      <c r="C98" s="370"/>
      <c r="D98" s="370"/>
      <c r="E98" s="370"/>
      <c r="F98" s="201"/>
      <c r="G98" s="201"/>
    </row>
    <row r="99" spans="1:7" ht="14.25">
      <c r="A99" s="201"/>
      <c r="B99" s="371"/>
      <c r="C99" s="370"/>
      <c r="D99" s="370"/>
      <c r="E99" s="370"/>
      <c r="F99" s="201"/>
      <c r="G99" s="201"/>
    </row>
    <row r="100" spans="1:7" ht="14.25">
      <c r="A100" s="201"/>
      <c r="B100" s="371"/>
      <c r="C100" s="370"/>
      <c r="D100" s="370"/>
      <c r="E100" s="370"/>
      <c r="F100" s="201"/>
      <c r="G100" s="201"/>
    </row>
    <row r="101" spans="1:7" ht="14.25">
      <c r="A101" s="201"/>
      <c r="B101" s="371"/>
      <c r="C101" s="370"/>
      <c r="D101" s="370"/>
      <c r="E101" s="370"/>
      <c r="F101" s="201"/>
      <c r="G101" s="201"/>
    </row>
    <row r="102" spans="1:7" ht="14.25">
      <c r="A102" s="201"/>
      <c r="B102" s="371"/>
      <c r="C102" s="370"/>
      <c r="D102" s="370"/>
      <c r="E102" s="370"/>
      <c r="F102" s="201"/>
      <c r="G102" s="201"/>
    </row>
  </sheetData>
  <sheetProtection selectLockedCells="1"/>
  <mergeCells count="1">
    <mergeCell ref="E8:F8"/>
  </mergeCells>
  <pageMargins left="0.7" right="0.7" top="0.75" bottom="0.75" header="0.3" footer="0.3"/>
  <pageSetup scale="59" orientation="portrait" r:id="rId1"/>
  <headerFooter>
    <oddHeader>&amp;L&amp;"Arial,Bold"&amp;12&amp;A&amp;R&amp;"Arial,Regular"&amp;D</oddHeader>
    <oddFooter>&amp;L&amp;"Arial,Regular"&amp;9&amp;F&amp;R&amp;"Arial,Italic"&amp;10&amp;P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
  <sheetViews>
    <sheetView zoomScaleNormal="100" zoomScaleSheetLayoutView="115" workbookViewId="0">
      <selection activeCell="I16" sqref="I16"/>
    </sheetView>
  </sheetViews>
  <sheetFormatPr defaultColWidth="9.1328125" defaultRowHeight="13.5"/>
  <cols>
    <col min="1" max="1" width="22.265625" style="89" customWidth="1"/>
    <col min="2" max="2" width="16.73046875" style="89" customWidth="1"/>
    <col min="3" max="3" width="15.73046875" style="89" customWidth="1"/>
    <col min="4" max="4" width="24.1328125" style="89" bestFit="1" customWidth="1"/>
    <col min="5" max="5" width="14.3984375" style="89" bestFit="1" customWidth="1"/>
    <col min="6" max="6" width="15.73046875" style="89" bestFit="1" customWidth="1"/>
    <col min="7" max="7" width="20.73046875" style="89" bestFit="1" customWidth="1"/>
    <col min="8" max="8" width="14.3984375" style="89" bestFit="1" customWidth="1"/>
    <col min="9" max="9" width="17.3984375" style="89" customWidth="1"/>
    <col min="10" max="10" width="17.86328125" style="89" customWidth="1"/>
    <col min="11" max="16384" width="9.1328125" style="89"/>
  </cols>
  <sheetData>
    <row r="1" spans="1:7" ht="14.25">
      <c r="A1" s="202" t="str">
        <f>'Project Overview'!A1</f>
        <v>Project Name</v>
      </c>
      <c r="B1" s="271"/>
      <c r="C1" s="268">
        <f>'Project Overview'!C1</f>
        <v>0</v>
      </c>
      <c r="D1" s="271"/>
      <c r="E1" s="271"/>
      <c r="F1" s="271"/>
      <c r="G1" s="271"/>
    </row>
    <row r="2" spans="1:7" ht="14.25">
      <c r="A2" s="202" t="str">
        <f>'Project Overview'!A2</f>
        <v>Developer</v>
      </c>
      <c r="B2" s="271"/>
      <c r="C2" s="272">
        <f>'Project Overview'!C2</f>
        <v>0</v>
      </c>
      <c r="D2" s="271"/>
      <c r="E2" s="271"/>
      <c r="F2" s="271"/>
      <c r="G2" s="271"/>
    </row>
    <row r="3" spans="1:7" ht="15.75">
      <c r="A3" s="202" t="str">
        <f>'Project Overview'!A3</f>
        <v>Address</v>
      </c>
      <c r="B3" s="271"/>
      <c r="C3" s="268">
        <f>'Project Overview'!C3</f>
        <v>0</v>
      </c>
      <c r="D3" s="206"/>
      <c r="E3" s="206" t="str">
        <f>'Project Overview'!$D$3</f>
        <v>Units:</v>
      </c>
      <c r="F3" s="207">
        <f>'Project Overview'!$E$3</f>
        <v>0</v>
      </c>
      <c r="G3" s="271"/>
    </row>
    <row r="4" spans="1:7" ht="14.25">
      <c r="A4" s="202" t="str">
        <f>'Project Overview'!A4</f>
        <v>BBL</v>
      </c>
      <c r="B4" s="271"/>
      <c r="C4" s="268">
        <f>'Project Overview'!C4</f>
        <v>0</v>
      </c>
      <c r="D4" s="271"/>
      <c r="E4" s="271"/>
      <c r="F4" s="271"/>
      <c r="G4" s="271"/>
    </row>
    <row r="5" spans="1:7" ht="14.25">
      <c r="A5" s="271"/>
      <c r="B5" s="271"/>
      <c r="C5" s="271"/>
      <c r="D5" s="271"/>
      <c r="E5" s="271"/>
      <c r="F5" s="271"/>
      <c r="G5" s="271"/>
    </row>
    <row r="6" spans="1:7" ht="14.25">
      <c r="A6" s="202" t="s">
        <v>101</v>
      </c>
      <c r="B6" s="271"/>
      <c r="C6" s="271"/>
      <c r="D6" s="271"/>
      <c r="E6" s="271"/>
      <c r="F6" s="271"/>
      <c r="G6" s="271"/>
    </row>
    <row r="7" spans="1:7" ht="14.65" thickBot="1">
      <c r="A7" s="271"/>
      <c r="B7" s="271"/>
      <c r="C7" s="271"/>
      <c r="D7" s="350"/>
      <c r="E7" s="271"/>
      <c r="F7" s="271"/>
      <c r="G7" s="271"/>
    </row>
    <row r="8" spans="1:7" ht="14.25">
      <c r="A8" s="351" t="s">
        <v>132</v>
      </c>
      <c r="B8" s="465" t="s">
        <v>133</v>
      </c>
      <c r="C8" s="271"/>
      <c r="D8" s="202"/>
      <c r="E8" s="271"/>
      <c r="F8" s="271"/>
      <c r="G8" s="271"/>
    </row>
    <row r="9" spans="1:7" ht="14.25">
      <c r="A9" s="352" t="s">
        <v>134</v>
      </c>
      <c r="B9" s="353"/>
      <c r="C9" s="271"/>
      <c r="D9" s="271"/>
      <c r="E9" s="271"/>
      <c r="F9" s="271"/>
      <c r="G9" s="271"/>
    </row>
    <row r="10" spans="1:7" ht="14.25">
      <c r="A10" s="354" t="s">
        <v>106</v>
      </c>
      <c r="B10" s="517"/>
      <c r="C10" s="271"/>
      <c r="D10" s="271"/>
      <c r="E10" s="271"/>
      <c r="F10" s="271"/>
      <c r="G10" s="271"/>
    </row>
    <row r="11" spans="1:7" ht="14.65" thickBot="1">
      <c r="A11" s="518" t="s">
        <v>135</v>
      </c>
      <c r="B11" s="355">
        <f>B10+B9</f>
        <v>0</v>
      </c>
      <c r="C11" s="271"/>
      <c r="D11" s="202"/>
      <c r="E11" s="271"/>
      <c r="F11" s="271"/>
      <c r="G11" s="271"/>
    </row>
    <row r="12" spans="1:7" ht="14.65" thickBot="1">
      <c r="A12" s="271"/>
      <c r="B12" s="271"/>
      <c r="C12" s="271"/>
      <c r="D12" s="271"/>
      <c r="E12" s="271"/>
      <c r="F12" s="271"/>
      <c r="G12" s="271"/>
    </row>
    <row r="13" spans="1:7" ht="14.25">
      <c r="A13" s="351" t="s">
        <v>136</v>
      </c>
      <c r="B13" s="465"/>
      <c r="C13" s="271"/>
      <c r="D13" s="271"/>
      <c r="E13" s="271"/>
      <c r="F13" s="271"/>
      <c r="G13" s="271"/>
    </row>
    <row r="14" spans="1:7" ht="14.25">
      <c r="A14" s="352" t="s">
        <v>122</v>
      </c>
      <c r="B14" s="356"/>
      <c r="C14" s="271"/>
      <c r="D14" s="271"/>
      <c r="E14" s="271"/>
      <c r="F14" s="271"/>
      <c r="G14" s="271"/>
    </row>
    <row r="15" spans="1:7" ht="14.65" thickBot="1">
      <c r="A15" s="519" t="s">
        <v>137</v>
      </c>
      <c r="B15" s="357">
        <v>2.5000000000000001E-3</v>
      </c>
      <c r="C15" s="271"/>
      <c r="D15" s="271"/>
      <c r="E15" s="271"/>
      <c r="F15" s="271"/>
      <c r="G15" s="271"/>
    </row>
    <row r="16" spans="1:7" ht="14.25">
      <c r="A16" s="271"/>
      <c r="B16" s="271"/>
      <c r="C16" s="271"/>
      <c r="D16" s="271"/>
      <c r="E16" s="271"/>
      <c r="F16" s="271"/>
      <c r="G16" s="271"/>
    </row>
    <row r="17" spans="1:7" ht="14.65" thickBot="1">
      <c r="A17" s="271"/>
      <c r="B17" s="271"/>
      <c r="C17" s="271"/>
      <c r="D17" s="271"/>
      <c r="E17" s="271"/>
      <c r="F17" s="271"/>
      <c r="G17" s="271"/>
    </row>
    <row r="18" spans="1:7" ht="14.25">
      <c r="A18" s="351" t="s">
        <v>138</v>
      </c>
      <c r="B18" s="358"/>
      <c r="C18" s="359"/>
      <c r="D18" s="359"/>
      <c r="E18" s="359"/>
      <c r="F18" s="520"/>
      <c r="G18" s="271"/>
    </row>
    <row r="19" spans="1:7" ht="14.25">
      <c r="A19" s="360"/>
      <c r="B19" s="361" t="s">
        <v>139</v>
      </c>
      <c r="C19" s="361" t="s">
        <v>140</v>
      </c>
      <c r="D19" s="361" t="s">
        <v>141</v>
      </c>
      <c r="E19" s="361" t="s">
        <v>142</v>
      </c>
      <c r="F19" s="362" t="s">
        <v>143</v>
      </c>
      <c r="G19" s="271"/>
    </row>
    <row r="20" spans="1:7" ht="14.25">
      <c r="A20" s="352" t="s">
        <v>122</v>
      </c>
      <c r="B20" s="363" t="e">
        <f ca="1">'Dev Budget'!B79</f>
        <v>#VALUE!</v>
      </c>
      <c r="C20" s="281"/>
      <c r="D20" s="361">
        <f>B9/12</f>
        <v>0</v>
      </c>
      <c r="E20" s="364">
        <f>B14</f>
        <v>0</v>
      </c>
      <c r="F20" s="365" t="e">
        <f ca="1">B20*C20*D20*E20</f>
        <v>#VALUE!</v>
      </c>
      <c r="G20" s="271"/>
    </row>
    <row r="21" spans="1:7" ht="14.25">
      <c r="A21" s="352"/>
      <c r="B21" s="363" t="e">
        <f ca="1">B20</f>
        <v>#VALUE!</v>
      </c>
      <c r="C21" s="366">
        <v>1</v>
      </c>
      <c r="D21" s="361">
        <f>B10/12</f>
        <v>0</v>
      </c>
      <c r="E21" s="364">
        <f>E20</f>
        <v>0</v>
      </c>
      <c r="F21" s="365" t="e">
        <f ca="1">B21*C21*D21*E21</f>
        <v>#VALUE!</v>
      </c>
      <c r="G21" s="271"/>
    </row>
    <row r="22" spans="1:7" ht="14.25">
      <c r="A22" s="352" t="s">
        <v>137</v>
      </c>
      <c r="B22" s="363" t="e">
        <f ca="1">'Dev Budget'!B80</f>
        <v>#VALUE!</v>
      </c>
      <c r="C22" s="366">
        <v>1</v>
      </c>
      <c r="D22" s="361">
        <f>B11/12</f>
        <v>0</v>
      </c>
      <c r="E22" s="364">
        <f>B15</f>
        <v>2.5000000000000001E-3</v>
      </c>
      <c r="F22" s="365" t="e">
        <f ca="1">B22*C22*D22*E22</f>
        <v>#VALUE!</v>
      </c>
      <c r="G22" s="271"/>
    </row>
    <row r="23" spans="1:7" ht="14.25">
      <c r="A23" s="352" t="s">
        <v>415</v>
      </c>
      <c r="B23" s="363">
        <f>'Dev Budget'!B92</f>
        <v>0</v>
      </c>
      <c r="C23" s="366">
        <v>1</v>
      </c>
      <c r="D23" s="361">
        <f>B11</f>
        <v>0</v>
      </c>
      <c r="E23" s="364">
        <v>5.0000000000000001E-3</v>
      </c>
      <c r="F23" s="365">
        <f>B23*C23*D23*E23</f>
        <v>0</v>
      </c>
      <c r="G23" s="271"/>
    </row>
    <row r="24" spans="1:7" ht="14.65" thickBot="1">
      <c r="A24" s="295"/>
      <c r="B24" s="367"/>
      <c r="C24" s="367"/>
      <c r="D24" s="368"/>
      <c r="E24" s="521" t="s">
        <v>144</v>
      </c>
      <c r="F24" s="369" t="e">
        <f ca="1">SUM(F20:F23)</f>
        <v>#VALUE!</v>
      </c>
      <c r="G24" s="271"/>
    </row>
    <row r="25" spans="1:7" ht="14.25">
      <c r="A25" s="271"/>
      <c r="B25" s="271"/>
      <c r="C25" s="271"/>
      <c r="D25" s="271"/>
      <c r="E25" s="271"/>
      <c r="F25" s="271"/>
      <c r="G25" s="271"/>
    </row>
    <row r="26" spans="1:7" ht="14.25">
      <c r="A26" s="271"/>
      <c r="B26" s="271"/>
      <c r="C26" s="271"/>
      <c r="D26" s="271"/>
      <c r="E26" s="271"/>
      <c r="F26" s="271"/>
      <c r="G26" s="271"/>
    </row>
    <row r="28" spans="1:7" ht="13.9">
      <c r="D28" s="48"/>
    </row>
    <row r="31" spans="1:7">
      <c r="A31" s="98"/>
      <c r="C31" s="147"/>
    </row>
    <row r="32" spans="1:7">
      <c r="A32" s="117"/>
      <c r="C32" s="147"/>
    </row>
    <row r="33" spans="1:10" ht="13.9">
      <c r="A33" s="148"/>
      <c r="B33" s="126"/>
      <c r="C33" s="147"/>
      <c r="G33" s="97"/>
      <c r="H33" s="97"/>
      <c r="I33" s="681"/>
      <c r="J33" s="681"/>
    </row>
    <row r="34" spans="1:10">
      <c r="G34" s="149"/>
      <c r="H34" s="90"/>
      <c r="I34" s="147"/>
    </row>
    <row r="35" spans="1:10">
      <c r="G35" s="149"/>
      <c r="H35" s="90"/>
      <c r="I35" s="147"/>
    </row>
    <row r="36" spans="1:10">
      <c r="H36" s="90"/>
      <c r="I36" s="147"/>
    </row>
    <row r="37" spans="1:10">
      <c r="H37" s="90"/>
      <c r="I37" s="147"/>
    </row>
    <row r="38" spans="1:10">
      <c r="H38" s="90"/>
      <c r="I38" s="147"/>
    </row>
    <row r="39" spans="1:10">
      <c r="H39" s="150"/>
      <c r="I39" s="147"/>
    </row>
    <row r="40" spans="1:10" ht="13.9">
      <c r="G40" s="48"/>
      <c r="H40" s="151"/>
    </row>
  </sheetData>
  <mergeCells count="1">
    <mergeCell ref="I33:J33"/>
  </mergeCells>
  <pageMargins left="0.7" right="0.7" top="0.75" bottom="0.75" header="0.3" footer="0.3"/>
  <pageSetup scale="83" orientation="portrait" r:id="rId1"/>
  <colBreaks count="1" manualBreakCount="1">
    <brk id="6"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12"/>
  <sheetViews>
    <sheetView zoomScaleNormal="100" zoomScaleSheetLayoutView="100" workbookViewId="0">
      <selection activeCell="F17" sqref="F17"/>
    </sheetView>
  </sheetViews>
  <sheetFormatPr defaultColWidth="25.1328125" defaultRowHeight="13.5"/>
  <cols>
    <col min="1" max="1" width="19.86328125" style="49" customWidth="1"/>
    <col min="2" max="2" width="18.265625" style="49" customWidth="1"/>
    <col min="3" max="4" width="21.86328125" style="49" customWidth="1"/>
    <col min="5" max="5" width="27.1328125" style="49" customWidth="1"/>
    <col min="6" max="6" width="21.1328125" style="49" customWidth="1"/>
    <col min="7" max="7" width="9.73046875" style="49" customWidth="1"/>
    <col min="8" max="10" width="15.73046875" style="49" customWidth="1"/>
    <col min="11" max="11" width="5.73046875" style="49" customWidth="1"/>
    <col min="12" max="14" width="15.73046875" style="49" customWidth="1"/>
    <col min="15" max="16384" width="25.1328125" style="49"/>
  </cols>
  <sheetData>
    <row r="1" spans="1:14" s="58" customFormat="1" ht="13.9">
      <c r="A1" s="48" t="str">
        <f>'Project Overview'!A1</f>
        <v>Project Name</v>
      </c>
    </row>
    <row r="2" spans="1:14" s="58" customFormat="1" ht="13.9">
      <c r="A2" s="48" t="str">
        <f>'Project Overview'!A2</f>
        <v>Developer</v>
      </c>
    </row>
    <row r="3" spans="1:14" s="58" customFormat="1" ht="13.9">
      <c r="A3" s="48" t="str">
        <f>'Project Overview'!A3</f>
        <v>Address</v>
      </c>
      <c r="F3" s="63"/>
      <c r="G3" s="63"/>
      <c r="H3" s="63"/>
      <c r="I3" s="160"/>
      <c r="J3" s="160"/>
      <c r="K3" s="61"/>
    </row>
    <row r="4" spans="1:14" s="58" customFormat="1" ht="13.9">
      <c r="A4" s="48" t="str">
        <f>'Project Overview'!A4</f>
        <v>BBL</v>
      </c>
      <c r="D4" s="153"/>
      <c r="F4" s="63"/>
      <c r="G4" s="63"/>
      <c r="H4" s="154"/>
      <c r="I4" s="154"/>
      <c r="J4" s="154"/>
      <c r="K4" s="154"/>
    </row>
    <row r="5" spans="1:14" s="58" customFormat="1" ht="13.9">
      <c r="A5" s="59"/>
      <c r="D5" s="153"/>
      <c r="F5" s="63"/>
      <c r="G5" s="63"/>
      <c r="H5" s="154"/>
      <c r="I5" s="154"/>
      <c r="J5" s="154"/>
      <c r="K5" s="154"/>
    </row>
    <row r="6" spans="1:14" s="58" customFormat="1" ht="13.9">
      <c r="A6" s="59" t="s">
        <v>145</v>
      </c>
      <c r="F6" s="63"/>
      <c r="G6" s="63"/>
      <c r="H6" s="182" t="s">
        <v>146</v>
      </c>
      <c r="I6" s="154"/>
      <c r="J6" s="154"/>
      <c r="K6" s="154"/>
      <c r="L6" s="183" t="s">
        <v>147</v>
      </c>
      <c r="M6" s="115"/>
      <c r="N6" s="157"/>
    </row>
    <row r="7" spans="1:14" s="58" customFormat="1" ht="13.9">
      <c r="B7" s="522" t="s">
        <v>148</v>
      </c>
      <c r="C7" s="523">
        <v>0.7</v>
      </c>
      <c r="D7" s="524">
        <v>0.33</v>
      </c>
      <c r="E7" s="524">
        <v>0.33</v>
      </c>
      <c r="G7" s="63"/>
      <c r="H7" s="525" t="s">
        <v>149</v>
      </c>
      <c r="I7" s="524">
        <v>0.5</v>
      </c>
      <c r="J7" s="524">
        <v>1</v>
      </c>
      <c r="K7" s="154"/>
      <c r="L7" s="525" t="s">
        <v>149</v>
      </c>
      <c r="M7" s="524">
        <v>0.5</v>
      </c>
      <c r="N7" s="524">
        <v>1</v>
      </c>
    </row>
    <row r="8" spans="1:14" ht="13.9">
      <c r="A8" s="526" t="s">
        <v>20</v>
      </c>
      <c r="B8" s="522" t="s">
        <v>150</v>
      </c>
      <c r="C8" s="527" t="s">
        <v>151</v>
      </c>
      <c r="D8" s="522" t="s">
        <v>152</v>
      </c>
      <c r="E8" s="522" t="s">
        <v>153</v>
      </c>
      <c r="H8" s="528"/>
      <c r="I8" s="522" t="s">
        <v>154</v>
      </c>
      <c r="J8" s="522" t="s">
        <v>154</v>
      </c>
      <c r="K8" s="154"/>
      <c r="L8" s="528"/>
      <c r="M8" s="522" t="s">
        <v>154</v>
      </c>
      <c r="N8" s="522" t="s">
        <v>154</v>
      </c>
    </row>
    <row r="9" spans="1:14">
      <c r="A9" s="529" t="s">
        <v>155</v>
      </c>
      <c r="B9" s="530">
        <f>'HH Factor'!F25</f>
        <v>68000</v>
      </c>
      <c r="C9" s="531">
        <f t="shared" ref="C9:D13" si="0">B9*C$7</f>
        <v>47600</v>
      </c>
      <c r="D9" s="532">
        <f t="shared" si="0"/>
        <v>15708</v>
      </c>
      <c r="E9" s="532">
        <f>D9/12</f>
        <v>1309</v>
      </c>
      <c r="H9" s="533">
        <v>1</v>
      </c>
      <c r="I9" s="534">
        <v>31750</v>
      </c>
      <c r="J9" s="534">
        <f>I9*2</f>
        <v>63500</v>
      </c>
      <c r="K9" s="154"/>
      <c r="L9" s="533">
        <v>1</v>
      </c>
      <c r="M9" s="534">
        <f>I9*103%</f>
        <v>32702.5</v>
      </c>
      <c r="N9" s="534">
        <f>M9*2</f>
        <v>65405</v>
      </c>
    </row>
    <row r="10" spans="1:14">
      <c r="A10" s="529" t="s">
        <v>156</v>
      </c>
      <c r="B10" s="530">
        <f>'HH Factor'!F26</f>
        <v>81600</v>
      </c>
      <c r="C10" s="531">
        <f t="shared" si="0"/>
        <v>57120</v>
      </c>
      <c r="D10" s="532">
        <f t="shared" si="0"/>
        <v>18849.600000000002</v>
      </c>
      <c r="E10" s="532">
        <f>D10/12</f>
        <v>1570.8000000000002</v>
      </c>
      <c r="H10" s="535">
        <v>2</v>
      </c>
      <c r="I10" s="534">
        <v>36250</v>
      </c>
      <c r="J10" s="534">
        <f t="shared" ref="J10:J16" si="1">I10*2</f>
        <v>72500</v>
      </c>
      <c r="K10" s="154"/>
      <c r="L10" s="535">
        <v>2</v>
      </c>
      <c r="M10" s="534">
        <f t="shared" ref="M10:M16" si="2">I10*103%</f>
        <v>37337.5</v>
      </c>
      <c r="N10" s="534">
        <f t="shared" ref="N10:N16" si="3">M10*2</f>
        <v>74675</v>
      </c>
    </row>
    <row r="11" spans="1:14">
      <c r="A11" s="529" t="s">
        <v>157</v>
      </c>
      <c r="B11" s="530">
        <f>'HH Factor'!F27</f>
        <v>94250</v>
      </c>
      <c r="C11" s="531">
        <f t="shared" si="0"/>
        <v>65975</v>
      </c>
      <c r="D11" s="532">
        <f t="shared" si="0"/>
        <v>21771.75</v>
      </c>
      <c r="E11" s="532">
        <f>D11/12</f>
        <v>1814.3125</v>
      </c>
      <c r="H11" s="535">
        <v>3</v>
      </c>
      <c r="I11" s="534">
        <v>40800</v>
      </c>
      <c r="J11" s="534">
        <f t="shared" si="1"/>
        <v>81600</v>
      </c>
      <c r="K11" s="154"/>
      <c r="L11" s="535">
        <v>3</v>
      </c>
      <c r="M11" s="534">
        <f t="shared" si="2"/>
        <v>42024</v>
      </c>
      <c r="N11" s="534">
        <f t="shared" si="3"/>
        <v>84048</v>
      </c>
    </row>
    <row r="12" spans="1:14">
      <c r="A12" s="529" t="s">
        <v>158</v>
      </c>
      <c r="B12" s="530">
        <f>'HH Factor'!F28</f>
        <v>105100</v>
      </c>
      <c r="C12" s="531">
        <f t="shared" si="0"/>
        <v>73570</v>
      </c>
      <c r="D12" s="532">
        <f t="shared" si="0"/>
        <v>24278.100000000002</v>
      </c>
      <c r="E12" s="532">
        <f>D12/12</f>
        <v>2023.1750000000002</v>
      </c>
      <c r="H12" s="535">
        <v>4</v>
      </c>
      <c r="I12" s="534">
        <v>45300</v>
      </c>
      <c r="J12" s="534">
        <f t="shared" si="1"/>
        <v>90600</v>
      </c>
      <c r="K12" s="154"/>
      <c r="L12" s="535">
        <v>4</v>
      </c>
      <c r="M12" s="534">
        <f t="shared" si="2"/>
        <v>46659</v>
      </c>
      <c r="N12" s="534">
        <f t="shared" si="3"/>
        <v>93318</v>
      </c>
    </row>
    <row r="13" spans="1:14">
      <c r="A13" s="529" t="s">
        <v>159</v>
      </c>
      <c r="B13" s="530">
        <f>'HH Factor'!F29</f>
        <v>116000</v>
      </c>
      <c r="C13" s="536">
        <f t="shared" si="0"/>
        <v>81200</v>
      </c>
      <c r="D13" s="530">
        <f t="shared" si="0"/>
        <v>26796</v>
      </c>
      <c r="E13" s="530">
        <f>D13/12</f>
        <v>2233</v>
      </c>
      <c r="H13" s="535">
        <v>5</v>
      </c>
      <c r="I13" s="534">
        <v>48950</v>
      </c>
      <c r="J13" s="534">
        <f t="shared" si="1"/>
        <v>97900</v>
      </c>
      <c r="K13" s="154"/>
      <c r="L13" s="535">
        <v>5</v>
      </c>
      <c r="M13" s="534">
        <f t="shared" si="2"/>
        <v>50418.5</v>
      </c>
      <c r="N13" s="534">
        <f t="shared" si="3"/>
        <v>100837</v>
      </c>
    </row>
    <row r="14" spans="1:14">
      <c r="A14" s="70"/>
      <c r="C14" s="156"/>
      <c r="D14" s="51"/>
      <c r="E14" s="51"/>
      <c r="H14" s="535">
        <v>6</v>
      </c>
      <c r="I14" s="534">
        <v>52550</v>
      </c>
      <c r="J14" s="534">
        <f t="shared" si="1"/>
        <v>105100</v>
      </c>
      <c r="K14" s="154"/>
      <c r="L14" s="535">
        <v>6</v>
      </c>
      <c r="M14" s="534">
        <f t="shared" si="2"/>
        <v>54126.5</v>
      </c>
      <c r="N14" s="534">
        <f t="shared" si="3"/>
        <v>108253</v>
      </c>
    </row>
    <row r="15" spans="1:14" s="58" customFormat="1">
      <c r="E15" s="61"/>
      <c r="F15" s="61"/>
      <c r="G15" s="61"/>
      <c r="H15" s="537">
        <v>7</v>
      </c>
      <c r="I15" s="538">
        <v>56200</v>
      </c>
      <c r="J15" s="538">
        <f t="shared" si="1"/>
        <v>112400</v>
      </c>
      <c r="K15" s="154"/>
      <c r="L15" s="537">
        <v>7</v>
      </c>
      <c r="M15" s="538">
        <f t="shared" si="2"/>
        <v>57886</v>
      </c>
      <c r="N15" s="538">
        <f t="shared" si="3"/>
        <v>115772</v>
      </c>
    </row>
    <row r="16" spans="1:14" s="58" customFormat="1" ht="13.9">
      <c r="A16" s="59" t="s">
        <v>160</v>
      </c>
      <c r="F16" s="187"/>
      <c r="G16" s="63"/>
      <c r="H16" s="537">
        <v>8</v>
      </c>
      <c r="I16" s="538">
        <v>59800</v>
      </c>
      <c r="J16" s="538">
        <f t="shared" si="1"/>
        <v>119600</v>
      </c>
      <c r="K16" s="154"/>
      <c r="L16" s="537">
        <v>8</v>
      </c>
      <c r="M16" s="538">
        <f t="shared" si="2"/>
        <v>61594</v>
      </c>
      <c r="N16" s="538">
        <f t="shared" si="3"/>
        <v>123188</v>
      </c>
    </row>
    <row r="17" spans="1:14" s="58" customFormat="1" ht="13.9">
      <c r="A17" s="59"/>
      <c r="B17" s="539" t="s">
        <v>161</v>
      </c>
      <c r="C17" s="540" t="s">
        <v>161</v>
      </c>
      <c r="D17" s="539" t="s">
        <v>162</v>
      </c>
      <c r="E17" s="540" t="s">
        <v>163</v>
      </c>
      <c r="G17" s="74"/>
      <c r="H17" s="154"/>
      <c r="I17" s="154"/>
      <c r="J17" s="154"/>
      <c r="K17" s="154"/>
    </row>
    <row r="18" spans="1:14" s="58" customFormat="1" ht="13.9">
      <c r="A18" s="522" t="s">
        <v>20</v>
      </c>
      <c r="B18" s="541" t="s">
        <v>164</v>
      </c>
      <c r="C18" s="541" t="s">
        <v>165</v>
      </c>
      <c r="D18" s="542" t="s">
        <v>166</v>
      </c>
      <c r="E18" s="543" t="s">
        <v>167</v>
      </c>
      <c r="G18" s="155"/>
      <c r="I18" s="74"/>
      <c r="J18" s="74"/>
      <c r="K18" s="74"/>
      <c r="L18" s="61"/>
    </row>
    <row r="19" spans="1:14" s="58" customFormat="1" ht="13.9">
      <c r="A19" s="544" t="s">
        <v>168</v>
      </c>
      <c r="B19" s="545" t="e">
        <f>AVERAGE(#REF!)/12</f>
        <v>#REF!</v>
      </c>
      <c r="C19" s="545">
        <v>55</v>
      </c>
      <c r="D19" s="546" t="e">
        <f>(E9-B19-C19)</f>
        <v>#REF!</v>
      </c>
      <c r="E19" s="546" t="e">
        <f>SUM(B19:D19)</f>
        <v>#REF!</v>
      </c>
      <c r="G19" s="109"/>
      <c r="I19" s="159"/>
      <c r="J19" s="159"/>
      <c r="K19" s="155"/>
      <c r="M19" s="61"/>
    </row>
    <row r="20" spans="1:14" s="58" customFormat="1" ht="13.9">
      <c r="A20" s="544" t="s">
        <v>169</v>
      </c>
      <c r="B20" s="545" t="e">
        <f>AVERAGE(#REF!)/12</f>
        <v>#REF!</v>
      </c>
      <c r="C20" s="545">
        <v>55</v>
      </c>
      <c r="D20" s="546" t="e">
        <f>((D10/12)-B20-C20)</f>
        <v>#REF!</v>
      </c>
      <c r="E20" s="547" t="e">
        <f t="shared" ref="E20:E21" si="4">SUM(B20:D20)</f>
        <v>#REF!</v>
      </c>
      <c r="G20" s="109"/>
      <c r="H20" s="183" t="s">
        <v>170</v>
      </c>
      <c r="I20" s="159"/>
      <c r="J20" s="159"/>
      <c r="K20" s="157"/>
      <c r="L20" s="183" t="s">
        <v>171</v>
      </c>
    </row>
    <row r="21" spans="1:14" s="58" customFormat="1" ht="13.9">
      <c r="A21" s="544" t="s">
        <v>172</v>
      </c>
      <c r="B21" s="548" t="e">
        <f>AVERAGE(#REF!)/12</f>
        <v>#REF!</v>
      </c>
      <c r="C21" s="549">
        <v>55</v>
      </c>
      <c r="D21" s="546" t="e">
        <f>((D11/12)-B21-C21)</f>
        <v>#REF!</v>
      </c>
      <c r="E21" s="550" t="e">
        <f t="shared" si="4"/>
        <v>#REF!</v>
      </c>
      <c r="G21" s="109"/>
      <c r="H21" s="525" t="s">
        <v>149</v>
      </c>
      <c r="I21" s="524">
        <v>0.5</v>
      </c>
      <c r="J21" s="524">
        <v>1</v>
      </c>
      <c r="K21" s="157"/>
      <c r="L21" s="525" t="s">
        <v>149</v>
      </c>
      <c r="M21" s="524">
        <v>0.5</v>
      </c>
      <c r="N21" s="524">
        <v>1</v>
      </c>
    </row>
    <row r="22" spans="1:14" s="58" customFormat="1" ht="13.9">
      <c r="A22" s="58" t="s">
        <v>173</v>
      </c>
      <c r="B22" s="70"/>
      <c r="C22" s="51"/>
      <c r="D22" s="551"/>
      <c r="E22" s="61"/>
      <c r="F22" s="61"/>
      <c r="G22" s="61"/>
      <c r="H22" s="528"/>
      <c r="I22" s="522" t="s">
        <v>154</v>
      </c>
      <c r="J22" s="522" t="s">
        <v>154</v>
      </c>
      <c r="K22" s="158"/>
      <c r="L22" s="528"/>
      <c r="M22" s="522" t="s">
        <v>154</v>
      </c>
      <c r="N22" s="522" t="s">
        <v>154</v>
      </c>
    </row>
    <row r="23" spans="1:14" s="58" customFormat="1" ht="13.9">
      <c r="A23" s="59"/>
      <c r="D23" s="552"/>
      <c r="E23" s="61"/>
      <c r="F23" s="61"/>
      <c r="G23" s="61"/>
      <c r="H23" s="533">
        <v>1</v>
      </c>
      <c r="I23" s="553">
        <f>M9*103%</f>
        <v>33683.575000000004</v>
      </c>
      <c r="J23" s="534">
        <f>I23*2</f>
        <v>67367.150000000009</v>
      </c>
      <c r="K23" s="154"/>
      <c r="L23" s="533">
        <v>1</v>
      </c>
      <c r="M23" s="534">
        <f t="shared" ref="M23:M30" si="5">I23*103%</f>
        <v>34694.082250000007</v>
      </c>
      <c r="N23" s="534">
        <f>M23*2</f>
        <v>69388.164500000014</v>
      </c>
    </row>
    <row r="24" spans="1:14" s="58" customFormat="1" ht="13.9">
      <c r="A24" s="59" t="s">
        <v>174</v>
      </c>
      <c r="D24" s="552"/>
      <c r="E24" s="61"/>
      <c r="F24" s="61"/>
      <c r="G24" s="61"/>
      <c r="H24" s="535">
        <v>2</v>
      </c>
      <c r="I24" s="534">
        <f t="shared" ref="I24:I30" si="6">M10*103%</f>
        <v>38457.625</v>
      </c>
      <c r="J24" s="534">
        <f t="shared" ref="J24:J30" si="7">I24*2</f>
        <v>76915.25</v>
      </c>
      <c r="K24" s="154"/>
      <c r="L24" s="535">
        <v>2</v>
      </c>
      <c r="M24" s="534">
        <f t="shared" si="5"/>
        <v>39611.353750000002</v>
      </c>
      <c r="N24" s="534">
        <f t="shared" ref="N24:N30" si="8">M24*2</f>
        <v>79222.707500000004</v>
      </c>
    </row>
    <row r="25" spans="1:14" s="58" customFormat="1" ht="13.9">
      <c r="A25" s="522" t="s">
        <v>20</v>
      </c>
      <c r="B25" s="526" t="s">
        <v>149</v>
      </c>
      <c r="C25" s="554">
        <v>0.8</v>
      </c>
      <c r="D25" s="554">
        <v>0.7</v>
      </c>
      <c r="E25" s="554">
        <v>0.6</v>
      </c>
      <c r="F25" s="61"/>
      <c r="G25" s="61"/>
      <c r="H25" s="535">
        <v>3</v>
      </c>
      <c r="I25" s="534">
        <f t="shared" si="6"/>
        <v>43284.72</v>
      </c>
      <c r="J25" s="534">
        <f t="shared" si="7"/>
        <v>86569.44</v>
      </c>
      <c r="K25" s="154"/>
      <c r="L25" s="535">
        <v>3</v>
      </c>
      <c r="M25" s="534">
        <f t="shared" si="5"/>
        <v>44583.261600000005</v>
      </c>
      <c r="N25" s="534">
        <f t="shared" si="8"/>
        <v>89166.523200000011</v>
      </c>
    </row>
    <row r="26" spans="1:14" s="58" customFormat="1" ht="13.9">
      <c r="A26" s="522"/>
      <c r="B26" s="526"/>
      <c r="C26" s="524" t="s">
        <v>151</v>
      </c>
      <c r="D26" s="524" t="s">
        <v>151</v>
      </c>
      <c r="E26" s="524" t="s">
        <v>151</v>
      </c>
      <c r="F26" s="61"/>
      <c r="G26" s="61"/>
      <c r="H26" s="535">
        <v>4</v>
      </c>
      <c r="I26" s="534">
        <f t="shared" si="6"/>
        <v>48058.770000000004</v>
      </c>
      <c r="J26" s="534">
        <f t="shared" si="7"/>
        <v>96117.540000000008</v>
      </c>
      <c r="K26" s="154"/>
      <c r="L26" s="535">
        <v>4</v>
      </c>
      <c r="M26" s="534">
        <f t="shared" si="5"/>
        <v>49500.533100000008</v>
      </c>
      <c r="N26" s="534">
        <f t="shared" si="8"/>
        <v>99001.066200000016</v>
      </c>
    </row>
    <row r="27" spans="1:14" s="58" customFormat="1">
      <c r="A27" s="544" t="s">
        <v>168</v>
      </c>
      <c r="B27" s="529">
        <v>1</v>
      </c>
      <c r="C27" s="555" t="e">
        <f t="shared" ref="C27:E28" si="9">$E$19/($J9*C$25/12)</f>
        <v>#REF!</v>
      </c>
      <c r="D27" s="556" t="e">
        <f t="shared" si="9"/>
        <v>#REF!</v>
      </c>
      <c r="E27" s="556" t="e">
        <f t="shared" si="9"/>
        <v>#REF!</v>
      </c>
      <c r="F27" s="61"/>
      <c r="G27" s="61"/>
      <c r="H27" s="535">
        <v>5</v>
      </c>
      <c r="I27" s="534">
        <f t="shared" si="6"/>
        <v>51931.055</v>
      </c>
      <c r="J27" s="534">
        <f t="shared" si="7"/>
        <v>103862.11</v>
      </c>
      <c r="K27" s="154"/>
      <c r="L27" s="535">
        <v>5</v>
      </c>
      <c r="M27" s="534">
        <f t="shared" si="5"/>
        <v>53488.986649999999</v>
      </c>
      <c r="N27" s="534">
        <f t="shared" si="8"/>
        <v>106977.9733</v>
      </c>
    </row>
    <row r="28" spans="1:14" s="58" customFormat="1">
      <c r="A28" s="544" t="s">
        <v>168</v>
      </c>
      <c r="B28" s="529">
        <v>2</v>
      </c>
      <c r="C28" s="555" t="e">
        <f t="shared" si="9"/>
        <v>#REF!</v>
      </c>
      <c r="D28" s="556" t="e">
        <f t="shared" si="9"/>
        <v>#REF!</v>
      </c>
      <c r="E28" s="556" t="e">
        <f t="shared" si="9"/>
        <v>#REF!</v>
      </c>
      <c r="F28" s="61"/>
      <c r="G28" s="61"/>
      <c r="H28" s="535">
        <v>6</v>
      </c>
      <c r="I28" s="534">
        <f t="shared" si="6"/>
        <v>55750.294999999998</v>
      </c>
      <c r="J28" s="534">
        <f t="shared" si="7"/>
        <v>111500.59</v>
      </c>
      <c r="K28" s="154"/>
      <c r="L28" s="535">
        <v>6</v>
      </c>
      <c r="M28" s="534">
        <f t="shared" si="5"/>
        <v>57422.803849999997</v>
      </c>
      <c r="N28" s="534">
        <f t="shared" si="8"/>
        <v>114845.60769999999</v>
      </c>
    </row>
    <row r="29" spans="1:14" s="58" customFormat="1">
      <c r="A29" s="544" t="s">
        <v>169</v>
      </c>
      <c r="B29" s="529">
        <v>2</v>
      </c>
      <c r="C29" s="555" t="e">
        <f t="shared" ref="C29:E31" si="10">$E$20/($J10*C$25/12)</f>
        <v>#REF!</v>
      </c>
      <c r="D29" s="556" t="e">
        <f t="shared" si="10"/>
        <v>#REF!</v>
      </c>
      <c r="E29" s="556" t="e">
        <f t="shared" si="10"/>
        <v>#REF!</v>
      </c>
      <c r="F29" s="61"/>
      <c r="G29" s="61"/>
      <c r="H29" s="537">
        <v>7</v>
      </c>
      <c r="I29" s="538">
        <f t="shared" si="6"/>
        <v>59622.58</v>
      </c>
      <c r="J29" s="538">
        <f t="shared" si="7"/>
        <v>119245.16</v>
      </c>
      <c r="K29" s="154"/>
      <c r="L29" s="537">
        <v>7</v>
      </c>
      <c r="M29" s="538">
        <f t="shared" si="5"/>
        <v>61411.257400000002</v>
      </c>
      <c r="N29" s="538">
        <f t="shared" si="8"/>
        <v>122822.5148</v>
      </c>
    </row>
    <row r="30" spans="1:14" s="58" customFormat="1">
      <c r="A30" s="544" t="s">
        <v>169</v>
      </c>
      <c r="B30" s="529">
        <v>3</v>
      </c>
      <c r="C30" s="555" t="e">
        <f t="shared" si="10"/>
        <v>#REF!</v>
      </c>
      <c r="D30" s="555" t="e">
        <f t="shared" si="10"/>
        <v>#REF!</v>
      </c>
      <c r="E30" s="555" t="e">
        <f t="shared" si="10"/>
        <v>#REF!</v>
      </c>
      <c r="F30" s="61"/>
      <c r="G30" s="61"/>
      <c r="H30" s="537">
        <v>8</v>
      </c>
      <c r="I30" s="538">
        <f t="shared" si="6"/>
        <v>63441.82</v>
      </c>
      <c r="J30" s="538">
        <f t="shared" si="7"/>
        <v>126883.64</v>
      </c>
      <c r="K30" s="154"/>
      <c r="L30" s="537">
        <v>8</v>
      </c>
      <c r="M30" s="538">
        <f t="shared" si="5"/>
        <v>65345.0746</v>
      </c>
      <c r="N30" s="538">
        <f t="shared" si="8"/>
        <v>130690.1492</v>
      </c>
    </row>
    <row r="31" spans="1:14" s="58" customFormat="1">
      <c r="A31" s="544" t="s">
        <v>169</v>
      </c>
      <c r="B31" s="529">
        <v>4</v>
      </c>
      <c r="C31" s="555" t="e">
        <f t="shared" si="10"/>
        <v>#REF!</v>
      </c>
      <c r="D31" s="555" t="e">
        <f t="shared" si="10"/>
        <v>#REF!</v>
      </c>
      <c r="E31" s="555" t="e">
        <f t="shared" si="10"/>
        <v>#REF!</v>
      </c>
      <c r="F31" s="61"/>
      <c r="G31" s="61"/>
      <c r="H31" s="70"/>
      <c r="I31" s="159"/>
      <c r="J31" s="159"/>
      <c r="K31" s="154"/>
    </row>
    <row r="32" spans="1:14" s="58" customFormat="1">
      <c r="A32" s="544" t="s">
        <v>172</v>
      </c>
      <c r="B32" s="529">
        <v>3</v>
      </c>
      <c r="C32" s="555" t="e">
        <f t="shared" ref="C32:E35" si="11">$E$21/($J11*C$25/12)</f>
        <v>#REF!</v>
      </c>
      <c r="D32" s="555" t="e">
        <f t="shared" si="11"/>
        <v>#REF!</v>
      </c>
      <c r="E32" s="555" t="e">
        <f t="shared" si="11"/>
        <v>#REF!</v>
      </c>
      <c r="F32" s="61"/>
      <c r="G32" s="61"/>
      <c r="H32" s="70"/>
      <c r="I32" s="159"/>
      <c r="J32" s="159"/>
      <c r="K32" s="154"/>
    </row>
    <row r="33" spans="1:17" s="58" customFormat="1">
      <c r="A33" s="544" t="s">
        <v>172</v>
      </c>
      <c r="B33" s="529">
        <v>4</v>
      </c>
      <c r="C33" s="555" t="e">
        <f t="shared" si="11"/>
        <v>#REF!</v>
      </c>
      <c r="D33" s="555" t="e">
        <f t="shared" si="11"/>
        <v>#REF!</v>
      </c>
      <c r="E33" s="555" t="e">
        <f t="shared" si="11"/>
        <v>#REF!</v>
      </c>
      <c r="F33" s="61"/>
      <c r="G33" s="61"/>
      <c r="K33" s="154"/>
    </row>
    <row r="34" spans="1:17" s="58" customFormat="1">
      <c r="A34" s="544" t="s">
        <v>172</v>
      </c>
      <c r="B34" s="529">
        <v>5</v>
      </c>
      <c r="C34" s="555" t="e">
        <f t="shared" si="11"/>
        <v>#REF!</v>
      </c>
      <c r="D34" s="555" t="e">
        <f t="shared" si="11"/>
        <v>#REF!</v>
      </c>
      <c r="E34" s="555" t="e">
        <f t="shared" si="11"/>
        <v>#REF!</v>
      </c>
      <c r="F34" s="61"/>
      <c r="G34" s="61"/>
      <c r="K34" s="154"/>
    </row>
    <row r="35" spans="1:17" s="58" customFormat="1">
      <c r="A35" s="544" t="s">
        <v>172</v>
      </c>
      <c r="B35" s="529">
        <v>6</v>
      </c>
      <c r="C35" s="555" t="e">
        <f t="shared" si="11"/>
        <v>#REF!</v>
      </c>
      <c r="D35" s="555" t="e">
        <f t="shared" si="11"/>
        <v>#REF!</v>
      </c>
      <c r="E35" s="555" t="e">
        <f t="shared" si="11"/>
        <v>#REF!</v>
      </c>
      <c r="F35" s="61"/>
      <c r="G35" s="61"/>
      <c r="K35" s="154"/>
    </row>
    <row r="36" spans="1:17" s="58" customFormat="1" ht="13.9">
      <c r="A36" s="59"/>
      <c r="E36" s="61"/>
      <c r="F36" s="61"/>
      <c r="G36" s="61"/>
      <c r="K36" s="154"/>
    </row>
    <row r="37" spans="1:17" s="58" customFormat="1" ht="13.9">
      <c r="A37" s="64" t="s">
        <v>175</v>
      </c>
      <c r="B37" s="49"/>
      <c r="C37" s="49"/>
      <c r="D37" s="51"/>
      <c r="E37" s="49"/>
      <c r="F37" s="62"/>
      <c r="G37" s="189"/>
      <c r="I37" s="188"/>
      <c r="K37" s="154"/>
    </row>
    <row r="38" spans="1:17" s="58" customFormat="1" ht="13.9">
      <c r="A38" s="64"/>
      <c r="B38" s="49"/>
      <c r="C38" s="49"/>
      <c r="D38" s="51"/>
      <c r="E38" s="154"/>
      <c r="F38" s="62"/>
      <c r="G38" s="62"/>
      <c r="K38" s="154"/>
    </row>
    <row r="39" spans="1:17" s="58" customFormat="1" ht="13.9">
      <c r="A39" s="72" t="s">
        <v>176</v>
      </c>
      <c r="B39" s="49"/>
      <c r="C39" s="49"/>
      <c r="D39" s="51"/>
      <c r="E39" s="154"/>
      <c r="F39" s="62"/>
      <c r="G39" s="62"/>
      <c r="K39" s="154"/>
    </row>
    <row r="40" spans="1:17" s="58" customFormat="1">
      <c r="A40" s="557" t="s">
        <v>177</v>
      </c>
      <c r="B40" s="558">
        <v>0.02</v>
      </c>
      <c r="E40" s="186"/>
      <c r="F40" s="63"/>
      <c r="G40" s="63"/>
      <c r="K40" s="154"/>
    </row>
    <row r="41" spans="1:17" s="58" customFormat="1">
      <c r="A41" s="557" t="s">
        <v>178</v>
      </c>
      <c r="B41" s="559">
        <v>30</v>
      </c>
      <c r="E41" s="186"/>
      <c r="F41" s="63"/>
      <c r="G41" s="63"/>
      <c r="K41" s="154"/>
    </row>
    <row r="42" spans="1:17" s="58" customFormat="1">
      <c r="A42" s="560" t="s">
        <v>179</v>
      </c>
      <c r="B42" s="558">
        <v>0.01</v>
      </c>
      <c r="C42" s="49"/>
      <c r="D42" s="51"/>
      <c r="E42" s="53"/>
      <c r="F42" s="62"/>
      <c r="G42" s="62"/>
      <c r="K42" s="154"/>
    </row>
    <row r="43" spans="1:17" s="58" customFormat="1" ht="13.9">
      <c r="A43" s="64"/>
      <c r="B43" s="49"/>
      <c r="C43" s="49"/>
      <c r="D43" s="184"/>
      <c r="E43" s="53"/>
      <c r="F43" s="62"/>
      <c r="H43" s="62"/>
      <c r="K43" s="154"/>
    </row>
    <row r="44" spans="1:17" s="58" customFormat="1" ht="13.9">
      <c r="A44" s="522" t="s">
        <v>20</v>
      </c>
      <c r="B44" s="526" t="s">
        <v>149</v>
      </c>
      <c r="C44" s="522" t="s">
        <v>180</v>
      </c>
      <c r="D44" s="522" t="s">
        <v>181</v>
      </c>
      <c r="E44" s="68"/>
      <c r="F44" s="84"/>
      <c r="G44" s="69"/>
      <c r="K44" s="154"/>
      <c r="L44" s="49"/>
    </row>
    <row r="45" spans="1:17" s="58" customFormat="1">
      <c r="A45" s="544" t="s">
        <v>168</v>
      </c>
      <c r="B45" s="529">
        <v>1</v>
      </c>
      <c r="C45" s="561" t="e">
        <f>PV($B$40/12,$B$41*12,-(D19))</f>
        <v>#REF!</v>
      </c>
      <c r="D45" s="532" t="e">
        <f>C45/99%</f>
        <v>#REF!</v>
      </c>
      <c r="E45" s="73"/>
      <c r="F45" s="185"/>
      <c r="H45" s="185"/>
      <c r="I45" s="154"/>
      <c r="J45" s="154"/>
      <c r="K45" s="154"/>
      <c r="L45" s="49"/>
      <c r="M45" s="49"/>
    </row>
    <row r="46" spans="1:17">
      <c r="A46" s="544" t="s">
        <v>169</v>
      </c>
      <c r="B46" s="529">
        <v>2</v>
      </c>
      <c r="C46" s="561" t="e">
        <f>PV($B$40/12,$B$41*12,-(D20))</f>
        <v>#REF!</v>
      </c>
      <c r="D46" s="532" t="e">
        <f t="shared" ref="D46:D47" si="12">C46/99%</f>
        <v>#REF!</v>
      </c>
      <c r="E46" s="61"/>
      <c r="G46" s="61"/>
      <c r="H46" s="154"/>
      <c r="I46" s="185"/>
      <c r="J46" s="154"/>
      <c r="K46" s="154"/>
      <c r="O46" s="52"/>
      <c r="P46" s="53"/>
      <c r="Q46" s="52"/>
    </row>
    <row r="47" spans="1:17">
      <c r="A47" s="544" t="s">
        <v>172</v>
      </c>
      <c r="B47" s="529">
        <v>3</v>
      </c>
      <c r="C47" s="561" t="e">
        <f>PV($B$40/12,$B$41*12,-(D21))</f>
        <v>#REF!</v>
      </c>
      <c r="D47" s="532" t="e">
        <f t="shared" si="12"/>
        <v>#REF!</v>
      </c>
      <c r="E47" s="61"/>
      <c r="G47" s="61"/>
      <c r="H47" s="57"/>
      <c r="I47" s="61"/>
      <c r="J47" s="154"/>
      <c r="K47" s="154"/>
      <c r="L47" s="58"/>
      <c r="O47" s="52"/>
      <c r="P47" s="53"/>
      <c r="Q47" s="52"/>
    </row>
    <row r="48" spans="1:17">
      <c r="A48" s="560"/>
      <c r="B48" s="560"/>
      <c r="C48" s="562"/>
      <c r="G48" s="62"/>
      <c r="H48" s="154"/>
      <c r="I48" s="53"/>
      <c r="J48" s="154"/>
      <c r="K48" s="154"/>
      <c r="L48" s="58"/>
      <c r="O48" s="52"/>
      <c r="P48" s="53"/>
      <c r="Q48" s="52"/>
    </row>
    <row r="49" spans="1:17" s="58" customFormat="1" ht="13.9">
      <c r="A49" s="522" t="s">
        <v>20</v>
      </c>
      <c r="B49" s="522" t="s">
        <v>182</v>
      </c>
      <c r="C49" s="522" t="s">
        <v>183</v>
      </c>
      <c r="D49" s="522" t="s">
        <v>184</v>
      </c>
      <c r="E49" s="49"/>
      <c r="G49" s="49"/>
      <c r="H49" s="63"/>
      <c r="I49" s="57"/>
      <c r="J49" s="154"/>
      <c r="K49" s="154"/>
    </row>
    <row r="50" spans="1:17" s="58" customFormat="1">
      <c r="A50" s="544" t="s">
        <v>168</v>
      </c>
      <c r="B50" s="537" t="e">
        <f>ONEBRTOTAL</f>
        <v>#NAME?</v>
      </c>
      <c r="C50" s="550" t="e">
        <f>C45*B50</f>
        <v>#REF!</v>
      </c>
      <c r="D50" s="563" t="e">
        <f>D45*B50</f>
        <v>#REF!</v>
      </c>
      <c r="E50" s="49"/>
      <c r="F50" s="49"/>
      <c r="G50" s="49"/>
      <c r="H50" s="154"/>
      <c r="I50" s="154"/>
      <c r="J50" s="154"/>
      <c r="K50" s="154"/>
      <c r="M50" s="49"/>
    </row>
    <row r="51" spans="1:17">
      <c r="A51" s="544" t="s">
        <v>169</v>
      </c>
      <c r="B51" s="537" t="e">
        <f>TWOBRTOTAL</f>
        <v>#NAME?</v>
      </c>
      <c r="C51" s="550" t="e">
        <f>C46*B51</f>
        <v>#REF!</v>
      </c>
      <c r="D51" s="563" t="e">
        <f>D46*B51</f>
        <v>#REF!</v>
      </c>
      <c r="H51" s="154"/>
      <c r="I51" s="154"/>
      <c r="J51" s="154"/>
      <c r="K51" s="154"/>
      <c r="L51" s="58"/>
      <c r="O51" s="52"/>
      <c r="P51" s="53"/>
      <c r="Q51" s="52"/>
    </row>
    <row r="52" spans="1:17">
      <c r="A52" s="544" t="s">
        <v>172</v>
      </c>
      <c r="B52" s="537" t="e">
        <f>THREEBRTOTAL</f>
        <v>#NAME?</v>
      </c>
      <c r="C52" s="550" t="e">
        <f>C47*B52</f>
        <v>#REF!</v>
      </c>
      <c r="D52" s="563" t="e">
        <f>D47*B52</f>
        <v>#REF!</v>
      </c>
      <c r="H52" s="154"/>
      <c r="I52" s="154"/>
      <c r="J52" s="154"/>
      <c r="K52" s="154"/>
      <c r="L52" s="58"/>
      <c r="M52" s="58"/>
      <c r="O52" s="52"/>
      <c r="P52" s="53"/>
      <c r="Q52" s="52"/>
    </row>
    <row r="53" spans="1:17" s="58" customFormat="1" ht="13.9">
      <c r="A53" s="564" t="s">
        <v>31</v>
      </c>
      <c r="B53" s="522" t="e">
        <f>SUM(B50:B52)</f>
        <v>#NAME?</v>
      </c>
      <c r="C53" s="565" t="e">
        <f>SUMPRODUCT(B50:B52,C45:C47)</f>
        <v>#NAME?</v>
      </c>
      <c r="D53" s="566" t="e">
        <f>SUM(D50:D52)</f>
        <v>#REF!</v>
      </c>
      <c r="E53" s="49"/>
      <c r="F53" s="53"/>
      <c r="G53" s="49"/>
      <c r="H53" s="154"/>
      <c r="I53" s="154"/>
      <c r="J53" s="154"/>
      <c r="K53" s="154"/>
    </row>
    <row r="54" spans="1:17" s="58" customFormat="1">
      <c r="A54" s="49"/>
      <c r="B54" s="49"/>
      <c r="C54" s="49"/>
      <c r="D54" s="49"/>
      <c r="E54" s="49"/>
      <c r="F54" s="53"/>
      <c r="G54" s="49"/>
      <c r="H54" s="154"/>
      <c r="I54" s="154"/>
      <c r="J54" s="154"/>
      <c r="K54" s="154"/>
    </row>
    <row r="55" spans="1:17" s="58" customFormat="1">
      <c r="A55" s="49"/>
      <c r="B55" s="49"/>
      <c r="C55" s="49"/>
      <c r="D55" s="49"/>
      <c r="E55" s="49"/>
      <c r="F55" s="49"/>
      <c r="G55" s="49"/>
      <c r="H55" s="49"/>
      <c r="I55" s="49"/>
      <c r="J55" s="49"/>
      <c r="K55" s="49"/>
    </row>
    <row r="56" spans="1:17" s="58" customFormat="1" ht="13.9">
      <c r="A56" s="567" t="s">
        <v>185</v>
      </c>
      <c r="B56" s="568"/>
      <c r="C56" s="568"/>
      <c r="D56" s="569"/>
      <c r="E56" s="49"/>
      <c r="F56" s="49"/>
      <c r="G56" s="49"/>
      <c r="H56" s="49"/>
      <c r="I56" s="49"/>
      <c r="J56" s="49"/>
      <c r="K56" s="49"/>
      <c r="L56" s="49"/>
    </row>
    <row r="57" spans="1:17" s="58" customFormat="1" ht="13.9">
      <c r="A57" s="570"/>
      <c r="B57" s="564" t="s">
        <v>186</v>
      </c>
      <c r="C57" s="564" t="s">
        <v>187</v>
      </c>
      <c r="D57" s="564" t="s">
        <v>188</v>
      </c>
      <c r="E57" s="49"/>
      <c r="F57" s="49"/>
      <c r="G57" s="49"/>
      <c r="H57" s="49"/>
      <c r="I57" s="49"/>
      <c r="J57" s="74"/>
      <c r="K57" s="49"/>
      <c r="L57" s="49"/>
    </row>
    <row r="58" spans="1:17" s="58" customFormat="1" ht="13.9">
      <c r="A58" s="570" t="s">
        <v>142</v>
      </c>
      <c r="B58" s="571">
        <v>0.02</v>
      </c>
      <c r="C58" s="571">
        <v>3.6249999999999998E-2</v>
      </c>
      <c r="D58" s="571">
        <v>0.04</v>
      </c>
      <c r="E58" s="49"/>
      <c r="F58" s="49"/>
      <c r="G58" s="49"/>
      <c r="H58" s="49"/>
      <c r="I58" s="49"/>
      <c r="J58" s="71"/>
      <c r="K58" s="74"/>
      <c r="L58" s="49"/>
    </row>
    <row r="59" spans="1:17" s="58" customFormat="1" ht="13.9">
      <c r="A59" s="570" t="s">
        <v>189</v>
      </c>
      <c r="B59" s="571">
        <v>0.01</v>
      </c>
      <c r="C59" s="571">
        <v>0.03</v>
      </c>
      <c r="D59" s="571">
        <v>0.01</v>
      </c>
      <c r="E59" s="49"/>
      <c r="F59" s="49"/>
      <c r="G59" s="49"/>
      <c r="H59" s="49"/>
      <c r="I59" s="49"/>
      <c r="J59" s="49"/>
      <c r="K59" s="71"/>
      <c r="L59" s="49"/>
    </row>
    <row r="60" spans="1:17" s="58" customFormat="1" ht="13.9">
      <c r="A60" s="570" t="s">
        <v>132</v>
      </c>
      <c r="B60" s="544">
        <v>30</v>
      </c>
      <c r="C60" s="544">
        <v>30</v>
      </c>
      <c r="D60" s="544">
        <v>30</v>
      </c>
      <c r="E60" s="57"/>
      <c r="F60" s="66"/>
      <c r="G60" s="66"/>
      <c r="H60" s="49"/>
      <c r="I60" s="49"/>
      <c r="J60" s="49"/>
      <c r="K60" s="49"/>
      <c r="L60" s="49"/>
      <c r="M60" s="49"/>
    </row>
    <row r="61" spans="1:17" ht="13.9">
      <c r="A61" s="570" t="s">
        <v>190</v>
      </c>
      <c r="B61" s="544">
        <v>1</v>
      </c>
      <c r="C61" s="544">
        <v>1</v>
      </c>
      <c r="D61" s="544">
        <v>1</v>
      </c>
      <c r="E61" s="57"/>
      <c r="F61" s="66"/>
      <c r="G61" s="66"/>
      <c r="H61" s="60"/>
      <c r="O61" s="52"/>
      <c r="P61" s="53"/>
      <c r="Q61" s="52"/>
    </row>
    <row r="62" spans="1:17" ht="13.9">
      <c r="A62" s="570" t="s">
        <v>191</v>
      </c>
      <c r="B62" s="544">
        <v>6</v>
      </c>
      <c r="C62" s="544">
        <v>6</v>
      </c>
      <c r="D62" s="544">
        <v>2</v>
      </c>
      <c r="E62" s="57"/>
      <c r="F62" s="67"/>
      <c r="G62" s="67"/>
      <c r="H62" s="60"/>
      <c r="O62" s="52"/>
      <c r="P62" s="53"/>
      <c r="Q62" s="52"/>
    </row>
    <row r="63" spans="1:17" ht="13.9">
      <c r="A63" s="570" t="s">
        <v>150</v>
      </c>
      <c r="B63" s="572">
        <v>82000</v>
      </c>
      <c r="C63" s="572">
        <v>108720</v>
      </c>
      <c r="D63" s="572">
        <v>103000</v>
      </c>
      <c r="E63" s="57"/>
      <c r="H63" s="60"/>
      <c r="O63" s="52"/>
      <c r="P63" s="53"/>
      <c r="Q63" s="52"/>
    </row>
    <row r="64" spans="1:17" ht="13.9">
      <c r="A64" s="570" t="s">
        <v>192</v>
      </c>
      <c r="B64" s="544" t="s">
        <v>193</v>
      </c>
      <c r="C64" s="573">
        <v>589780</v>
      </c>
      <c r="D64" s="570"/>
      <c r="H64" s="60"/>
      <c r="L64" s="74"/>
      <c r="O64" s="52"/>
      <c r="P64" s="53"/>
      <c r="Q64" s="52"/>
    </row>
    <row r="65" spans="3:17">
      <c r="L65" s="71"/>
      <c r="O65" s="52"/>
      <c r="P65" s="53"/>
      <c r="Q65" s="52"/>
    </row>
    <row r="66" spans="3:17" ht="13.9">
      <c r="C66" s="65"/>
      <c r="L66" s="57"/>
      <c r="O66" s="52"/>
      <c r="P66" s="53"/>
      <c r="Q66" s="52"/>
    </row>
    <row r="67" spans="3:17" ht="13.9">
      <c r="H67" s="55"/>
      <c r="L67" s="57"/>
      <c r="O67" s="52"/>
      <c r="P67" s="53"/>
      <c r="Q67" s="52"/>
    </row>
    <row r="68" spans="3:17" ht="13.9">
      <c r="H68" s="56"/>
      <c r="M68" s="74"/>
      <c r="O68" s="52"/>
      <c r="P68" s="53"/>
      <c r="Q68" s="52"/>
    </row>
    <row r="69" spans="3:17">
      <c r="M69" s="71"/>
    </row>
    <row r="70" spans="3:17">
      <c r="H70" s="56"/>
      <c r="M70" s="57"/>
    </row>
    <row r="71" spans="3:17">
      <c r="M71" s="57"/>
    </row>
    <row r="72" spans="3:17" ht="15.95" customHeight="1"/>
    <row r="76" spans="3:17">
      <c r="H76" s="50"/>
    </row>
    <row r="78" spans="3:17" ht="13.9">
      <c r="H78" s="54"/>
    </row>
    <row r="79" spans="3:17" ht="13.9">
      <c r="H79" s="55"/>
    </row>
    <row r="87" spans="15:17">
      <c r="O87" s="52"/>
      <c r="P87" s="53"/>
      <c r="Q87" s="52"/>
    </row>
    <row r="88" spans="15:17">
      <c r="O88" s="52"/>
      <c r="P88" s="53"/>
      <c r="Q88" s="52"/>
    </row>
    <row r="89" spans="15:17">
      <c r="O89" s="52"/>
      <c r="P89" s="53"/>
      <c r="Q89" s="52"/>
    </row>
    <row r="90" spans="15:17">
      <c r="O90" s="52"/>
      <c r="P90" s="53"/>
      <c r="Q90" s="52"/>
    </row>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sheetData>
  <pageMargins left="0.25" right="0.25"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9"/>
  <sheetViews>
    <sheetView workbookViewId="0">
      <selection activeCell="C17" sqref="C17"/>
    </sheetView>
  </sheetViews>
  <sheetFormatPr defaultColWidth="8.86328125" defaultRowHeight="14.25"/>
  <cols>
    <col min="1" max="1" width="25.3984375" bestFit="1" customWidth="1"/>
    <col min="2" max="12" width="13.73046875" customWidth="1"/>
  </cols>
  <sheetData>
    <row r="1" spans="1:12" s="12" customFormat="1">
      <c r="A1" s="47" t="str">
        <f>'S+U'!A1</f>
        <v>Project Name</v>
      </c>
      <c r="B1" s="47">
        <f>'S+U'!B1</f>
        <v>0</v>
      </c>
      <c r="C1" s="47">
        <f>'S+U'!D1</f>
        <v>0</v>
      </c>
      <c r="D1" s="47">
        <f>'S+U'!C1</f>
        <v>0</v>
      </c>
      <c r="E1" s="11"/>
      <c r="F1" s="11"/>
    </row>
    <row r="2" spans="1:12">
      <c r="A2" s="682" t="str">
        <f>'S+U'!A3</f>
        <v>Address</v>
      </c>
      <c r="B2" s="682"/>
      <c r="C2" s="682"/>
      <c r="D2" s="47"/>
      <c r="E2" s="11"/>
      <c r="F2" s="11"/>
    </row>
    <row r="4" spans="1:12" ht="28.9" thickBot="1">
      <c r="A4" s="574" t="s">
        <v>20</v>
      </c>
      <c r="B4" s="574" t="s">
        <v>194</v>
      </c>
      <c r="C4" s="574" t="s">
        <v>195</v>
      </c>
      <c r="D4" s="574" t="s">
        <v>196</v>
      </c>
      <c r="E4" s="574" t="s">
        <v>45</v>
      </c>
      <c r="F4" s="574" t="s">
        <v>197</v>
      </c>
      <c r="G4" s="13"/>
      <c r="H4" s="12"/>
      <c r="I4" s="12"/>
      <c r="J4" s="12"/>
      <c r="K4" s="12"/>
      <c r="L4" s="12"/>
    </row>
    <row r="5" spans="1:12">
      <c r="A5" s="14" t="s">
        <v>26</v>
      </c>
      <c r="B5" s="15">
        <f>'S+U'!C49</f>
        <v>0</v>
      </c>
      <c r="C5" s="14">
        <f>'Project Overview'!B17</f>
        <v>0</v>
      </c>
      <c r="D5" s="15">
        <f>B5*C5</f>
        <v>0</v>
      </c>
      <c r="E5" s="16" t="e">
        <f>D5/$D$8</f>
        <v>#REF!</v>
      </c>
      <c r="F5" s="17">
        <f>C5/$K$20</f>
        <v>0</v>
      </c>
      <c r="G5" s="18"/>
      <c r="H5" s="19"/>
      <c r="I5" s="18"/>
    </row>
    <row r="6" spans="1:12">
      <c r="A6" s="14" t="s">
        <v>27</v>
      </c>
      <c r="B6" s="15" t="e">
        <f>'S+U'!#REF!</f>
        <v>#REF!</v>
      </c>
      <c r="C6" s="14">
        <f>'Project Overview'!B18</f>
        <v>0</v>
      </c>
      <c r="D6" s="15" t="e">
        <f>B6*C6</f>
        <v>#REF!</v>
      </c>
      <c r="E6" s="16" t="e">
        <f>D6/$D$8</f>
        <v>#REF!</v>
      </c>
      <c r="F6" s="17">
        <f>C6/$K$20</f>
        <v>0</v>
      </c>
      <c r="G6" s="18"/>
      <c r="H6" s="19"/>
      <c r="I6" s="18"/>
    </row>
    <row r="7" spans="1:12" ht="16.5">
      <c r="A7" s="14" t="s">
        <v>28</v>
      </c>
      <c r="B7" s="15">
        <f>'S+U'!E49</f>
        <v>0</v>
      </c>
      <c r="C7" s="20">
        <f>'Project Overview'!B19</f>
        <v>0</v>
      </c>
      <c r="D7" s="21">
        <f>B7*C7</f>
        <v>0</v>
      </c>
      <c r="E7" s="22" t="e">
        <f>D7/$D$8</f>
        <v>#REF!</v>
      </c>
      <c r="F7" s="23">
        <f>C7/$K$20</f>
        <v>0</v>
      </c>
      <c r="G7" s="18"/>
      <c r="H7" s="19"/>
      <c r="I7" s="18"/>
    </row>
    <row r="8" spans="1:12">
      <c r="C8" s="24">
        <f>SUM(C5:C7)</f>
        <v>0</v>
      </c>
      <c r="D8" s="25" t="e">
        <f>SUM(D5:D7)</f>
        <v>#REF!</v>
      </c>
      <c r="E8" s="26" t="e">
        <f>SUM(E5:E7)</f>
        <v>#REF!</v>
      </c>
      <c r="F8" s="27">
        <f>SUM(F5:F7)</f>
        <v>0</v>
      </c>
      <c r="G8" s="28"/>
      <c r="H8" s="25"/>
    </row>
    <row r="9" spans="1:12">
      <c r="F9" s="28"/>
      <c r="G9" s="29"/>
    </row>
    <row r="10" spans="1:12">
      <c r="A10" t="s">
        <v>122</v>
      </c>
      <c r="B10" s="15" t="e">
        <f ca="1">'S+U'!B9</f>
        <v>#VALUE!</v>
      </c>
      <c r="F10" s="28"/>
      <c r="G10" s="29"/>
    </row>
    <row r="11" spans="1:12">
      <c r="A11" t="s">
        <v>198</v>
      </c>
      <c r="B11" s="15" t="e">
        <f>#REF!</f>
        <v>#REF!</v>
      </c>
      <c r="F11" s="28"/>
      <c r="G11" s="29"/>
    </row>
    <row r="12" spans="1:12" ht="16.5">
      <c r="A12" t="s">
        <v>199</v>
      </c>
      <c r="B12" s="21" t="e">
        <f>#REF!</f>
        <v>#REF!</v>
      </c>
      <c r="F12" s="28"/>
      <c r="G12" s="29"/>
    </row>
    <row r="13" spans="1:12">
      <c r="A13" s="30" t="s">
        <v>31</v>
      </c>
      <c r="B13" s="31" t="e">
        <f ca="1">SUM(B10:B12)</f>
        <v>#VALUE!</v>
      </c>
      <c r="F13" s="28"/>
      <c r="G13" s="29"/>
    </row>
    <row r="14" spans="1:12">
      <c r="A14" s="30"/>
      <c r="B14" s="31"/>
      <c r="F14" s="28"/>
      <c r="G14" s="29"/>
    </row>
    <row r="15" spans="1:12" ht="14.65" thickBot="1">
      <c r="A15" s="575" t="s">
        <v>122</v>
      </c>
      <c r="B15" s="576" t="s">
        <v>200</v>
      </c>
      <c r="C15" s="577" t="s">
        <v>201</v>
      </c>
      <c r="F15" s="28"/>
      <c r="G15" s="29"/>
    </row>
    <row r="16" spans="1:12">
      <c r="A16" s="32" t="s">
        <v>202</v>
      </c>
      <c r="B16" s="33" t="e">
        <f ca="1">B13/D8</f>
        <v>#VALUE!</v>
      </c>
      <c r="C16" s="34">
        <v>0.85</v>
      </c>
      <c r="F16" s="28"/>
      <c r="G16" s="29"/>
    </row>
    <row r="17" spans="1:12">
      <c r="A17" s="32" t="s">
        <v>203</v>
      </c>
      <c r="B17" s="35" t="e">
        <f ca="1">B18*F8</f>
        <v>#VALUE!</v>
      </c>
      <c r="C17" s="6">
        <v>50</v>
      </c>
      <c r="F17" s="28"/>
      <c r="G17" s="29"/>
    </row>
    <row r="18" spans="1:12">
      <c r="A18" s="32" t="s">
        <v>204</v>
      </c>
      <c r="B18" s="36" t="e">
        <f ca="1">B13/C26</f>
        <v>#VALUE!</v>
      </c>
      <c r="C18" s="37">
        <v>7.5</v>
      </c>
      <c r="F18" s="28"/>
      <c r="G18" s="29"/>
    </row>
    <row r="20" spans="1:12">
      <c r="A20" s="30" t="s">
        <v>205</v>
      </c>
      <c r="B20" s="24"/>
      <c r="C20" s="38">
        <v>1</v>
      </c>
      <c r="D20" s="24">
        <f>C20+1</f>
        <v>2</v>
      </c>
      <c r="E20" s="24">
        <f t="shared" ref="E20:K20" si="0">D20+1</f>
        <v>3</v>
      </c>
      <c r="F20" s="24">
        <f t="shared" si="0"/>
        <v>4</v>
      </c>
      <c r="G20" s="24">
        <f t="shared" si="0"/>
        <v>5</v>
      </c>
      <c r="H20" s="24">
        <f t="shared" si="0"/>
        <v>6</v>
      </c>
      <c r="I20" s="24">
        <f t="shared" si="0"/>
        <v>7</v>
      </c>
      <c r="J20" s="24">
        <f t="shared" si="0"/>
        <v>8</v>
      </c>
      <c r="K20" s="24">
        <f t="shared" si="0"/>
        <v>9</v>
      </c>
      <c r="L20" s="24" t="s">
        <v>206</v>
      </c>
    </row>
    <row r="21" spans="1:12" ht="14.65" thickBot="1">
      <c r="A21" s="578" t="s">
        <v>207</v>
      </c>
      <c r="B21" s="579"/>
      <c r="C21" s="580">
        <v>43101</v>
      </c>
      <c r="D21" s="580">
        <v>43132</v>
      </c>
      <c r="E21" s="580">
        <v>43160</v>
      </c>
      <c r="F21" s="580">
        <v>43191</v>
      </c>
      <c r="G21" s="580">
        <v>43221</v>
      </c>
      <c r="H21" s="580">
        <v>43252</v>
      </c>
      <c r="I21" s="580">
        <v>43282</v>
      </c>
      <c r="J21" s="580">
        <v>43313</v>
      </c>
      <c r="K21" s="580">
        <v>43373</v>
      </c>
      <c r="L21" s="577">
        <f>K21-C21</f>
        <v>272</v>
      </c>
    </row>
    <row r="22" spans="1:12">
      <c r="A22" s="32" t="s">
        <v>208</v>
      </c>
      <c r="B22" s="39">
        <v>2400000</v>
      </c>
      <c r="C22" s="40">
        <f t="shared" ref="C22:K22" si="1">$B$22/$K$20</f>
        <v>266666.66666666669</v>
      </c>
      <c r="D22" s="40">
        <f t="shared" si="1"/>
        <v>266666.66666666669</v>
      </c>
      <c r="E22" s="40">
        <f t="shared" si="1"/>
        <v>266666.66666666669</v>
      </c>
      <c r="F22" s="40">
        <f t="shared" si="1"/>
        <v>266666.66666666669</v>
      </c>
      <c r="G22" s="40">
        <f t="shared" si="1"/>
        <v>266666.66666666669</v>
      </c>
      <c r="H22" s="40">
        <f t="shared" si="1"/>
        <v>266666.66666666669</v>
      </c>
      <c r="I22" s="40">
        <f t="shared" si="1"/>
        <v>266666.66666666669</v>
      </c>
      <c r="J22" s="40">
        <f t="shared" si="1"/>
        <v>266666.66666666669</v>
      </c>
      <c r="K22" s="40">
        <f t="shared" si="1"/>
        <v>266666.66666666669</v>
      </c>
      <c r="L22" s="25">
        <f>SUM(C22:K22)</f>
        <v>2400000</v>
      </c>
    </row>
    <row r="23" spans="1:12">
      <c r="A23" s="32" t="s">
        <v>209</v>
      </c>
      <c r="B23" s="39" t="e">
        <f>'S+U'!#REF!</f>
        <v>#REF!</v>
      </c>
      <c r="C23" s="40" t="e">
        <f t="shared" ref="C23:K24" si="2">$B23/$K$20</f>
        <v>#REF!</v>
      </c>
      <c r="D23" s="40" t="e">
        <f t="shared" si="2"/>
        <v>#REF!</v>
      </c>
      <c r="E23" s="40" t="e">
        <f t="shared" si="2"/>
        <v>#REF!</v>
      </c>
      <c r="F23" s="40" t="e">
        <f t="shared" si="2"/>
        <v>#REF!</v>
      </c>
      <c r="G23" s="40" t="e">
        <f t="shared" si="2"/>
        <v>#REF!</v>
      </c>
      <c r="H23" s="40" t="e">
        <f t="shared" si="2"/>
        <v>#REF!</v>
      </c>
      <c r="I23" s="40" t="e">
        <f t="shared" si="2"/>
        <v>#REF!</v>
      </c>
      <c r="J23" s="40" t="e">
        <f t="shared" si="2"/>
        <v>#REF!</v>
      </c>
      <c r="K23" s="40" t="e">
        <f t="shared" si="2"/>
        <v>#REF!</v>
      </c>
      <c r="L23" s="25" t="e">
        <f>SUM(C23:K23)</f>
        <v>#REF!</v>
      </c>
    </row>
    <row r="24" spans="1:12">
      <c r="A24" s="32" t="s">
        <v>210</v>
      </c>
      <c r="B24" s="39" t="e">
        <f>'S+U'!#REF!</f>
        <v>#REF!</v>
      </c>
      <c r="C24" s="40" t="e">
        <f t="shared" si="2"/>
        <v>#REF!</v>
      </c>
      <c r="D24" s="40" t="e">
        <f t="shared" si="2"/>
        <v>#REF!</v>
      </c>
      <c r="E24" s="40" t="e">
        <f t="shared" si="2"/>
        <v>#REF!</v>
      </c>
      <c r="F24" s="40" t="e">
        <f t="shared" si="2"/>
        <v>#REF!</v>
      </c>
      <c r="G24" s="40" t="e">
        <f t="shared" si="2"/>
        <v>#REF!</v>
      </c>
      <c r="H24" s="40" t="e">
        <f t="shared" si="2"/>
        <v>#REF!</v>
      </c>
      <c r="I24" s="40" t="e">
        <f t="shared" si="2"/>
        <v>#REF!</v>
      </c>
      <c r="J24" s="40" t="e">
        <f t="shared" si="2"/>
        <v>#REF!</v>
      </c>
      <c r="K24" s="40" t="e">
        <f t="shared" si="2"/>
        <v>#REF!</v>
      </c>
      <c r="L24" s="25" t="e">
        <f>SUM(C24:K24)</f>
        <v>#REF!</v>
      </c>
    </row>
    <row r="25" spans="1:12">
      <c r="A25" s="32" t="s">
        <v>211</v>
      </c>
      <c r="B25" s="39" t="e">
        <f>'S+U'!#REF!</f>
        <v>#REF!</v>
      </c>
      <c r="C25" s="40"/>
      <c r="D25" s="40"/>
      <c r="E25" s="40"/>
      <c r="F25" s="40"/>
      <c r="G25" s="40"/>
      <c r="H25" s="40"/>
      <c r="I25" s="40"/>
      <c r="J25" s="40"/>
      <c r="K25" s="40"/>
      <c r="L25" s="25" t="e">
        <f>B25</f>
        <v>#REF!</v>
      </c>
    </row>
    <row r="26" spans="1:12" s="42" customFormat="1">
      <c r="A26" s="32" t="s">
        <v>212</v>
      </c>
      <c r="B26" s="41" t="e">
        <f>D8</f>
        <v>#REF!</v>
      </c>
      <c r="C26" s="25" t="e">
        <f t="shared" ref="C26:K26" si="3">$B$26/$K$20</f>
        <v>#REF!</v>
      </c>
      <c r="D26" s="25" t="e">
        <f t="shared" si="3"/>
        <v>#REF!</v>
      </c>
      <c r="E26" s="25" t="e">
        <f t="shared" si="3"/>
        <v>#REF!</v>
      </c>
      <c r="F26" s="25" t="e">
        <f t="shared" si="3"/>
        <v>#REF!</v>
      </c>
      <c r="G26" s="25" t="e">
        <f t="shared" si="3"/>
        <v>#REF!</v>
      </c>
      <c r="H26" s="25" t="e">
        <f t="shared" si="3"/>
        <v>#REF!</v>
      </c>
      <c r="I26" s="25" t="e">
        <f t="shared" si="3"/>
        <v>#REF!</v>
      </c>
      <c r="J26" s="25" t="e">
        <f t="shared" si="3"/>
        <v>#REF!</v>
      </c>
      <c r="K26" s="25" t="e">
        <f t="shared" si="3"/>
        <v>#REF!</v>
      </c>
      <c r="L26" s="25" t="e">
        <f>SUM(C26:K26)</f>
        <v>#REF!</v>
      </c>
    </row>
    <row r="27" spans="1:12" ht="16.5">
      <c r="A27" s="32" t="s">
        <v>53</v>
      </c>
      <c r="B27" s="41" t="e">
        <f ca="1">'S+U'!B12</f>
        <v>#VALUE!</v>
      </c>
      <c r="C27" s="43">
        <v>0</v>
      </c>
      <c r="D27" s="43">
        <v>0</v>
      </c>
      <c r="E27" s="43">
        <v>0</v>
      </c>
      <c r="F27" s="43">
        <v>0</v>
      </c>
      <c r="G27" s="43">
        <v>0</v>
      </c>
      <c r="H27" s="43">
        <v>0</v>
      </c>
      <c r="I27" s="43">
        <v>0</v>
      </c>
      <c r="J27" s="43">
        <v>0</v>
      </c>
      <c r="K27" s="43" t="e">
        <f ca="1">B27</f>
        <v>#VALUE!</v>
      </c>
      <c r="L27" s="25"/>
    </row>
    <row r="28" spans="1:12">
      <c r="B28" s="32" t="s">
        <v>213</v>
      </c>
      <c r="C28" s="25" t="e">
        <f>C26</f>
        <v>#REF!</v>
      </c>
      <c r="D28" s="25" t="e">
        <f>C28+D26+D27</f>
        <v>#REF!</v>
      </c>
      <c r="E28" s="25" t="e">
        <f t="shared" ref="E28:K28" si="4">D28+E26+E27</f>
        <v>#REF!</v>
      </c>
      <c r="F28" s="25" t="e">
        <f t="shared" si="4"/>
        <v>#REF!</v>
      </c>
      <c r="G28" s="25" t="e">
        <f t="shared" si="4"/>
        <v>#REF!</v>
      </c>
      <c r="H28" s="25" t="e">
        <f t="shared" si="4"/>
        <v>#REF!</v>
      </c>
      <c r="I28" s="25" t="e">
        <f t="shared" si="4"/>
        <v>#REF!</v>
      </c>
      <c r="J28" s="25" t="e">
        <f t="shared" si="4"/>
        <v>#REF!</v>
      </c>
      <c r="K28" s="25" t="e">
        <f t="shared" ca="1" si="4"/>
        <v>#REF!</v>
      </c>
      <c r="L28" s="28" t="e">
        <f>SUM(L22:L27)</f>
        <v>#REF!</v>
      </c>
    </row>
    <row r="29" spans="1:12">
      <c r="A29" s="42"/>
      <c r="B29" s="44" t="s">
        <v>214</v>
      </c>
      <c r="C29" s="45" t="e">
        <f t="shared" ref="C29:K29" ca="1" si="5">IF($B$13-C28&lt;0,0,$B13-C28)</f>
        <v>#VALUE!</v>
      </c>
      <c r="D29" s="45" t="e">
        <f t="shared" ca="1" si="5"/>
        <v>#VALUE!</v>
      </c>
      <c r="E29" s="45" t="e">
        <f t="shared" ca="1" si="5"/>
        <v>#VALUE!</v>
      </c>
      <c r="F29" s="45" t="e">
        <f t="shared" ca="1" si="5"/>
        <v>#VALUE!</v>
      </c>
      <c r="G29" s="45" t="e">
        <f t="shared" ca="1" si="5"/>
        <v>#VALUE!</v>
      </c>
      <c r="H29" s="45" t="e">
        <f t="shared" ca="1" si="5"/>
        <v>#VALUE!</v>
      </c>
      <c r="I29" s="45" t="e">
        <f t="shared" ca="1" si="5"/>
        <v>#VALUE!</v>
      </c>
      <c r="J29" s="45" t="e">
        <f t="shared" ca="1" si="5"/>
        <v>#VALUE!</v>
      </c>
      <c r="K29" s="45" t="e">
        <f t="shared" ca="1" si="5"/>
        <v>#VALUE!</v>
      </c>
      <c r="L29" s="45"/>
    </row>
    <row r="30" spans="1:12">
      <c r="K30" s="25"/>
      <c r="L30" s="46"/>
    </row>
    <row r="31" spans="1:12">
      <c r="H31" s="18"/>
      <c r="I31" s="18"/>
    </row>
    <row r="34" spans="1:3" ht="14.65" thickBot="1"/>
    <row r="35" spans="1:3">
      <c r="A35" s="1" t="s">
        <v>211</v>
      </c>
      <c r="B35" s="2" t="e">
        <f>-B25</f>
        <v>#REF!</v>
      </c>
      <c r="C35" s="581"/>
    </row>
    <row r="36" spans="1:3">
      <c r="A36" s="3" t="s">
        <v>142</v>
      </c>
      <c r="B36" s="4">
        <v>5.2499999999999998E-2</v>
      </c>
      <c r="C36" s="5">
        <v>12</v>
      </c>
    </row>
    <row r="37" spans="1:3">
      <c r="A37" s="3" t="s">
        <v>132</v>
      </c>
      <c r="B37" s="6">
        <v>30</v>
      </c>
      <c r="C37" s="7"/>
    </row>
    <row r="38" spans="1:3">
      <c r="A38" s="3" t="s">
        <v>163</v>
      </c>
      <c r="B38" s="8" t="e">
        <f>PMT(B36/C36,B37*C36,B35,0)</f>
        <v>#REF!</v>
      </c>
      <c r="C38" s="7"/>
    </row>
    <row r="39" spans="1:3" ht="14.65" thickBot="1">
      <c r="A39" s="582" t="s">
        <v>215</v>
      </c>
      <c r="B39" s="9" t="e">
        <f>B38*C36</f>
        <v>#REF!</v>
      </c>
      <c r="C39" s="10"/>
    </row>
  </sheetData>
  <mergeCells count="1">
    <mergeCell ref="A2:C2"/>
  </mergeCells>
  <conditionalFormatting sqref="B16">
    <cfRule type="expression" dxfId="4" priority="4">
      <formula>$B$16&gt;$C$16</formula>
    </cfRule>
  </conditionalFormatting>
  <conditionalFormatting sqref="B17">
    <cfRule type="expression" dxfId="3" priority="3">
      <formula>$B$17&gt;$C$17</formula>
    </cfRule>
  </conditionalFormatting>
  <conditionalFormatting sqref="B18">
    <cfRule type="expression" dxfId="2" priority="2">
      <formula>$B$18&gt;$C$18</formula>
    </cfRule>
  </conditionalFormatting>
  <conditionalFormatting sqref="K29">
    <cfRule type="expression" dxfId="1" priority="1">
      <formula>$K$29&gt;0</formula>
    </cfRule>
  </conditionalFormatting>
  <pageMargins left="0.7" right="0.7" top="0.75" bottom="0.75" header="0.3" footer="0.3"/>
  <pageSetup scale="69" orientation="landscape" r:id="rId1"/>
  <headerFooter>
    <oddHeader>&amp;L&amp;"Arial,Bold"&amp;12&amp;A&amp;R&amp;"Arial,Regular"&amp;D</oddHeader>
    <oddFooter>&amp;L&amp;"Arial,Regular"&amp;9&amp;F&amp;R&amp;"Arial,Italic"&amp;10&amp;P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13"/>
  <sheetViews>
    <sheetView topLeftCell="C1" zoomScaleNormal="100" zoomScaleSheetLayoutView="100" workbookViewId="0">
      <selection activeCell="F66" sqref="F66"/>
    </sheetView>
  </sheetViews>
  <sheetFormatPr defaultColWidth="25.1328125" defaultRowHeight="13.5"/>
  <cols>
    <col min="1" max="1" width="32.265625" style="49" bestFit="1" customWidth="1"/>
    <col min="2" max="2" width="18.265625" style="49" customWidth="1"/>
    <col min="3" max="5" width="20.73046875" style="49" customWidth="1"/>
    <col min="6" max="6" width="26.3984375" style="49" customWidth="1"/>
    <col min="7" max="10" width="20.73046875" style="49" customWidth="1"/>
    <col min="11" max="11" width="23" style="49" bestFit="1" customWidth="1"/>
    <col min="12" max="13" width="15.73046875" style="49" customWidth="1"/>
    <col min="14" max="14" width="19.86328125" style="49" customWidth="1"/>
    <col min="15" max="16" width="25.1328125" style="49"/>
    <col min="17" max="19" width="20.73046875" style="49" customWidth="1"/>
    <col min="20" max="16384" width="25.1328125" style="49"/>
  </cols>
  <sheetData>
    <row r="1" spans="1:19" s="58" customFormat="1" ht="14.25">
      <c r="A1" s="202" t="str">
        <f>'Project Overview'!A1</f>
        <v>Project Name</v>
      </c>
      <c r="B1" s="203">
        <f>'Project Overview'!B1</f>
        <v>0</v>
      </c>
      <c r="C1" s="204"/>
      <c r="D1" s="204"/>
      <c r="E1" s="204"/>
      <c r="F1" s="204"/>
      <c r="G1" s="204"/>
      <c r="H1" s="204"/>
      <c r="I1" s="204"/>
      <c r="J1" s="204"/>
      <c r="K1" s="204"/>
      <c r="L1" s="204"/>
      <c r="M1" s="204"/>
      <c r="N1" s="204"/>
      <c r="O1" s="204"/>
      <c r="P1" s="204"/>
    </row>
    <row r="2" spans="1:19" s="58" customFormat="1" ht="14.25">
      <c r="A2" s="202" t="str">
        <f>'Project Overview'!A2</f>
        <v>Developer</v>
      </c>
      <c r="B2" s="205">
        <f>'Project Overview'!B2</f>
        <v>0</v>
      </c>
      <c r="C2" s="204"/>
      <c r="D2" s="204"/>
      <c r="E2" s="204"/>
      <c r="F2" s="204"/>
      <c r="G2" s="204"/>
      <c r="H2" s="204"/>
      <c r="I2" s="204"/>
      <c r="J2" s="204"/>
      <c r="K2" s="204"/>
      <c r="L2" s="204"/>
      <c r="M2" s="204"/>
      <c r="N2" s="204"/>
      <c r="O2" s="204"/>
      <c r="P2" s="204"/>
    </row>
    <row r="3" spans="1:19" s="58" customFormat="1" ht="15.75">
      <c r="A3" s="202" t="str">
        <f>'Project Overview'!A3</f>
        <v>Address</v>
      </c>
      <c r="B3" s="203">
        <f>'Project Overview'!B3</f>
        <v>0</v>
      </c>
      <c r="C3" s="206"/>
      <c r="D3" s="206" t="str">
        <f>'Project Overview'!$D$3</f>
        <v>Units:</v>
      </c>
      <c r="E3" s="207">
        <f>'Project Overview'!$E$3</f>
        <v>0</v>
      </c>
      <c r="F3" s="208"/>
      <c r="G3" s="208"/>
      <c r="H3" s="208"/>
      <c r="I3" s="208"/>
      <c r="J3" s="209"/>
      <c r="K3" s="209"/>
      <c r="L3" s="204"/>
      <c r="M3" s="204"/>
      <c r="N3" s="204"/>
      <c r="O3" s="204"/>
      <c r="P3" s="204"/>
    </row>
    <row r="4" spans="1:19" s="58" customFormat="1" ht="14.25">
      <c r="A4" s="202" t="str">
        <f>'Project Overview'!A4</f>
        <v>BBL</v>
      </c>
      <c r="B4" s="203">
        <f>'Project Overview'!B4</f>
        <v>0</v>
      </c>
      <c r="C4" s="204"/>
      <c r="D4" s="210"/>
      <c r="E4" s="204"/>
      <c r="F4" s="208"/>
      <c r="G4" s="208"/>
      <c r="H4" s="208"/>
      <c r="I4" s="211"/>
      <c r="J4" s="211"/>
      <c r="K4" s="211"/>
      <c r="L4" s="204"/>
      <c r="M4" s="204"/>
      <c r="N4" s="204"/>
      <c r="O4" s="204"/>
      <c r="P4" s="204"/>
    </row>
    <row r="5" spans="1:19" s="58" customFormat="1" ht="14.65" thickBot="1">
      <c r="A5" s="212"/>
      <c r="B5" s="204"/>
      <c r="C5" s="204"/>
      <c r="D5" s="210"/>
      <c r="E5" s="204"/>
      <c r="F5" s="208"/>
      <c r="G5" s="208"/>
      <c r="H5" s="208"/>
      <c r="I5" s="211"/>
      <c r="J5" s="211"/>
      <c r="K5" s="211"/>
      <c r="L5" s="204"/>
      <c r="M5" s="204"/>
      <c r="N5" s="204"/>
      <c r="O5" s="204"/>
      <c r="P5" s="204"/>
    </row>
    <row r="6" spans="1:19" s="58" customFormat="1" ht="14.25">
      <c r="A6" s="213" t="s">
        <v>216</v>
      </c>
      <c r="B6" s="214" t="s">
        <v>217</v>
      </c>
      <c r="C6" s="214" t="s">
        <v>218</v>
      </c>
      <c r="D6" s="215" t="s">
        <v>219</v>
      </c>
      <c r="E6" s="204"/>
      <c r="F6" s="684" t="s">
        <v>220</v>
      </c>
      <c r="G6" s="684"/>
      <c r="H6" s="454"/>
      <c r="I6" s="204"/>
      <c r="J6" s="216" t="s">
        <v>149</v>
      </c>
      <c r="K6" s="217" t="s">
        <v>148</v>
      </c>
      <c r="L6" s="583"/>
      <c r="M6" s="204"/>
      <c r="N6" s="683"/>
      <c r="O6" s="683"/>
      <c r="P6" s="204"/>
      <c r="Q6" s="74"/>
      <c r="R6" s="74"/>
      <c r="S6" s="74"/>
    </row>
    <row r="7" spans="1:19" s="58" customFormat="1" ht="14.25">
      <c r="A7" s="218" t="s">
        <v>221</v>
      </c>
      <c r="B7" s="219">
        <f>'Project Overview'!D12</f>
        <v>0</v>
      </c>
      <c r="C7" s="220">
        <v>0</v>
      </c>
      <c r="D7" s="221">
        <f>B7*C7*12</f>
        <v>0</v>
      </c>
      <c r="E7" s="204"/>
      <c r="F7" s="204" t="s">
        <v>177</v>
      </c>
      <c r="G7" s="222">
        <v>7.4999999999999997E-2</v>
      </c>
      <c r="H7" s="223"/>
      <c r="I7" s="204"/>
      <c r="J7" s="224" t="s">
        <v>25</v>
      </c>
      <c r="K7" s="225">
        <v>0.6</v>
      </c>
      <c r="L7" s="226">
        <f>K7*$B$17</f>
        <v>97200</v>
      </c>
      <c r="M7" s="204"/>
      <c r="N7" s="204"/>
      <c r="O7" s="223"/>
      <c r="P7" s="204"/>
      <c r="Q7" s="71"/>
      <c r="R7" s="71"/>
      <c r="S7" s="191"/>
    </row>
    <row r="8" spans="1:19" s="58" customFormat="1" ht="14.25">
      <c r="A8" s="218"/>
      <c r="B8" s="219"/>
      <c r="C8" s="227"/>
      <c r="D8" s="221"/>
      <c r="E8" s="204"/>
      <c r="F8" s="204" t="s">
        <v>178</v>
      </c>
      <c r="G8" s="219">
        <v>30</v>
      </c>
      <c r="H8" s="219"/>
      <c r="I8" s="204"/>
      <c r="J8" s="224" t="s">
        <v>26</v>
      </c>
      <c r="K8" s="225">
        <v>0.75</v>
      </c>
      <c r="L8" s="226">
        <f t="shared" ref="L8:L11" si="0">K8*$B$17</f>
        <v>121500</v>
      </c>
      <c r="M8" s="204"/>
      <c r="N8" s="204"/>
      <c r="O8" s="219"/>
      <c r="P8" s="204"/>
      <c r="Q8" s="71"/>
      <c r="R8" s="71"/>
      <c r="S8" s="191"/>
    </row>
    <row r="9" spans="1:19" ht="14.25">
      <c r="A9" s="228"/>
      <c r="B9" s="229" t="s">
        <v>222</v>
      </c>
      <c r="C9" s="229" t="s">
        <v>223</v>
      </c>
      <c r="D9" s="230" t="s">
        <v>219</v>
      </c>
      <c r="E9" s="201"/>
      <c r="F9" s="201" t="s">
        <v>179</v>
      </c>
      <c r="G9" s="223">
        <v>0.05</v>
      </c>
      <c r="H9" s="223"/>
      <c r="I9" s="201"/>
      <c r="J9" s="224" t="s">
        <v>27</v>
      </c>
      <c r="K9" s="225">
        <v>0.9</v>
      </c>
      <c r="L9" s="231">
        <f t="shared" si="0"/>
        <v>145800</v>
      </c>
      <c r="M9" s="201"/>
      <c r="N9" s="201"/>
      <c r="O9" s="223"/>
      <c r="P9" s="201"/>
      <c r="Q9" s="71"/>
      <c r="R9" s="71"/>
      <c r="S9" s="115"/>
    </row>
    <row r="10" spans="1:19" ht="14.25">
      <c r="A10" s="232" t="s">
        <v>64</v>
      </c>
      <c r="B10" s="233">
        <f>'Project Overview'!B10</f>
        <v>0</v>
      </c>
      <c r="C10" s="220">
        <v>0</v>
      </c>
      <c r="D10" s="234">
        <f>B10*C10</f>
        <v>0</v>
      </c>
      <c r="E10" s="201"/>
      <c r="F10" s="201"/>
      <c r="G10" s="201"/>
      <c r="H10" s="201"/>
      <c r="I10" s="201"/>
      <c r="J10" s="224" t="s">
        <v>28</v>
      </c>
      <c r="K10" s="225">
        <v>1.04</v>
      </c>
      <c r="L10" s="231">
        <f t="shared" si="0"/>
        <v>168480</v>
      </c>
      <c r="M10" s="201"/>
      <c r="N10" s="201"/>
      <c r="O10" s="201"/>
      <c r="P10" s="201"/>
      <c r="Q10" s="71"/>
      <c r="R10" s="71"/>
      <c r="S10" s="115"/>
    </row>
    <row r="11" spans="1:19" ht="14.65" thickBot="1">
      <c r="A11" s="232" t="s">
        <v>224</v>
      </c>
      <c r="B11" s="233">
        <f>'Project Overview'!B11</f>
        <v>0</v>
      </c>
      <c r="C11" s="220">
        <v>0</v>
      </c>
      <c r="D11" s="234">
        <f>B11*C11</f>
        <v>0</v>
      </c>
      <c r="E11" s="201"/>
      <c r="F11" s="235"/>
      <c r="G11" s="201"/>
      <c r="H11" s="201"/>
      <c r="I11" s="201"/>
      <c r="J11" s="253" t="s">
        <v>29</v>
      </c>
      <c r="K11" s="236">
        <v>1.1599999999999999</v>
      </c>
      <c r="L11" s="237">
        <f t="shared" si="0"/>
        <v>187920</v>
      </c>
      <c r="M11" s="201"/>
      <c r="N11" s="235"/>
      <c r="O11" s="201"/>
      <c r="P11" s="201"/>
      <c r="Q11" s="71"/>
      <c r="R11" s="71"/>
      <c r="S11" s="115"/>
    </row>
    <row r="12" spans="1:19" ht="14.65" thickBot="1">
      <c r="A12" s="238"/>
      <c r="B12" s="584"/>
      <c r="C12" s="584"/>
      <c r="D12" s="585"/>
      <c r="E12" s="201"/>
      <c r="F12" s="201"/>
      <c r="G12" s="225"/>
      <c r="H12" s="225"/>
      <c r="I12" s="225"/>
      <c r="J12" s="225"/>
      <c r="K12" s="239"/>
      <c r="L12" s="201"/>
      <c r="M12" s="201"/>
      <c r="N12" s="204"/>
      <c r="O12" s="223"/>
      <c r="P12" s="201"/>
    </row>
    <row r="13" spans="1:19" ht="43.15">
      <c r="A13" s="204"/>
      <c r="B13" s="235"/>
      <c r="C13" s="235"/>
      <c r="D13" s="240"/>
      <c r="E13" s="201"/>
      <c r="F13" s="201"/>
      <c r="G13" s="225"/>
      <c r="H13" s="241"/>
      <c r="I13" s="242"/>
      <c r="J13" s="243" t="s">
        <v>225</v>
      </c>
      <c r="K13" s="243" t="s">
        <v>226</v>
      </c>
      <c r="L13" s="243" t="s">
        <v>227</v>
      </c>
      <c r="M13" s="243" t="s">
        <v>228</v>
      </c>
      <c r="N13" s="244" t="s">
        <v>229</v>
      </c>
      <c r="O13" s="219"/>
      <c r="P13" s="201"/>
    </row>
    <row r="14" spans="1:19" ht="14.25" customHeight="1">
      <c r="A14" s="201"/>
      <c r="B14" s="225"/>
      <c r="C14" s="245"/>
      <c r="D14" s="246"/>
      <c r="E14" s="201"/>
      <c r="F14" s="201"/>
      <c r="G14" s="247"/>
      <c r="H14" s="248"/>
      <c r="I14" s="249" t="str">
        <f>J7</f>
        <v>0BR</v>
      </c>
      <c r="J14" s="586">
        <v>96</v>
      </c>
      <c r="K14" s="586">
        <v>111</v>
      </c>
      <c r="L14" s="586">
        <v>26</v>
      </c>
      <c r="M14" s="587">
        <f>J14+L14</f>
        <v>122</v>
      </c>
      <c r="N14" s="588">
        <f>K14+L14</f>
        <v>137</v>
      </c>
      <c r="O14" s="223"/>
      <c r="P14" s="201"/>
    </row>
    <row r="15" spans="1:19" s="58" customFormat="1" ht="15.75">
      <c r="A15" s="201"/>
      <c r="B15" s="201"/>
      <c r="C15" s="235"/>
      <c r="D15" s="240"/>
      <c r="E15" s="204"/>
      <c r="F15" s="212" t="s">
        <v>230</v>
      </c>
      <c r="G15" s="451" t="s">
        <v>225</v>
      </c>
      <c r="H15" s="248"/>
      <c r="I15" s="249" t="str">
        <f>J8</f>
        <v>1BR</v>
      </c>
      <c r="J15" s="586">
        <v>109</v>
      </c>
      <c r="K15" s="586">
        <v>127</v>
      </c>
      <c r="L15" s="586">
        <v>29</v>
      </c>
      <c r="M15" s="587">
        <f t="shared" ref="M15:M18" si="1">J15+L15</f>
        <v>138</v>
      </c>
      <c r="N15" s="588">
        <f t="shared" ref="N15:N18" si="2">K15+L15</f>
        <v>156</v>
      </c>
      <c r="O15" s="204"/>
      <c r="P15" s="204"/>
    </row>
    <row r="16" spans="1:19" s="58" customFormat="1" ht="15.75">
      <c r="A16" s="204"/>
      <c r="B16" s="204"/>
      <c r="C16" s="204"/>
      <c r="D16" s="204"/>
      <c r="E16" s="204"/>
      <c r="F16" s="204"/>
      <c r="G16" s="204"/>
      <c r="H16" s="248"/>
      <c r="I16" s="249" t="str">
        <f>J9</f>
        <v>2BR</v>
      </c>
      <c r="J16" s="586">
        <v>144</v>
      </c>
      <c r="K16" s="586">
        <v>170</v>
      </c>
      <c r="L16" s="586">
        <v>33</v>
      </c>
      <c r="M16" s="587">
        <f t="shared" si="1"/>
        <v>177</v>
      </c>
      <c r="N16" s="588">
        <f t="shared" si="2"/>
        <v>203</v>
      </c>
      <c r="O16" s="204"/>
      <c r="P16" s="204"/>
    </row>
    <row r="17" spans="1:16" s="58" customFormat="1" ht="15" customHeight="1">
      <c r="A17" s="589" t="s">
        <v>416</v>
      </c>
      <c r="B17" s="590">
        <v>162000</v>
      </c>
      <c r="C17" s="204"/>
      <c r="D17" s="204"/>
      <c r="E17" s="204"/>
      <c r="F17" s="204"/>
      <c r="G17" s="204"/>
      <c r="H17" s="248"/>
      <c r="I17" s="249" t="str">
        <f>J10</f>
        <v>3BR</v>
      </c>
      <c r="J17" s="586">
        <v>178</v>
      </c>
      <c r="K17" s="586">
        <v>212</v>
      </c>
      <c r="L17" s="586">
        <v>37</v>
      </c>
      <c r="M17" s="587">
        <f t="shared" si="1"/>
        <v>215</v>
      </c>
      <c r="N17" s="588">
        <f t="shared" si="2"/>
        <v>249</v>
      </c>
      <c r="O17" s="204"/>
      <c r="P17" s="204"/>
    </row>
    <row r="18" spans="1:16" s="58" customFormat="1" ht="14.25" customHeight="1" thickBot="1">
      <c r="A18" s="589" t="s">
        <v>231</v>
      </c>
      <c r="B18" s="591">
        <v>0.33</v>
      </c>
      <c r="C18" s="204"/>
      <c r="D18" s="204"/>
      <c r="E18" s="204"/>
      <c r="F18" s="250"/>
      <c r="G18" s="251"/>
      <c r="H18" s="252"/>
      <c r="I18" s="253" t="s">
        <v>29</v>
      </c>
      <c r="J18" s="254">
        <v>213</v>
      </c>
      <c r="K18" s="254">
        <v>255</v>
      </c>
      <c r="L18" s="254">
        <v>41</v>
      </c>
      <c r="M18" s="255">
        <f t="shared" si="1"/>
        <v>254</v>
      </c>
      <c r="N18" s="256">
        <f t="shared" si="2"/>
        <v>296</v>
      </c>
      <c r="O18" s="204"/>
      <c r="P18" s="204"/>
    </row>
    <row r="19" spans="1:16" s="58" customFormat="1" ht="14.25">
      <c r="A19" s="204"/>
      <c r="B19" s="204"/>
      <c r="C19" s="204"/>
      <c r="D19" s="204"/>
      <c r="E19" s="204"/>
      <c r="F19" s="204"/>
      <c r="G19" s="257"/>
      <c r="H19" s="204"/>
      <c r="I19" s="204"/>
      <c r="J19" s="204"/>
      <c r="K19" s="204"/>
      <c r="L19" s="204"/>
      <c r="M19" s="204"/>
      <c r="N19" s="204"/>
      <c r="O19" s="204"/>
      <c r="P19" s="204"/>
    </row>
    <row r="20" spans="1:16" s="58" customFormat="1" ht="14.65" thickBot="1">
      <c r="A20" s="204"/>
      <c r="B20" s="204"/>
      <c r="C20" s="204"/>
      <c r="D20" s="204"/>
      <c r="E20" s="204"/>
      <c r="F20" s="204"/>
      <c r="G20" s="258"/>
      <c r="H20" s="204"/>
      <c r="I20" s="204"/>
      <c r="J20" s="204"/>
      <c r="K20" s="204"/>
      <c r="L20" s="204"/>
      <c r="M20" s="204"/>
      <c r="N20" s="204"/>
      <c r="O20" s="204"/>
      <c r="P20" s="204"/>
    </row>
    <row r="21" spans="1:16" s="58" customFormat="1" ht="28.5">
      <c r="A21" s="259" t="s">
        <v>232</v>
      </c>
      <c r="B21" s="260" t="s">
        <v>233</v>
      </c>
      <c r="C21" s="260" t="s">
        <v>234</v>
      </c>
      <c r="D21" s="261" t="s">
        <v>235</v>
      </c>
      <c r="E21" s="260" t="s">
        <v>236</v>
      </c>
      <c r="F21" s="260" t="s">
        <v>237</v>
      </c>
      <c r="G21" s="261" t="s">
        <v>238</v>
      </c>
      <c r="H21" s="261" t="s">
        <v>239</v>
      </c>
      <c r="I21" s="261" t="s">
        <v>240</v>
      </c>
      <c r="J21" s="261" t="s">
        <v>241</v>
      </c>
      <c r="K21" s="261" t="s">
        <v>242</v>
      </c>
      <c r="L21" s="262" t="s">
        <v>57</v>
      </c>
      <c r="M21" s="262" t="s">
        <v>243</v>
      </c>
      <c r="N21" s="263" t="s">
        <v>244</v>
      </c>
      <c r="O21" s="263" t="s">
        <v>245</v>
      </c>
      <c r="P21" s="264" t="s">
        <v>246</v>
      </c>
    </row>
    <row r="22" spans="1:16" s="58" customFormat="1" ht="14.25">
      <c r="A22" s="224">
        <v>1</v>
      </c>
      <c r="B22" s="592"/>
      <c r="C22" s="593"/>
      <c r="D22" s="227">
        <f>C22*(100%-$G$9)</f>
        <v>0</v>
      </c>
      <c r="E22" s="594"/>
      <c r="F22" s="227" t="e">
        <f ca="1">(E22/$E$79)*'CAM Charges &amp; Cashflow'!CAM</f>
        <v>#DIV/0!</v>
      </c>
      <c r="G22" s="227" t="e">
        <f>(INDEX($I$13:$N$18,MATCH(B22,$I$13:$I$18,0),MATCH($G$15,$I$13:$N$13,0)))*12</f>
        <v>#N/A</v>
      </c>
      <c r="H22" s="227">
        <f>-PMT($G$7,$G$8,D22)</f>
        <v>0</v>
      </c>
      <c r="I22" s="265" t="e">
        <f ca="1">F22+G22+H22</f>
        <v>#DIV/0!</v>
      </c>
      <c r="J22" s="227" t="e">
        <f ca="1">I22/$B$18</f>
        <v>#DIV/0!</v>
      </c>
      <c r="K22" s="239" t="e">
        <f ca="1">J22/VLOOKUP(B22,$J$7:$L$11,3)</f>
        <v>#DIV/0!</v>
      </c>
      <c r="L22" s="219" t="e">
        <f>C22/E22</f>
        <v>#DIV/0!</v>
      </c>
      <c r="M22" s="266"/>
      <c r="N22" s="239" t="e">
        <f>L22/M22</f>
        <v>#DIV/0!</v>
      </c>
      <c r="O22" s="595"/>
      <c r="P22" s="267" t="e">
        <f>C22/O22</f>
        <v>#DIV/0!</v>
      </c>
    </row>
    <row r="23" spans="1:16" s="58" customFormat="1" ht="14.25">
      <c r="A23" s="224">
        <v>2</v>
      </c>
      <c r="B23" s="592"/>
      <c r="C23" s="593"/>
      <c r="D23" s="227">
        <f t="shared" ref="D23:D78" si="3">C23*(100%-$G$9)</f>
        <v>0</v>
      </c>
      <c r="E23" s="594"/>
      <c r="F23" s="227" t="e">
        <f ca="1">(E23/$E$79)*'CAM Charges &amp; Cashflow'!CAM</f>
        <v>#DIV/0!</v>
      </c>
      <c r="G23" s="227" t="e">
        <f t="shared" ref="G23:G78" si="4">(INDEX($I$13:$N$18,MATCH(B23,$I$13:$I$18,0),MATCH($G$15,$I$13:$N$13,0)))*12</f>
        <v>#N/A</v>
      </c>
      <c r="H23" s="227">
        <f t="shared" ref="H23:H78" si="5">-PMT($G$7,$G$8,D23)</f>
        <v>0</v>
      </c>
      <c r="I23" s="265" t="e">
        <f t="shared" ref="I23:I78" ca="1" si="6">F23+G23+H23</f>
        <v>#DIV/0!</v>
      </c>
      <c r="J23" s="227" t="e">
        <f t="shared" ref="J23:J78" ca="1" si="7">I23/$B$18</f>
        <v>#DIV/0!</v>
      </c>
      <c r="K23" s="239" t="e">
        <f t="shared" ref="K23:K78" ca="1" si="8">J23/VLOOKUP(B23,$J$7:$L$11,3)</f>
        <v>#DIV/0!</v>
      </c>
      <c r="L23" s="219" t="e">
        <f t="shared" ref="L23:L78" si="9">C23/E23</f>
        <v>#DIV/0!</v>
      </c>
      <c r="M23" s="227">
        <f>$M$22</f>
        <v>0</v>
      </c>
      <c r="N23" s="239" t="e">
        <f t="shared" ref="N23:N78" si="10">L23/M23</f>
        <v>#DIV/0!</v>
      </c>
      <c r="O23" s="595"/>
      <c r="P23" s="267" t="e">
        <f t="shared" ref="P23:P78" si="11">C23/O23</f>
        <v>#DIV/0!</v>
      </c>
    </row>
    <row r="24" spans="1:16" s="58" customFormat="1" ht="14.25">
      <c r="A24" s="224">
        <v>3</v>
      </c>
      <c r="B24" s="592"/>
      <c r="C24" s="593"/>
      <c r="D24" s="227">
        <f t="shared" si="3"/>
        <v>0</v>
      </c>
      <c r="E24" s="594"/>
      <c r="F24" s="227" t="e">
        <f ca="1">(E24/$E$79)*'CAM Charges &amp; Cashflow'!CAM</f>
        <v>#DIV/0!</v>
      </c>
      <c r="G24" s="227" t="e">
        <f t="shared" si="4"/>
        <v>#N/A</v>
      </c>
      <c r="H24" s="227">
        <f t="shared" si="5"/>
        <v>0</v>
      </c>
      <c r="I24" s="265" t="e">
        <f t="shared" ca="1" si="6"/>
        <v>#DIV/0!</v>
      </c>
      <c r="J24" s="227" t="e">
        <f t="shared" ca="1" si="7"/>
        <v>#DIV/0!</v>
      </c>
      <c r="K24" s="239" t="e">
        <f t="shared" ca="1" si="8"/>
        <v>#DIV/0!</v>
      </c>
      <c r="L24" s="219" t="e">
        <f t="shared" si="9"/>
        <v>#DIV/0!</v>
      </c>
      <c r="M24" s="227">
        <f t="shared" ref="M24:M78" si="12">$M$22</f>
        <v>0</v>
      </c>
      <c r="N24" s="239" t="e">
        <f t="shared" si="10"/>
        <v>#DIV/0!</v>
      </c>
      <c r="O24" s="595"/>
      <c r="P24" s="267" t="e">
        <f t="shared" si="11"/>
        <v>#DIV/0!</v>
      </c>
    </row>
    <row r="25" spans="1:16" s="58" customFormat="1" ht="14.25">
      <c r="A25" s="224">
        <v>4</v>
      </c>
      <c r="B25" s="592"/>
      <c r="C25" s="593"/>
      <c r="D25" s="227">
        <f t="shared" si="3"/>
        <v>0</v>
      </c>
      <c r="E25" s="594"/>
      <c r="F25" s="227" t="e">
        <f ca="1">(E25/$E$79)*'CAM Charges &amp; Cashflow'!CAM</f>
        <v>#DIV/0!</v>
      </c>
      <c r="G25" s="227" t="e">
        <f t="shared" si="4"/>
        <v>#N/A</v>
      </c>
      <c r="H25" s="227">
        <f t="shared" si="5"/>
        <v>0</v>
      </c>
      <c r="I25" s="265" t="e">
        <f t="shared" ca="1" si="6"/>
        <v>#DIV/0!</v>
      </c>
      <c r="J25" s="227" t="e">
        <f t="shared" ca="1" si="7"/>
        <v>#DIV/0!</v>
      </c>
      <c r="K25" s="239" t="e">
        <f t="shared" ca="1" si="8"/>
        <v>#DIV/0!</v>
      </c>
      <c r="L25" s="219" t="e">
        <f t="shared" si="9"/>
        <v>#DIV/0!</v>
      </c>
      <c r="M25" s="227">
        <f t="shared" si="12"/>
        <v>0</v>
      </c>
      <c r="N25" s="239" t="e">
        <f t="shared" si="10"/>
        <v>#DIV/0!</v>
      </c>
      <c r="O25" s="595"/>
      <c r="P25" s="267" t="e">
        <f t="shared" si="11"/>
        <v>#DIV/0!</v>
      </c>
    </row>
    <row r="26" spans="1:16" s="58" customFormat="1" ht="14.25">
      <c r="A26" s="224">
        <v>5</v>
      </c>
      <c r="B26" s="592"/>
      <c r="C26" s="593"/>
      <c r="D26" s="227">
        <f t="shared" si="3"/>
        <v>0</v>
      </c>
      <c r="E26" s="594"/>
      <c r="F26" s="227" t="e">
        <f ca="1">(E26/$E$79)*'CAM Charges &amp; Cashflow'!CAM</f>
        <v>#DIV/0!</v>
      </c>
      <c r="G26" s="227" t="e">
        <f t="shared" si="4"/>
        <v>#N/A</v>
      </c>
      <c r="H26" s="227">
        <f t="shared" si="5"/>
        <v>0</v>
      </c>
      <c r="I26" s="265" t="e">
        <f t="shared" ca="1" si="6"/>
        <v>#DIV/0!</v>
      </c>
      <c r="J26" s="227" t="e">
        <f t="shared" ca="1" si="7"/>
        <v>#DIV/0!</v>
      </c>
      <c r="K26" s="239" t="e">
        <f t="shared" ca="1" si="8"/>
        <v>#DIV/0!</v>
      </c>
      <c r="L26" s="219" t="e">
        <f t="shared" si="9"/>
        <v>#DIV/0!</v>
      </c>
      <c r="M26" s="227">
        <f t="shared" si="12"/>
        <v>0</v>
      </c>
      <c r="N26" s="239" t="e">
        <f t="shared" si="10"/>
        <v>#DIV/0!</v>
      </c>
      <c r="O26" s="595"/>
      <c r="P26" s="267" t="e">
        <f t="shared" si="11"/>
        <v>#DIV/0!</v>
      </c>
    </row>
    <row r="27" spans="1:16" s="58" customFormat="1" ht="14.25">
      <c r="A27" s="224">
        <v>6</v>
      </c>
      <c r="B27" s="592"/>
      <c r="C27" s="593"/>
      <c r="D27" s="227">
        <f t="shared" si="3"/>
        <v>0</v>
      </c>
      <c r="E27" s="594"/>
      <c r="F27" s="227" t="e">
        <f ca="1">(E27/$E$79)*'CAM Charges &amp; Cashflow'!CAM</f>
        <v>#DIV/0!</v>
      </c>
      <c r="G27" s="227" t="e">
        <f t="shared" si="4"/>
        <v>#N/A</v>
      </c>
      <c r="H27" s="227">
        <f t="shared" si="5"/>
        <v>0</v>
      </c>
      <c r="I27" s="265" t="e">
        <f t="shared" ca="1" si="6"/>
        <v>#DIV/0!</v>
      </c>
      <c r="J27" s="227" t="e">
        <f t="shared" ca="1" si="7"/>
        <v>#DIV/0!</v>
      </c>
      <c r="K27" s="239" t="e">
        <f t="shared" ca="1" si="8"/>
        <v>#DIV/0!</v>
      </c>
      <c r="L27" s="219" t="e">
        <f t="shared" si="9"/>
        <v>#DIV/0!</v>
      </c>
      <c r="M27" s="227">
        <f t="shared" si="12"/>
        <v>0</v>
      </c>
      <c r="N27" s="239" t="e">
        <f t="shared" si="10"/>
        <v>#DIV/0!</v>
      </c>
      <c r="O27" s="595"/>
      <c r="P27" s="267" t="e">
        <f t="shared" si="11"/>
        <v>#DIV/0!</v>
      </c>
    </row>
    <row r="28" spans="1:16" s="58" customFormat="1" ht="14.25">
      <c r="A28" s="224">
        <v>7</v>
      </c>
      <c r="B28" s="592"/>
      <c r="C28" s="593"/>
      <c r="D28" s="227">
        <f t="shared" si="3"/>
        <v>0</v>
      </c>
      <c r="E28" s="594"/>
      <c r="F28" s="227" t="e">
        <f ca="1">(E28/$E$79)*'CAM Charges &amp; Cashflow'!CAM</f>
        <v>#DIV/0!</v>
      </c>
      <c r="G28" s="227" t="e">
        <f t="shared" si="4"/>
        <v>#N/A</v>
      </c>
      <c r="H28" s="227">
        <f t="shared" si="5"/>
        <v>0</v>
      </c>
      <c r="I28" s="265" t="e">
        <f t="shared" ca="1" si="6"/>
        <v>#DIV/0!</v>
      </c>
      <c r="J28" s="227" t="e">
        <f t="shared" ca="1" si="7"/>
        <v>#DIV/0!</v>
      </c>
      <c r="K28" s="239" t="e">
        <f t="shared" ca="1" si="8"/>
        <v>#DIV/0!</v>
      </c>
      <c r="L28" s="219" t="e">
        <f t="shared" si="9"/>
        <v>#DIV/0!</v>
      </c>
      <c r="M28" s="227">
        <f t="shared" si="12"/>
        <v>0</v>
      </c>
      <c r="N28" s="239" t="e">
        <f t="shared" si="10"/>
        <v>#DIV/0!</v>
      </c>
      <c r="O28" s="595"/>
      <c r="P28" s="267" t="e">
        <f t="shared" si="11"/>
        <v>#DIV/0!</v>
      </c>
    </row>
    <row r="29" spans="1:16" s="58" customFormat="1" ht="14.25">
      <c r="A29" s="224">
        <v>8</v>
      </c>
      <c r="B29" s="592"/>
      <c r="C29" s="593"/>
      <c r="D29" s="227">
        <f t="shared" si="3"/>
        <v>0</v>
      </c>
      <c r="E29" s="594"/>
      <c r="F29" s="227" t="e">
        <f ca="1">(E29/$E$79)*'CAM Charges &amp; Cashflow'!CAM</f>
        <v>#DIV/0!</v>
      </c>
      <c r="G29" s="227" t="e">
        <f t="shared" si="4"/>
        <v>#N/A</v>
      </c>
      <c r="H29" s="227">
        <f t="shared" si="5"/>
        <v>0</v>
      </c>
      <c r="I29" s="265" t="e">
        <f t="shared" ca="1" si="6"/>
        <v>#DIV/0!</v>
      </c>
      <c r="J29" s="227" t="e">
        <f t="shared" ca="1" si="7"/>
        <v>#DIV/0!</v>
      </c>
      <c r="K29" s="239" t="e">
        <f t="shared" ca="1" si="8"/>
        <v>#DIV/0!</v>
      </c>
      <c r="L29" s="219" t="e">
        <f t="shared" si="9"/>
        <v>#DIV/0!</v>
      </c>
      <c r="M29" s="227">
        <f t="shared" si="12"/>
        <v>0</v>
      </c>
      <c r="N29" s="239" t="e">
        <f t="shared" si="10"/>
        <v>#DIV/0!</v>
      </c>
      <c r="O29" s="595"/>
      <c r="P29" s="267" t="e">
        <f t="shared" si="11"/>
        <v>#DIV/0!</v>
      </c>
    </row>
    <row r="30" spans="1:16" s="58" customFormat="1" ht="14.25">
      <c r="A30" s="224">
        <v>9</v>
      </c>
      <c r="B30" s="592"/>
      <c r="C30" s="593"/>
      <c r="D30" s="227">
        <f t="shared" si="3"/>
        <v>0</v>
      </c>
      <c r="E30" s="594"/>
      <c r="F30" s="227" t="e">
        <f ca="1">(E30/$E$79)*'CAM Charges &amp; Cashflow'!CAM</f>
        <v>#DIV/0!</v>
      </c>
      <c r="G30" s="227" t="e">
        <f t="shared" si="4"/>
        <v>#N/A</v>
      </c>
      <c r="H30" s="227">
        <f t="shared" si="5"/>
        <v>0</v>
      </c>
      <c r="I30" s="265" t="e">
        <f t="shared" ca="1" si="6"/>
        <v>#DIV/0!</v>
      </c>
      <c r="J30" s="227" t="e">
        <f t="shared" ca="1" si="7"/>
        <v>#DIV/0!</v>
      </c>
      <c r="K30" s="239" t="e">
        <f t="shared" ca="1" si="8"/>
        <v>#DIV/0!</v>
      </c>
      <c r="L30" s="219" t="e">
        <f t="shared" si="9"/>
        <v>#DIV/0!</v>
      </c>
      <c r="M30" s="227">
        <f t="shared" si="12"/>
        <v>0</v>
      </c>
      <c r="N30" s="239" t="e">
        <f t="shared" si="10"/>
        <v>#DIV/0!</v>
      </c>
      <c r="O30" s="595"/>
      <c r="P30" s="267" t="e">
        <f t="shared" si="11"/>
        <v>#DIV/0!</v>
      </c>
    </row>
    <row r="31" spans="1:16" s="58" customFormat="1" ht="14.25">
      <c r="A31" s="224">
        <v>10</v>
      </c>
      <c r="B31" s="592"/>
      <c r="C31" s="593"/>
      <c r="D31" s="227">
        <f t="shared" si="3"/>
        <v>0</v>
      </c>
      <c r="E31" s="594"/>
      <c r="F31" s="227" t="e">
        <f ca="1">(E31/$E$79)*'CAM Charges &amp; Cashflow'!CAM</f>
        <v>#DIV/0!</v>
      </c>
      <c r="G31" s="227" t="e">
        <f t="shared" si="4"/>
        <v>#N/A</v>
      </c>
      <c r="H31" s="227">
        <f t="shared" si="5"/>
        <v>0</v>
      </c>
      <c r="I31" s="265" t="e">
        <f t="shared" ca="1" si="6"/>
        <v>#DIV/0!</v>
      </c>
      <c r="J31" s="227" t="e">
        <f t="shared" ca="1" si="7"/>
        <v>#DIV/0!</v>
      </c>
      <c r="K31" s="239" t="e">
        <f t="shared" ca="1" si="8"/>
        <v>#DIV/0!</v>
      </c>
      <c r="L31" s="219" t="e">
        <f t="shared" si="9"/>
        <v>#DIV/0!</v>
      </c>
      <c r="M31" s="227">
        <f t="shared" si="12"/>
        <v>0</v>
      </c>
      <c r="N31" s="239" t="e">
        <f t="shared" si="10"/>
        <v>#DIV/0!</v>
      </c>
      <c r="O31" s="595"/>
      <c r="P31" s="267" t="e">
        <f t="shared" si="11"/>
        <v>#DIV/0!</v>
      </c>
    </row>
    <row r="32" spans="1:16" s="58" customFormat="1" ht="14.25">
      <c r="A32" s="224">
        <v>11</v>
      </c>
      <c r="B32" s="592"/>
      <c r="C32" s="593"/>
      <c r="D32" s="227">
        <f t="shared" si="3"/>
        <v>0</v>
      </c>
      <c r="E32" s="594"/>
      <c r="F32" s="227" t="e">
        <f ca="1">(E32/$E$79)*'CAM Charges &amp; Cashflow'!CAM</f>
        <v>#DIV/0!</v>
      </c>
      <c r="G32" s="227" t="e">
        <f t="shared" si="4"/>
        <v>#N/A</v>
      </c>
      <c r="H32" s="227">
        <f t="shared" si="5"/>
        <v>0</v>
      </c>
      <c r="I32" s="265" t="e">
        <f t="shared" ca="1" si="6"/>
        <v>#DIV/0!</v>
      </c>
      <c r="J32" s="227" t="e">
        <f t="shared" ca="1" si="7"/>
        <v>#DIV/0!</v>
      </c>
      <c r="K32" s="239" t="e">
        <f t="shared" ca="1" si="8"/>
        <v>#DIV/0!</v>
      </c>
      <c r="L32" s="219" t="e">
        <f t="shared" si="9"/>
        <v>#DIV/0!</v>
      </c>
      <c r="M32" s="227">
        <f t="shared" si="12"/>
        <v>0</v>
      </c>
      <c r="N32" s="239" t="e">
        <f t="shared" si="10"/>
        <v>#DIV/0!</v>
      </c>
      <c r="O32" s="595"/>
      <c r="P32" s="267" t="e">
        <f t="shared" si="11"/>
        <v>#DIV/0!</v>
      </c>
    </row>
    <row r="33" spans="1:16" s="58" customFormat="1" ht="14.25">
      <c r="A33" s="224">
        <v>12</v>
      </c>
      <c r="B33" s="592"/>
      <c r="C33" s="593"/>
      <c r="D33" s="227">
        <f t="shared" si="3"/>
        <v>0</v>
      </c>
      <c r="E33" s="594"/>
      <c r="F33" s="227" t="e">
        <f ca="1">(E33/$E$79)*'CAM Charges &amp; Cashflow'!CAM</f>
        <v>#DIV/0!</v>
      </c>
      <c r="G33" s="227" t="e">
        <f t="shared" si="4"/>
        <v>#N/A</v>
      </c>
      <c r="H33" s="227">
        <f t="shared" si="5"/>
        <v>0</v>
      </c>
      <c r="I33" s="265" t="e">
        <f t="shared" ca="1" si="6"/>
        <v>#DIV/0!</v>
      </c>
      <c r="J33" s="227" t="e">
        <f t="shared" ca="1" si="7"/>
        <v>#DIV/0!</v>
      </c>
      <c r="K33" s="239" t="e">
        <f t="shared" ca="1" si="8"/>
        <v>#DIV/0!</v>
      </c>
      <c r="L33" s="219" t="e">
        <f t="shared" si="9"/>
        <v>#DIV/0!</v>
      </c>
      <c r="M33" s="227">
        <f t="shared" si="12"/>
        <v>0</v>
      </c>
      <c r="N33" s="239" t="e">
        <f t="shared" si="10"/>
        <v>#DIV/0!</v>
      </c>
      <c r="O33" s="595"/>
      <c r="P33" s="267" t="e">
        <f t="shared" si="11"/>
        <v>#DIV/0!</v>
      </c>
    </row>
    <row r="34" spans="1:16" s="58" customFormat="1" ht="14.25">
      <c r="A34" s="224">
        <v>13</v>
      </c>
      <c r="B34" s="592"/>
      <c r="C34" s="593"/>
      <c r="D34" s="227">
        <f t="shared" si="3"/>
        <v>0</v>
      </c>
      <c r="E34" s="594"/>
      <c r="F34" s="227" t="e">
        <f ca="1">(E34/$E$79)*'CAM Charges &amp; Cashflow'!CAM</f>
        <v>#DIV/0!</v>
      </c>
      <c r="G34" s="227" t="e">
        <f t="shared" si="4"/>
        <v>#N/A</v>
      </c>
      <c r="H34" s="227">
        <f t="shared" si="5"/>
        <v>0</v>
      </c>
      <c r="I34" s="265" t="e">
        <f t="shared" ca="1" si="6"/>
        <v>#DIV/0!</v>
      </c>
      <c r="J34" s="227" t="e">
        <f t="shared" ca="1" si="7"/>
        <v>#DIV/0!</v>
      </c>
      <c r="K34" s="239" t="e">
        <f t="shared" ca="1" si="8"/>
        <v>#DIV/0!</v>
      </c>
      <c r="L34" s="219" t="e">
        <f t="shared" si="9"/>
        <v>#DIV/0!</v>
      </c>
      <c r="M34" s="227">
        <f t="shared" si="12"/>
        <v>0</v>
      </c>
      <c r="N34" s="239" t="e">
        <f t="shared" si="10"/>
        <v>#DIV/0!</v>
      </c>
      <c r="O34" s="595"/>
      <c r="P34" s="267" t="e">
        <f t="shared" si="11"/>
        <v>#DIV/0!</v>
      </c>
    </row>
    <row r="35" spans="1:16" s="58" customFormat="1" ht="14.25">
      <c r="A35" s="224">
        <v>14</v>
      </c>
      <c r="B35" s="592"/>
      <c r="C35" s="593"/>
      <c r="D35" s="227">
        <f t="shared" si="3"/>
        <v>0</v>
      </c>
      <c r="E35" s="594"/>
      <c r="F35" s="227" t="e">
        <f ca="1">(E35/$E$79)*'CAM Charges &amp; Cashflow'!CAM</f>
        <v>#DIV/0!</v>
      </c>
      <c r="G35" s="227" t="e">
        <f t="shared" si="4"/>
        <v>#N/A</v>
      </c>
      <c r="H35" s="227">
        <f t="shared" si="5"/>
        <v>0</v>
      </c>
      <c r="I35" s="265" t="e">
        <f t="shared" ca="1" si="6"/>
        <v>#DIV/0!</v>
      </c>
      <c r="J35" s="227" t="e">
        <f t="shared" ca="1" si="7"/>
        <v>#DIV/0!</v>
      </c>
      <c r="K35" s="239" t="e">
        <f t="shared" ca="1" si="8"/>
        <v>#DIV/0!</v>
      </c>
      <c r="L35" s="219" t="e">
        <f t="shared" si="9"/>
        <v>#DIV/0!</v>
      </c>
      <c r="M35" s="227">
        <f t="shared" si="12"/>
        <v>0</v>
      </c>
      <c r="N35" s="239" t="e">
        <f t="shared" si="10"/>
        <v>#DIV/0!</v>
      </c>
      <c r="O35" s="595"/>
      <c r="P35" s="267" t="e">
        <f t="shared" si="11"/>
        <v>#DIV/0!</v>
      </c>
    </row>
    <row r="36" spans="1:16" s="58" customFormat="1" ht="14.25">
      <c r="A36" s="224">
        <v>15</v>
      </c>
      <c r="B36" s="592"/>
      <c r="C36" s="593"/>
      <c r="D36" s="227">
        <f t="shared" si="3"/>
        <v>0</v>
      </c>
      <c r="E36" s="594"/>
      <c r="F36" s="227" t="e">
        <f ca="1">(E36/$E$79)*'CAM Charges &amp; Cashflow'!CAM</f>
        <v>#DIV/0!</v>
      </c>
      <c r="G36" s="227" t="e">
        <f t="shared" si="4"/>
        <v>#N/A</v>
      </c>
      <c r="H36" s="227">
        <f t="shared" si="5"/>
        <v>0</v>
      </c>
      <c r="I36" s="265" t="e">
        <f t="shared" ca="1" si="6"/>
        <v>#DIV/0!</v>
      </c>
      <c r="J36" s="227" t="e">
        <f t="shared" ca="1" si="7"/>
        <v>#DIV/0!</v>
      </c>
      <c r="K36" s="239" t="e">
        <f t="shared" ca="1" si="8"/>
        <v>#DIV/0!</v>
      </c>
      <c r="L36" s="219" t="e">
        <f t="shared" si="9"/>
        <v>#DIV/0!</v>
      </c>
      <c r="M36" s="227">
        <f t="shared" si="12"/>
        <v>0</v>
      </c>
      <c r="N36" s="239" t="e">
        <f t="shared" si="10"/>
        <v>#DIV/0!</v>
      </c>
      <c r="O36" s="595"/>
      <c r="P36" s="267" t="e">
        <f t="shared" si="11"/>
        <v>#DIV/0!</v>
      </c>
    </row>
    <row r="37" spans="1:16" s="58" customFormat="1" ht="14.25">
      <c r="A37" s="224">
        <v>16</v>
      </c>
      <c r="B37" s="592"/>
      <c r="C37" s="593"/>
      <c r="D37" s="227">
        <f t="shared" si="3"/>
        <v>0</v>
      </c>
      <c r="E37" s="594"/>
      <c r="F37" s="227" t="e">
        <f ca="1">(E37/$E$79)*'CAM Charges &amp; Cashflow'!CAM</f>
        <v>#DIV/0!</v>
      </c>
      <c r="G37" s="227" t="e">
        <f t="shared" si="4"/>
        <v>#N/A</v>
      </c>
      <c r="H37" s="227">
        <f t="shared" si="5"/>
        <v>0</v>
      </c>
      <c r="I37" s="265" t="e">
        <f t="shared" ca="1" si="6"/>
        <v>#DIV/0!</v>
      </c>
      <c r="J37" s="227" t="e">
        <f t="shared" ca="1" si="7"/>
        <v>#DIV/0!</v>
      </c>
      <c r="K37" s="239" t="e">
        <f t="shared" ca="1" si="8"/>
        <v>#DIV/0!</v>
      </c>
      <c r="L37" s="219" t="e">
        <f t="shared" si="9"/>
        <v>#DIV/0!</v>
      </c>
      <c r="M37" s="227">
        <f t="shared" si="12"/>
        <v>0</v>
      </c>
      <c r="N37" s="239" t="e">
        <f t="shared" si="10"/>
        <v>#DIV/0!</v>
      </c>
      <c r="O37" s="595"/>
      <c r="P37" s="267" t="e">
        <f t="shared" si="11"/>
        <v>#DIV/0!</v>
      </c>
    </row>
    <row r="38" spans="1:16" s="58" customFormat="1" ht="14.25">
      <c r="A38" s="224">
        <v>17</v>
      </c>
      <c r="B38" s="592"/>
      <c r="C38" s="593"/>
      <c r="D38" s="227">
        <f t="shared" si="3"/>
        <v>0</v>
      </c>
      <c r="E38" s="594"/>
      <c r="F38" s="227" t="e">
        <f ca="1">(E38/$E$79)*'CAM Charges &amp; Cashflow'!CAM</f>
        <v>#DIV/0!</v>
      </c>
      <c r="G38" s="227" t="e">
        <f t="shared" si="4"/>
        <v>#N/A</v>
      </c>
      <c r="H38" s="227">
        <f t="shared" si="5"/>
        <v>0</v>
      </c>
      <c r="I38" s="265" t="e">
        <f t="shared" ca="1" si="6"/>
        <v>#DIV/0!</v>
      </c>
      <c r="J38" s="227" t="e">
        <f t="shared" ca="1" si="7"/>
        <v>#DIV/0!</v>
      </c>
      <c r="K38" s="239" t="e">
        <f t="shared" ca="1" si="8"/>
        <v>#DIV/0!</v>
      </c>
      <c r="L38" s="219" t="e">
        <f t="shared" si="9"/>
        <v>#DIV/0!</v>
      </c>
      <c r="M38" s="227">
        <f t="shared" si="12"/>
        <v>0</v>
      </c>
      <c r="N38" s="239" t="e">
        <f t="shared" si="10"/>
        <v>#DIV/0!</v>
      </c>
      <c r="O38" s="595"/>
      <c r="P38" s="267" t="e">
        <f t="shared" si="11"/>
        <v>#DIV/0!</v>
      </c>
    </row>
    <row r="39" spans="1:16" s="58" customFormat="1" ht="14.25">
      <c r="A39" s="224">
        <v>18</v>
      </c>
      <c r="B39" s="592"/>
      <c r="C39" s="593"/>
      <c r="D39" s="227">
        <f t="shared" si="3"/>
        <v>0</v>
      </c>
      <c r="E39" s="594"/>
      <c r="F39" s="227" t="e">
        <f ca="1">(E39/$E$79)*'CAM Charges &amp; Cashflow'!CAM</f>
        <v>#DIV/0!</v>
      </c>
      <c r="G39" s="227" t="e">
        <f t="shared" si="4"/>
        <v>#N/A</v>
      </c>
      <c r="H39" s="227">
        <f t="shared" si="5"/>
        <v>0</v>
      </c>
      <c r="I39" s="265" t="e">
        <f t="shared" ca="1" si="6"/>
        <v>#DIV/0!</v>
      </c>
      <c r="J39" s="227" t="e">
        <f t="shared" ca="1" si="7"/>
        <v>#DIV/0!</v>
      </c>
      <c r="K39" s="239" t="e">
        <f t="shared" ca="1" si="8"/>
        <v>#DIV/0!</v>
      </c>
      <c r="L39" s="219" t="e">
        <f t="shared" si="9"/>
        <v>#DIV/0!</v>
      </c>
      <c r="M39" s="227">
        <f t="shared" si="12"/>
        <v>0</v>
      </c>
      <c r="N39" s="239" t="e">
        <f t="shared" si="10"/>
        <v>#DIV/0!</v>
      </c>
      <c r="O39" s="595"/>
      <c r="P39" s="267" t="e">
        <f t="shared" si="11"/>
        <v>#DIV/0!</v>
      </c>
    </row>
    <row r="40" spans="1:16" s="58" customFormat="1" ht="14.25">
      <c r="A40" s="224">
        <v>19</v>
      </c>
      <c r="B40" s="592"/>
      <c r="C40" s="593"/>
      <c r="D40" s="227">
        <f t="shared" si="3"/>
        <v>0</v>
      </c>
      <c r="E40" s="594"/>
      <c r="F40" s="227" t="e">
        <f ca="1">(E40/$E$79)*'CAM Charges &amp; Cashflow'!CAM</f>
        <v>#DIV/0!</v>
      </c>
      <c r="G40" s="227" t="e">
        <f t="shared" si="4"/>
        <v>#N/A</v>
      </c>
      <c r="H40" s="227">
        <f t="shared" si="5"/>
        <v>0</v>
      </c>
      <c r="I40" s="265" t="e">
        <f t="shared" ca="1" si="6"/>
        <v>#DIV/0!</v>
      </c>
      <c r="J40" s="227" t="e">
        <f t="shared" ca="1" si="7"/>
        <v>#DIV/0!</v>
      </c>
      <c r="K40" s="239" t="e">
        <f t="shared" ca="1" si="8"/>
        <v>#DIV/0!</v>
      </c>
      <c r="L40" s="219" t="e">
        <f t="shared" si="9"/>
        <v>#DIV/0!</v>
      </c>
      <c r="M40" s="227">
        <f t="shared" si="12"/>
        <v>0</v>
      </c>
      <c r="N40" s="239" t="e">
        <f t="shared" si="10"/>
        <v>#DIV/0!</v>
      </c>
      <c r="O40" s="595"/>
      <c r="P40" s="267" t="e">
        <f t="shared" si="11"/>
        <v>#DIV/0!</v>
      </c>
    </row>
    <row r="41" spans="1:16" s="58" customFormat="1" ht="14.25">
      <c r="A41" s="224">
        <v>20</v>
      </c>
      <c r="B41" s="592"/>
      <c r="C41" s="593"/>
      <c r="D41" s="227">
        <f t="shared" si="3"/>
        <v>0</v>
      </c>
      <c r="E41" s="594"/>
      <c r="F41" s="227" t="e">
        <f ca="1">(E41/$E$79)*'CAM Charges &amp; Cashflow'!CAM</f>
        <v>#DIV/0!</v>
      </c>
      <c r="G41" s="227" t="e">
        <f t="shared" si="4"/>
        <v>#N/A</v>
      </c>
      <c r="H41" s="227">
        <f t="shared" si="5"/>
        <v>0</v>
      </c>
      <c r="I41" s="265" t="e">
        <f t="shared" ca="1" si="6"/>
        <v>#DIV/0!</v>
      </c>
      <c r="J41" s="227" t="e">
        <f t="shared" ca="1" si="7"/>
        <v>#DIV/0!</v>
      </c>
      <c r="K41" s="239" t="e">
        <f t="shared" ca="1" si="8"/>
        <v>#DIV/0!</v>
      </c>
      <c r="L41" s="219" t="e">
        <f t="shared" si="9"/>
        <v>#DIV/0!</v>
      </c>
      <c r="M41" s="227">
        <f t="shared" si="12"/>
        <v>0</v>
      </c>
      <c r="N41" s="239" t="e">
        <f t="shared" si="10"/>
        <v>#DIV/0!</v>
      </c>
      <c r="O41" s="595"/>
      <c r="P41" s="267" t="e">
        <f t="shared" si="11"/>
        <v>#DIV/0!</v>
      </c>
    </row>
    <row r="42" spans="1:16" s="58" customFormat="1" ht="14.25">
      <c r="A42" s="224">
        <v>21</v>
      </c>
      <c r="B42" s="592"/>
      <c r="C42" s="593"/>
      <c r="D42" s="227">
        <f t="shared" si="3"/>
        <v>0</v>
      </c>
      <c r="E42" s="594"/>
      <c r="F42" s="227" t="e">
        <f ca="1">(E42/$E$79)*'CAM Charges &amp; Cashflow'!CAM</f>
        <v>#DIV/0!</v>
      </c>
      <c r="G42" s="227" t="e">
        <f t="shared" si="4"/>
        <v>#N/A</v>
      </c>
      <c r="H42" s="227">
        <f t="shared" si="5"/>
        <v>0</v>
      </c>
      <c r="I42" s="265" t="e">
        <f t="shared" ca="1" si="6"/>
        <v>#DIV/0!</v>
      </c>
      <c r="J42" s="227" t="e">
        <f t="shared" ca="1" si="7"/>
        <v>#DIV/0!</v>
      </c>
      <c r="K42" s="239" t="e">
        <f t="shared" ca="1" si="8"/>
        <v>#DIV/0!</v>
      </c>
      <c r="L42" s="219" t="e">
        <f t="shared" si="9"/>
        <v>#DIV/0!</v>
      </c>
      <c r="M42" s="227">
        <f t="shared" si="12"/>
        <v>0</v>
      </c>
      <c r="N42" s="239" t="e">
        <f t="shared" si="10"/>
        <v>#DIV/0!</v>
      </c>
      <c r="O42" s="595"/>
      <c r="P42" s="267" t="e">
        <f t="shared" si="11"/>
        <v>#DIV/0!</v>
      </c>
    </row>
    <row r="43" spans="1:16" s="58" customFormat="1" ht="14.25">
      <c r="A43" s="224">
        <v>22</v>
      </c>
      <c r="B43" s="592"/>
      <c r="C43" s="593"/>
      <c r="D43" s="227">
        <f t="shared" si="3"/>
        <v>0</v>
      </c>
      <c r="E43" s="594"/>
      <c r="F43" s="227" t="e">
        <f ca="1">(E43/$E$79)*'CAM Charges &amp; Cashflow'!CAM</f>
        <v>#DIV/0!</v>
      </c>
      <c r="G43" s="227" t="e">
        <f t="shared" si="4"/>
        <v>#N/A</v>
      </c>
      <c r="H43" s="227">
        <f t="shared" si="5"/>
        <v>0</v>
      </c>
      <c r="I43" s="265" t="e">
        <f t="shared" ca="1" si="6"/>
        <v>#DIV/0!</v>
      </c>
      <c r="J43" s="227" t="e">
        <f t="shared" ca="1" si="7"/>
        <v>#DIV/0!</v>
      </c>
      <c r="K43" s="239" t="e">
        <f t="shared" ca="1" si="8"/>
        <v>#DIV/0!</v>
      </c>
      <c r="L43" s="219" t="e">
        <f t="shared" si="9"/>
        <v>#DIV/0!</v>
      </c>
      <c r="M43" s="227">
        <f t="shared" si="12"/>
        <v>0</v>
      </c>
      <c r="N43" s="239" t="e">
        <f t="shared" si="10"/>
        <v>#DIV/0!</v>
      </c>
      <c r="O43" s="595"/>
      <c r="P43" s="267" t="e">
        <f t="shared" si="11"/>
        <v>#DIV/0!</v>
      </c>
    </row>
    <row r="44" spans="1:16" s="58" customFormat="1" ht="14.25">
      <c r="A44" s="224">
        <v>23</v>
      </c>
      <c r="B44" s="592"/>
      <c r="C44" s="593"/>
      <c r="D44" s="227">
        <f t="shared" si="3"/>
        <v>0</v>
      </c>
      <c r="E44" s="594"/>
      <c r="F44" s="227" t="e">
        <f ca="1">(E44/$E$79)*'CAM Charges &amp; Cashflow'!CAM</f>
        <v>#DIV/0!</v>
      </c>
      <c r="G44" s="227" t="e">
        <f t="shared" si="4"/>
        <v>#N/A</v>
      </c>
      <c r="H44" s="227">
        <f t="shared" si="5"/>
        <v>0</v>
      </c>
      <c r="I44" s="265" t="e">
        <f t="shared" ca="1" si="6"/>
        <v>#DIV/0!</v>
      </c>
      <c r="J44" s="227" t="e">
        <f t="shared" ca="1" si="7"/>
        <v>#DIV/0!</v>
      </c>
      <c r="K44" s="239" t="e">
        <f t="shared" ca="1" si="8"/>
        <v>#DIV/0!</v>
      </c>
      <c r="L44" s="219" t="e">
        <f t="shared" si="9"/>
        <v>#DIV/0!</v>
      </c>
      <c r="M44" s="227">
        <f t="shared" si="12"/>
        <v>0</v>
      </c>
      <c r="N44" s="239" t="e">
        <f t="shared" si="10"/>
        <v>#DIV/0!</v>
      </c>
      <c r="O44" s="595"/>
      <c r="P44" s="267" t="e">
        <f t="shared" si="11"/>
        <v>#DIV/0!</v>
      </c>
    </row>
    <row r="45" spans="1:16" s="58" customFormat="1" ht="14.25">
      <c r="A45" s="224">
        <v>24</v>
      </c>
      <c r="B45" s="592"/>
      <c r="C45" s="593"/>
      <c r="D45" s="227">
        <f t="shared" si="3"/>
        <v>0</v>
      </c>
      <c r="E45" s="594"/>
      <c r="F45" s="227" t="e">
        <f ca="1">(E45/$E$79)*'CAM Charges &amp; Cashflow'!CAM</f>
        <v>#DIV/0!</v>
      </c>
      <c r="G45" s="227" t="e">
        <f t="shared" si="4"/>
        <v>#N/A</v>
      </c>
      <c r="H45" s="227">
        <f t="shared" si="5"/>
        <v>0</v>
      </c>
      <c r="I45" s="265" t="e">
        <f t="shared" ca="1" si="6"/>
        <v>#DIV/0!</v>
      </c>
      <c r="J45" s="227" t="e">
        <f t="shared" ca="1" si="7"/>
        <v>#DIV/0!</v>
      </c>
      <c r="K45" s="239" t="e">
        <f t="shared" ca="1" si="8"/>
        <v>#DIV/0!</v>
      </c>
      <c r="L45" s="219" t="e">
        <f t="shared" si="9"/>
        <v>#DIV/0!</v>
      </c>
      <c r="M45" s="227">
        <f t="shared" si="12"/>
        <v>0</v>
      </c>
      <c r="N45" s="239" t="e">
        <f t="shared" si="10"/>
        <v>#DIV/0!</v>
      </c>
      <c r="O45" s="595"/>
      <c r="P45" s="267" t="e">
        <f t="shared" si="11"/>
        <v>#DIV/0!</v>
      </c>
    </row>
    <row r="46" spans="1:16" s="58" customFormat="1" ht="14.25">
      <c r="A46" s="224">
        <v>25</v>
      </c>
      <c r="B46" s="592"/>
      <c r="C46" s="593"/>
      <c r="D46" s="227">
        <f t="shared" si="3"/>
        <v>0</v>
      </c>
      <c r="E46" s="594"/>
      <c r="F46" s="227" t="e">
        <f ca="1">(E46/$E$79)*'CAM Charges &amp; Cashflow'!CAM</f>
        <v>#DIV/0!</v>
      </c>
      <c r="G46" s="227" t="e">
        <f t="shared" si="4"/>
        <v>#N/A</v>
      </c>
      <c r="H46" s="227">
        <f t="shared" si="5"/>
        <v>0</v>
      </c>
      <c r="I46" s="265" t="e">
        <f t="shared" ca="1" si="6"/>
        <v>#DIV/0!</v>
      </c>
      <c r="J46" s="227" t="e">
        <f t="shared" ca="1" si="7"/>
        <v>#DIV/0!</v>
      </c>
      <c r="K46" s="239" t="e">
        <f t="shared" ca="1" si="8"/>
        <v>#DIV/0!</v>
      </c>
      <c r="L46" s="219" t="e">
        <f t="shared" si="9"/>
        <v>#DIV/0!</v>
      </c>
      <c r="M46" s="227">
        <f t="shared" si="12"/>
        <v>0</v>
      </c>
      <c r="N46" s="239" t="e">
        <f t="shared" si="10"/>
        <v>#DIV/0!</v>
      </c>
      <c r="O46" s="595"/>
      <c r="P46" s="267" t="e">
        <f t="shared" si="11"/>
        <v>#DIV/0!</v>
      </c>
    </row>
    <row r="47" spans="1:16" ht="14.25">
      <c r="A47" s="224">
        <v>26</v>
      </c>
      <c r="B47" s="592"/>
      <c r="C47" s="593"/>
      <c r="D47" s="227">
        <f t="shared" si="3"/>
        <v>0</v>
      </c>
      <c r="E47" s="594"/>
      <c r="F47" s="227" t="e">
        <f ca="1">(E47/$E$79)*'CAM Charges &amp; Cashflow'!CAM</f>
        <v>#DIV/0!</v>
      </c>
      <c r="G47" s="227" t="e">
        <f t="shared" si="4"/>
        <v>#N/A</v>
      </c>
      <c r="H47" s="227">
        <f t="shared" si="5"/>
        <v>0</v>
      </c>
      <c r="I47" s="265" t="e">
        <f t="shared" ca="1" si="6"/>
        <v>#DIV/0!</v>
      </c>
      <c r="J47" s="227" t="e">
        <f t="shared" ca="1" si="7"/>
        <v>#DIV/0!</v>
      </c>
      <c r="K47" s="239" t="e">
        <f t="shared" ca="1" si="8"/>
        <v>#DIV/0!</v>
      </c>
      <c r="L47" s="219" t="e">
        <f t="shared" si="9"/>
        <v>#DIV/0!</v>
      </c>
      <c r="M47" s="227">
        <f t="shared" si="12"/>
        <v>0</v>
      </c>
      <c r="N47" s="239" t="e">
        <f t="shared" si="10"/>
        <v>#DIV/0!</v>
      </c>
      <c r="O47" s="595"/>
      <c r="P47" s="267" t="e">
        <f t="shared" si="11"/>
        <v>#DIV/0!</v>
      </c>
    </row>
    <row r="48" spans="1:16" ht="14.25">
      <c r="A48" s="224">
        <v>27</v>
      </c>
      <c r="B48" s="592"/>
      <c r="C48" s="593"/>
      <c r="D48" s="227">
        <f t="shared" si="3"/>
        <v>0</v>
      </c>
      <c r="E48" s="594"/>
      <c r="F48" s="227" t="e">
        <f ca="1">(E48/$E$79)*'CAM Charges &amp; Cashflow'!CAM</f>
        <v>#DIV/0!</v>
      </c>
      <c r="G48" s="227" t="e">
        <f t="shared" si="4"/>
        <v>#N/A</v>
      </c>
      <c r="H48" s="227">
        <f t="shared" si="5"/>
        <v>0</v>
      </c>
      <c r="I48" s="265" t="e">
        <f t="shared" ca="1" si="6"/>
        <v>#DIV/0!</v>
      </c>
      <c r="J48" s="227" t="e">
        <f t="shared" ca="1" si="7"/>
        <v>#DIV/0!</v>
      </c>
      <c r="K48" s="239" t="e">
        <f t="shared" ca="1" si="8"/>
        <v>#DIV/0!</v>
      </c>
      <c r="L48" s="219" t="e">
        <f t="shared" si="9"/>
        <v>#DIV/0!</v>
      </c>
      <c r="M48" s="227">
        <f t="shared" si="12"/>
        <v>0</v>
      </c>
      <c r="N48" s="239" t="e">
        <f t="shared" si="10"/>
        <v>#DIV/0!</v>
      </c>
      <c r="O48" s="595"/>
      <c r="P48" s="267" t="e">
        <f t="shared" si="11"/>
        <v>#DIV/0!</v>
      </c>
    </row>
    <row r="49" spans="1:16" ht="14.25">
      <c r="A49" s="224">
        <v>28</v>
      </c>
      <c r="B49" s="592"/>
      <c r="C49" s="593"/>
      <c r="D49" s="227">
        <f t="shared" si="3"/>
        <v>0</v>
      </c>
      <c r="E49" s="594"/>
      <c r="F49" s="227" t="e">
        <f ca="1">(E49/$E$79)*'CAM Charges &amp; Cashflow'!CAM</f>
        <v>#DIV/0!</v>
      </c>
      <c r="G49" s="227" t="e">
        <f t="shared" si="4"/>
        <v>#N/A</v>
      </c>
      <c r="H49" s="227">
        <f t="shared" si="5"/>
        <v>0</v>
      </c>
      <c r="I49" s="265" t="e">
        <f t="shared" ca="1" si="6"/>
        <v>#DIV/0!</v>
      </c>
      <c r="J49" s="227" t="e">
        <f t="shared" ca="1" si="7"/>
        <v>#DIV/0!</v>
      </c>
      <c r="K49" s="239" t="e">
        <f t="shared" ca="1" si="8"/>
        <v>#DIV/0!</v>
      </c>
      <c r="L49" s="219" t="e">
        <f t="shared" si="9"/>
        <v>#DIV/0!</v>
      </c>
      <c r="M49" s="227">
        <f t="shared" si="12"/>
        <v>0</v>
      </c>
      <c r="N49" s="239" t="e">
        <f t="shared" si="10"/>
        <v>#DIV/0!</v>
      </c>
      <c r="O49" s="595"/>
      <c r="P49" s="267" t="e">
        <f t="shared" si="11"/>
        <v>#DIV/0!</v>
      </c>
    </row>
    <row r="50" spans="1:16" s="58" customFormat="1" ht="14.25">
      <c r="A50" s="224">
        <v>29</v>
      </c>
      <c r="B50" s="592"/>
      <c r="C50" s="593"/>
      <c r="D50" s="227">
        <f t="shared" si="3"/>
        <v>0</v>
      </c>
      <c r="E50" s="594"/>
      <c r="F50" s="227" t="e">
        <f ca="1">(E50/$E$79)*'CAM Charges &amp; Cashflow'!CAM</f>
        <v>#DIV/0!</v>
      </c>
      <c r="G50" s="227" t="e">
        <f t="shared" si="4"/>
        <v>#N/A</v>
      </c>
      <c r="H50" s="227">
        <f t="shared" si="5"/>
        <v>0</v>
      </c>
      <c r="I50" s="265" t="e">
        <f t="shared" ca="1" si="6"/>
        <v>#DIV/0!</v>
      </c>
      <c r="J50" s="227" t="e">
        <f t="shared" ca="1" si="7"/>
        <v>#DIV/0!</v>
      </c>
      <c r="K50" s="239" t="e">
        <f t="shared" ca="1" si="8"/>
        <v>#DIV/0!</v>
      </c>
      <c r="L50" s="219" t="e">
        <f t="shared" si="9"/>
        <v>#DIV/0!</v>
      </c>
      <c r="M50" s="227">
        <f t="shared" si="12"/>
        <v>0</v>
      </c>
      <c r="N50" s="239" t="e">
        <f t="shared" si="10"/>
        <v>#DIV/0!</v>
      </c>
      <c r="O50" s="595"/>
      <c r="P50" s="267" t="e">
        <f t="shared" si="11"/>
        <v>#DIV/0!</v>
      </c>
    </row>
    <row r="51" spans="1:16" s="58" customFormat="1" ht="14.25">
      <c r="A51" s="224">
        <v>30</v>
      </c>
      <c r="B51" s="592"/>
      <c r="C51" s="593"/>
      <c r="D51" s="227">
        <f t="shared" si="3"/>
        <v>0</v>
      </c>
      <c r="E51" s="594"/>
      <c r="F51" s="227" t="e">
        <f ca="1">(E51/$E$79)*'CAM Charges &amp; Cashflow'!CAM</f>
        <v>#DIV/0!</v>
      </c>
      <c r="G51" s="227" t="e">
        <f t="shared" si="4"/>
        <v>#N/A</v>
      </c>
      <c r="H51" s="227">
        <f t="shared" si="5"/>
        <v>0</v>
      </c>
      <c r="I51" s="265" t="e">
        <f t="shared" ca="1" si="6"/>
        <v>#DIV/0!</v>
      </c>
      <c r="J51" s="227" t="e">
        <f t="shared" ca="1" si="7"/>
        <v>#DIV/0!</v>
      </c>
      <c r="K51" s="239" t="e">
        <f t="shared" ca="1" si="8"/>
        <v>#DIV/0!</v>
      </c>
      <c r="L51" s="219" t="e">
        <f t="shared" si="9"/>
        <v>#DIV/0!</v>
      </c>
      <c r="M51" s="227">
        <f t="shared" si="12"/>
        <v>0</v>
      </c>
      <c r="N51" s="239" t="e">
        <f t="shared" si="10"/>
        <v>#DIV/0!</v>
      </c>
      <c r="O51" s="595"/>
      <c r="P51" s="267" t="e">
        <f t="shared" si="11"/>
        <v>#DIV/0!</v>
      </c>
    </row>
    <row r="52" spans="1:16" ht="14.25">
      <c r="A52" s="224">
        <v>31</v>
      </c>
      <c r="B52" s="592"/>
      <c r="C52" s="593"/>
      <c r="D52" s="227">
        <f t="shared" si="3"/>
        <v>0</v>
      </c>
      <c r="E52" s="594"/>
      <c r="F52" s="227" t="e">
        <f ca="1">(E52/$E$79)*'CAM Charges &amp; Cashflow'!CAM</f>
        <v>#DIV/0!</v>
      </c>
      <c r="G52" s="227" t="e">
        <f t="shared" si="4"/>
        <v>#N/A</v>
      </c>
      <c r="H52" s="227">
        <f t="shared" si="5"/>
        <v>0</v>
      </c>
      <c r="I52" s="265" t="e">
        <f t="shared" ca="1" si="6"/>
        <v>#DIV/0!</v>
      </c>
      <c r="J52" s="227" t="e">
        <f t="shared" ca="1" si="7"/>
        <v>#DIV/0!</v>
      </c>
      <c r="K52" s="239" t="e">
        <f t="shared" ca="1" si="8"/>
        <v>#DIV/0!</v>
      </c>
      <c r="L52" s="219" t="e">
        <f t="shared" si="9"/>
        <v>#DIV/0!</v>
      </c>
      <c r="M52" s="227">
        <f t="shared" si="12"/>
        <v>0</v>
      </c>
      <c r="N52" s="239" t="e">
        <f t="shared" si="10"/>
        <v>#DIV/0!</v>
      </c>
      <c r="O52" s="595"/>
      <c r="P52" s="267" t="e">
        <f t="shared" si="11"/>
        <v>#DIV/0!</v>
      </c>
    </row>
    <row r="53" spans="1:16" ht="14.25">
      <c r="A53" s="224">
        <v>32</v>
      </c>
      <c r="B53" s="592"/>
      <c r="C53" s="593"/>
      <c r="D53" s="227">
        <f t="shared" si="3"/>
        <v>0</v>
      </c>
      <c r="E53" s="594"/>
      <c r="F53" s="227" t="e">
        <f ca="1">(E53/$E$79)*'CAM Charges &amp; Cashflow'!CAM</f>
        <v>#DIV/0!</v>
      </c>
      <c r="G53" s="227" t="e">
        <f t="shared" si="4"/>
        <v>#N/A</v>
      </c>
      <c r="H53" s="227">
        <f t="shared" si="5"/>
        <v>0</v>
      </c>
      <c r="I53" s="265" t="e">
        <f t="shared" ca="1" si="6"/>
        <v>#DIV/0!</v>
      </c>
      <c r="J53" s="227" t="e">
        <f t="shared" ca="1" si="7"/>
        <v>#DIV/0!</v>
      </c>
      <c r="K53" s="239" t="e">
        <f t="shared" ca="1" si="8"/>
        <v>#DIV/0!</v>
      </c>
      <c r="L53" s="219" t="e">
        <f t="shared" si="9"/>
        <v>#DIV/0!</v>
      </c>
      <c r="M53" s="227">
        <f t="shared" si="12"/>
        <v>0</v>
      </c>
      <c r="N53" s="239" t="e">
        <f t="shared" si="10"/>
        <v>#DIV/0!</v>
      </c>
      <c r="O53" s="595"/>
      <c r="P53" s="267" t="e">
        <f t="shared" si="11"/>
        <v>#DIV/0!</v>
      </c>
    </row>
    <row r="54" spans="1:16" s="58" customFormat="1" ht="14.25">
      <c r="A54" s="224">
        <v>33</v>
      </c>
      <c r="B54" s="592"/>
      <c r="C54" s="593"/>
      <c r="D54" s="227">
        <f t="shared" si="3"/>
        <v>0</v>
      </c>
      <c r="E54" s="594"/>
      <c r="F54" s="227" t="e">
        <f ca="1">(E54/$E$79)*'CAM Charges &amp; Cashflow'!CAM</f>
        <v>#DIV/0!</v>
      </c>
      <c r="G54" s="227" t="e">
        <f t="shared" si="4"/>
        <v>#N/A</v>
      </c>
      <c r="H54" s="227">
        <f t="shared" si="5"/>
        <v>0</v>
      </c>
      <c r="I54" s="265" t="e">
        <f t="shared" ca="1" si="6"/>
        <v>#DIV/0!</v>
      </c>
      <c r="J54" s="227" t="e">
        <f t="shared" ca="1" si="7"/>
        <v>#DIV/0!</v>
      </c>
      <c r="K54" s="239" t="e">
        <f t="shared" ca="1" si="8"/>
        <v>#DIV/0!</v>
      </c>
      <c r="L54" s="219" t="e">
        <f t="shared" si="9"/>
        <v>#DIV/0!</v>
      </c>
      <c r="M54" s="227">
        <f t="shared" si="12"/>
        <v>0</v>
      </c>
      <c r="N54" s="239" t="e">
        <f t="shared" si="10"/>
        <v>#DIV/0!</v>
      </c>
      <c r="O54" s="595"/>
      <c r="P54" s="267" t="e">
        <f t="shared" si="11"/>
        <v>#DIV/0!</v>
      </c>
    </row>
    <row r="55" spans="1:16" s="58" customFormat="1" ht="14.25">
      <c r="A55" s="224">
        <v>34</v>
      </c>
      <c r="B55" s="592"/>
      <c r="C55" s="593"/>
      <c r="D55" s="227">
        <f t="shared" si="3"/>
        <v>0</v>
      </c>
      <c r="E55" s="594"/>
      <c r="F55" s="227" t="e">
        <f ca="1">(E55/$E$79)*'CAM Charges &amp; Cashflow'!CAM</f>
        <v>#DIV/0!</v>
      </c>
      <c r="G55" s="227" t="e">
        <f t="shared" si="4"/>
        <v>#N/A</v>
      </c>
      <c r="H55" s="227">
        <f t="shared" si="5"/>
        <v>0</v>
      </c>
      <c r="I55" s="265" t="e">
        <f t="shared" ca="1" si="6"/>
        <v>#DIV/0!</v>
      </c>
      <c r="J55" s="227" t="e">
        <f t="shared" ca="1" si="7"/>
        <v>#DIV/0!</v>
      </c>
      <c r="K55" s="239" t="e">
        <f t="shared" ca="1" si="8"/>
        <v>#DIV/0!</v>
      </c>
      <c r="L55" s="219" t="e">
        <f t="shared" si="9"/>
        <v>#DIV/0!</v>
      </c>
      <c r="M55" s="227">
        <f t="shared" si="12"/>
        <v>0</v>
      </c>
      <c r="N55" s="239" t="e">
        <f t="shared" si="10"/>
        <v>#DIV/0!</v>
      </c>
      <c r="O55" s="595"/>
      <c r="P55" s="267" t="e">
        <f t="shared" si="11"/>
        <v>#DIV/0!</v>
      </c>
    </row>
    <row r="56" spans="1:16" s="58" customFormat="1" ht="14.25">
      <c r="A56" s="224">
        <v>35</v>
      </c>
      <c r="B56" s="592"/>
      <c r="C56" s="593"/>
      <c r="D56" s="227">
        <f t="shared" si="3"/>
        <v>0</v>
      </c>
      <c r="E56" s="594"/>
      <c r="F56" s="227" t="e">
        <f ca="1">(E56/$E$79)*'CAM Charges &amp; Cashflow'!CAM</f>
        <v>#DIV/0!</v>
      </c>
      <c r="G56" s="227" t="e">
        <f t="shared" si="4"/>
        <v>#N/A</v>
      </c>
      <c r="H56" s="227">
        <f t="shared" si="5"/>
        <v>0</v>
      </c>
      <c r="I56" s="265" t="e">
        <f t="shared" ca="1" si="6"/>
        <v>#DIV/0!</v>
      </c>
      <c r="J56" s="227" t="e">
        <f t="shared" ca="1" si="7"/>
        <v>#DIV/0!</v>
      </c>
      <c r="K56" s="239" t="e">
        <f t="shared" ca="1" si="8"/>
        <v>#DIV/0!</v>
      </c>
      <c r="L56" s="219" t="e">
        <f t="shared" si="9"/>
        <v>#DIV/0!</v>
      </c>
      <c r="M56" s="227">
        <f t="shared" si="12"/>
        <v>0</v>
      </c>
      <c r="N56" s="239" t="e">
        <f t="shared" si="10"/>
        <v>#DIV/0!</v>
      </c>
      <c r="O56" s="595"/>
      <c r="P56" s="267" t="e">
        <f t="shared" si="11"/>
        <v>#DIV/0!</v>
      </c>
    </row>
    <row r="57" spans="1:16" s="58" customFormat="1" ht="14.25">
      <c r="A57" s="224">
        <v>36</v>
      </c>
      <c r="B57" s="592"/>
      <c r="C57" s="593"/>
      <c r="D57" s="227">
        <f t="shared" si="3"/>
        <v>0</v>
      </c>
      <c r="E57" s="594"/>
      <c r="F57" s="227" t="e">
        <f ca="1">(E57/$E$79)*'CAM Charges &amp; Cashflow'!CAM</f>
        <v>#DIV/0!</v>
      </c>
      <c r="G57" s="227" t="e">
        <f t="shared" si="4"/>
        <v>#N/A</v>
      </c>
      <c r="H57" s="227">
        <f t="shared" si="5"/>
        <v>0</v>
      </c>
      <c r="I57" s="265" t="e">
        <f t="shared" ca="1" si="6"/>
        <v>#DIV/0!</v>
      </c>
      <c r="J57" s="227" t="e">
        <f t="shared" ca="1" si="7"/>
        <v>#DIV/0!</v>
      </c>
      <c r="K57" s="239" t="e">
        <f t="shared" ca="1" si="8"/>
        <v>#DIV/0!</v>
      </c>
      <c r="L57" s="219" t="e">
        <f t="shared" si="9"/>
        <v>#DIV/0!</v>
      </c>
      <c r="M57" s="227">
        <f t="shared" si="12"/>
        <v>0</v>
      </c>
      <c r="N57" s="239" t="e">
        <f t="shared" si="10"/>
        <v>#DIV/0!</v>
      </c>
      <c r="O57" s="595"/>
      <c r="P57" s="267" t="e">
        <f t="shared" si="11"/>
        <v>#DIV/0!</v>
      </c>
    </row>
    <row r="58" spans="1:16" s="58" customFormat="1" ht="14.25">
      <c r="A58" s="224">
        <v>37</v>
      </c>
      <c r="B58" s="592"/>
      <c r="C58" s="593"/>
      <c r="D58" s="227">
        <f t="shared" si="3"/>
        <v>0</v>
      </c>
      <c r="E58" s="594"/>
      <c r="F58" s="227" t="e">
        <f ca="1">(E58/$E$79)*'CAM Charges &amp; Cashflow'!CAM</f>
        <v>#DIV/0!</v>
      </c>
      <c r="G58" s="227" t="e">
        <f t="shared" si="4"/>
        <v>#N/A</v>
      </c>
      <c r="H58" s="227">
        <f t="shared" si="5"/>
        <v>0</v>
      </c>
      <c r="I58" s="265" t="e">
        <f t="shared" ca="1" si="6"/>
        <v>#DIV/0!</v>
      </c>
      <c r="J58" s="227" t="e">
        <f t="shared" ca="1" si="7"/>
        <v>#DIV/0!</v>
      </c>
      <c r="K58" s="239" t="e">
        <f t="shared" ca="1" si="8"/>
        <v>#DIV/0!</v>
      </c>
      <c r="L58" s="219" t="e">
        <f t="shared" si="9"/>
        <v>#DIV/0!</v>
      </c>
      <c r="M58" s="227">
        <f t="shared" si="12"/>
        <v>0</v>
      </c>
      <c r="N58" s="239" t="e">
        <f t="shared" si="10"/>
        <v>#DIV/0!</v>
      </c>
      <c r="O58" s="595"/>
      <c r="P58" s="267" t="e">
        <f t="shared" si="11"/>
        <v>#DIV/0!</v>
      </c>
    </row>
    <row r="59" spans="1:16" s="58" customFormat="1" ht="14.25">
      <c r="A59" s="224">
        <v>38</v>
      </c>
      <c r="B59" s="592"/>
      <c r="C59" s="593"/>
      <c r="D59" s="227">
        <f t="shared" si="3"/>
        <v>0</v>
      </c>
      <c r="E59" s="594"/>
      <c r="F59" s="227" t="e">
        <f ca="1">(E59/$E$79)*'CAM Charges &amp; Cashflow'!CAM</f>
        <v>#DIV/0!</v>
      </c>
      <c r="G59" s="227" t="e">
        <f t="shared" si="4"/>
        <v>#N/A</v>
      </c>
      <c r="H59" s="227">
        <f t="shared" si="5"/>
        <v>0</v>
      </c>
      <c r="I59" s="265" t="e">
        <f t="shared" ca="1" si="6"/>
        <v>#DIV/0!</v>
      </c>
      <c r="J59" s="227" t="e">
        <f t="shared" ca="1" si="7"/>
        <v>#DIV/0!</v>
      </c>
      <c r="K59" s="239" t="e">
        <f t="shared" ca="1" si="8"/>
        <v>#DIV/0!</v>
      </c>
      <c r="L59" s="219" t="e">
        <f t="shared" si="9"/>
        <v>#DIV/0!</v>
      </c>
      <c r="M59" s="227">
        <f t="shared" si="12"/>
        <v>0</v>
      </c>
      <c r="N59" s="239" t="e">
        <f t="shared" si="10"/>
        <v>#DIV/0!</v>
      </c>
      <c r="O59" s="595"/>
      <c r="P59" s="267" t="e">
        <f t="shared" si="11"/>
        <v>#DIV/0!</v>
      </c>
    </row>
    <row r="60" spans="1:16" s="58" customFormat="1" ht="14.25">
      <c r="A60" s="224">
        <v>39</v>
      </c>
      <c r="B60" s="592"/>
      <c r="C60" s="593"/>
      <c r="D60" s="227">
        <f t="shared" si="3"/>
        <v>0</v>
      </c>
      <c r="E60" s="594"/>
      <c r="F60" s="227" t="e">
        <f ca="1">(E60/$E$79)*'CAM Charges &amp; Cashflow'!CAM</f>
        <v>#DIV/0!</v>
      </c>
      <c r="G60" s="227" t="e">
        <f t="shared" si="4"/>
        <v>#N/A</v>
      </c>
      <c r="H60" s="227">
        <f t="shared" si="5"/>
        <v>0</v>
      </c>
      <c r="I60" s="265" t="e">
        <f t="shared" ca="1" si="6"/>
        <v>#DIV/0!</v>
      </c>
      <c r="J60" s="227" t="e">
        <f t="shared" ca="1" si="7"/>
        <v>#DIV/0!</v>
      </c>
      <c r="K60" s="239" t="e">
        <f t="shared" ca="1" si="8"/>
        <v>#DIV/0!</v>
      </c>
      <c r="L60" s="219" t="e">
        <f t="shared" si="9"/>
        <v>#DIV/0!</v>
      </c>
      <c r="M60" s="227">
        <f t="shared" si="12"/>
        <v>0</v>
      </c>
      <c r="N60" s="239" t="e">
        <f t="shared" si="10"/>
        <v>#DIV/0!</v>
      </c>
      <c r="O60" s="595"/>
      <c r="P60" s="267" t="e">
        <f t="shared" si="11"/>
        <v>#DIV/0!</v>
      </c>
    </row>
    <row r="61" spans="1:16" s="58" customFormat="1" ht="14.25">
      <c r="A61" s="224">
        <v>40</v>
      </c>
      <c r="B61" s="592"/>
      <c r="C61" s="593"/>
      <c r="D61" s="227">
        <f t="shared" si="3"/>
        <v>0</v>
      </c>
      <c r="E61" s="594"/>
      <c r="F61" s="227" t="e">
        <f ca="1">(E61/$E$79)*'CAM Charges &amp; Cashflow'!CAM</f>
        <v>#DIV/0!</v>
      </c>
      <c r="G61" s="227" t="e">
        <f t="shared" si="4"/>
        <v>#N/A</v>
      </c>
      <c r="H61" s="227">
        <f t="shared" si="5"/>
        <v>0</v>
      </c>
      <c r="I61" s="265" t="e">
        <f t="shared" ca="1" si="6"/>
        <v>#DIV/0!</v>
      </c>
      <c r="J61" s="227" t="e">
        <f t="shared" ca="1" si="7"/>
        <v>#DIV/0!</v>
      </c>
      <c r="K61" s="239" t="e">
        <f t="shared" ca="1" si="8"/>
        <v>#DIV/0!</v>
      </c>
      <c r="L61" s="219" t="e">
        <f t="shared" si="9"/>
        <v>#DIV/0!</v>
      </c>
      <c r="M61" s="227">
        <f t="shared" si="12"/>
        <v>0</v>
      </c>
      <c r="N61" s="239" t="e">
        <f t="shared" si="10"/>
        <v>#DIV/0!</v>
      </c>
      <c r="O61" s="595"/>
      <c r="P61" s="267" t="e">
        <f t="shared" si="11"/>
        <v>#DIV/0!</v>
      </c>
    </row>
    <row r="62" spans="1:16" ht="14.25">
      <c r="A62" s="224">
        <v>41</v>
      </c>
      <c r="B62" s="592"/>
      <c r="C62" s="593"/>
      <c r="D62" s="227">
        <f t="shared" si="3"/>
        <v>0</v>
      </c>
      <c r="E62" s="594"/>
      <c r="F62" s="227" t="e">
        <f ca="1">(E62/$E$79)*'CAM Charges &amp; Cashflow'!CAM</f>
        <v>#DIV/0!</v>
      </c>
      <c r="G62" s="227" t="e">
        <f t="shared" si="4"/>
        <v>#N/A</v>
      </c>
      <c r="H62" s="227">
        <f t="shared" si="5"/>
        <v>0</v>
      </c>
      <c r="I62" s="265" t="e">
        <f t="shared" ca="1" si="6"/>
        <v>#DIV/0!</v>
      </c>
      <c r="J62" s="227" t="e">
        <f t="shared" ca="1" si="7"/>
        <v>#DIV/0!</v>
      </c>
      <c r="K62" s="239" t="e">
        <f t="shared" ca="1" si="8"/>
        <v>#DIV/0!</v>
      </c>
      <c r="L62" s="219" t="e">
        <f t="shared" si="9"/>
        <v>#DIV/0!</v>
      </c>
      <c r="M62" s="227">
        <f t="shared" si="12"/>
        <v>0</v>
      </c>
      <c r="N62" s="239" t="e">
        <f t="shared" si="10"/>
        <v>#DIV/0!</v>
      </c>
      <c r="O62" s="595"/>
      <c r="P62" s="267" t="e">
        <f t="shared" si="11"/>
        <v>#DIV/0!</v>
      </c>
    </row>
    <row r="63" spans="1:16" ht="14.25">
      <c r="A63" s="224">
        <v>42</v>
      </c>
      <c r="B63" s="592"/>
      <c r="C63" s="593"/>
      <c r="D63" s="227">
        <f t="shared" si="3"/>
        <v>0</v>
      </c>
      <c r="E63" s="594"/>
      <c r="F63" s="227" t="e">
        <f ca="1">(E63/$E$79)*'CAM Charges &amp; Cashflow'!CAM</f>
        <v>#DIV/0!</v>
      </c>
      <c r="G63" s="227" t="e">
        <f t="shared" si="4"/>
        <v>#N/A</v>
      </c>
      <c r="H63" s="227">
        <f t="shared" si="5"/>
        <v>0</v>
      </c>
      <c r="I63" s="265" t="e">
        <f t="shared" ca="1" si="6"/>
        <v>#DIV/0!</v>
      </c>
      <c r="J63" s="227" t="e">
        <f t="shared" ca="1" si="7"/>
        <v>#DIV/0!</v>
      </c>
      <c r="K63" s="239" t="e">
        <f t="shared" ca="1" si="8"/>
        <v>#DIV/0!</v>
      </c>
      <c r="L63" s="219" t="e">
        <f t="shared" si="9"/>
        <v>#DIV/0!</v>
      </c>
      <c r="M63" s="227">
        <f t="shared" si="12"/>
        <v>0</v>
      </c>
      <c r="N63" s="239" t="e">
        <f t="shared" si="10"/>
        <v>#DIV/0!</v>
      </c>
      <c r="O63" s="595"/>
      <c r="P63" s="267" t="e">
        <f t="shared" si="11"/>
        <v>#DIV/0!</v>
      </c>
    </row>
    <row r="64" spans="1:16" ht="14.25">
      <c r="A64" s="224">
        <v>43</v>
      </c>
      <c r="B64" s="592"/>
      <c r="C64" s="593"/>
      <c r="D64" s="227">
        <f t="shared" si="3"/>
        <v>0</v>
      </c>
      <c r="E64" s="594"/>
      <c r="F64" s="227" t="e">
        <f ca="1">(E64/$E$79)*'CAM Charges &amp; Cashflow'!CAM</f>
        <v>#DIV/0!</v>
      </c>
      <c r="G64" s="227" t="e">
        <f t="shared" si="4"/>
        <v>#N/A</v>
      </c>
      <c r="H64" s="227">
        <f t="shared" si="5"/>
        <v>0</v>
      </c>
      <c r="I64" s="265" t="e">
        <f t="shared" ca="1" si="6"/>
        <v>#DIV/0!</v>
      </c>
      <c r="J64" s="227" t="e">
        <f t="shared" ca="1" si="7"/>
        <v>#DIV/0!</v>
      </c>
      <c r="K64" s="239" t="e">
        <f t="shared" ca="1" si="8"/>
        <v>#DIV/0!</v>
      </c>
      <c r="L64" s="219" t="e">
        <f t="shared" si="9"/>
        <v>#DIV/0!</v>
      </c>
      <c r="M64" s="227">
        <f t="shared" si="12"/>
        <v>0</v>
      </c>
      <c r="N64" s="239" t="e">
        <f t="shared" si="10"/>
        <v>#DIV/0!</v>
      </c>
      <c r="O64" s="595"/>
      <c r="P64" s="267" t="e">
        <f t="shared" si="11"/>
        <v>#DIV/0!</v>
      </c>
    </row>
    <row r="65" spans="1:16" ht="14.25">
      <c r="A65" s="224">
        <v>44</v>
      </c>
      <c r="B65" s="592"/>
      <c r="C65" s="593"/>
      <c r="D65" s="227">
        <f t="shared" si="3"/>
        <v>0</v>
      </c>
      <c r="E65" s="594"/>
      <c r="F65" s="227" t="e">
        <f ca="1">(E65/$E$79)*'CAM Charges &amp; Cashflow'!CAM</f>
        <v>#DIV/0!</v>
      </c>
      <c r="G65" s="227" t="e">
        <f t="shared" si="4"/>
        <v>#N/A</v>
      </c>
      <c r="H65" s="227">
        <f t="shared" si="5"/>
        <v>0</v>
      </c>
      <c r="I65" s="265" t="e">
        <f t="shared" ca="1" si="6"/>
        <v>#DIV/0!</v>
      </c>
      <c r="J65" s="227" t="e">
        <f t="shared" ca="1" si="7"/>
        <v>#DIV/0!</v>
      </c>
      <c r="K65" s="239" t="e">
        <f t="shared" ca="1" si="8"/>
        <v>#DIV/0!</v>
      </c>
      <c r="L65" s="219" t="e">
        <f t="shared" si="9"/>
        <v>#DIV/0!</v>
      </c>
      <c r="M65" s="227">
        <f t="shared" si="12"/>
        <v>0</v>
      </c>
      <c r="N65" s="239" t="e">
        <f t="shared" si="10"/>
        <v>#DIV/0!</v>
      </c>
      <c r="O65" s="595"/>
      <c r="P65" s="267" t="e">
        <f t="shared" si="11"/>
        <v>#DIV/0!</v>
      </c>
    </row>
    <row r="66" spans="1:16" ht="14.25">
      <c r="A66" s="224">
        <v>45</v>
      </c>
      <c r="B66" s="592"/>
      <c r="C66" s="593"/>
      <c r="D66" s="227">
        <f t="shared" si="3"/>
        <v>0</v>
      </c>
      <c r="E66" s="594"/>
      <c r="F66" s="227" t="e">
        <f ca="1">(E66/$E$79)*'CAM Charges &amp; Cashflow'!CAM</f>
        <v>#DIV/0!</v>
      </c>
      <c r="G66" s="227" t="e">
        <f t="shared" si="4"/>
        <v>#N/A</v>
      </c>
      <c r="H66" s="227">
        <f t="shared" si="5"/>
        <v>0</v>
      </c>
      <c r="I66" s="265" t="e">
        <f t="shared" ca="1" si="6"/>
        <v>#DIV/0!</v>
      </c>
      <c r="J66" s="227" t="e">
        <f t="shared" ca="1" si="7"/>
        <v>#DIV/0!</v>
      </c>
      <c r="K66" s="239" t="e">
        <f t="shared" ca="1" si="8"/>
        <v>#DIV/0!</v>
      </c>
      <c r="L66" s="219" t="e">
        <f t="shared" si="9"/>
        <v>#DIV/0!</v>
      </c>
      <c r="M66" s="227">
        <f t="shared" si="12"/>
        <v>0</v>
      </c>
      <c r="N66" s="239" t="e">
        <f t="shared" si="10"/>
        <v>#DIV/0!</v>
      </c>
      <c r="O66" s="595"/>
      <c r="P66" s="267" t="e">
        <f t="shared" si="11"/>
        <v>#DIV/0!</v>
      </c>
    </row>
    <row r="67" spans="1:16" ht="14.25">
      <c r="A67" s="224">
        <v>46</v>
      </c>
      <c r="B67" s="592"/>
      <c r="C67" s="593"/>
      <c r="D67" s="227">
        <f t="shared" si="3"/>
        <v>0</v>
      </c>
      <c r="E67" s="594"/>
      <c r="F67" s="227" t="e">
        <f ca="1">(E67/$E$79)*'CAM Charges &amp; Cashflow'!CAM</f>
        <v>#DIV/0!</v>
      </c>
      <c r="G67" s="227" t="e">
        <f t="shared" si="4"/>
        <v>#N/A</v>
      </c>
      <c r="H67" s="227">
        <f t="shared" si="5"/>
        <v>0</v>
      </c>
      <c r="I67" s="265" t="e">
        <f t="shared" ca="1" si="6"/>
        <v>#DIV/0!</v>
      </c>
      <c r="J67" s="227" t="e">
        <f t="shared" ca="1" si="7"/>
        <v>#DIV/0!</v>
      </c>
      <c r="K67" s="239" t="e">
        <f t="shared" ca="1" si="8"/>
        <v>#DIV/0!</v>
      </c>
      <c r="L67" s="219" t="e">
        <f t="shared" si="9"/>
        <v>#DIV/0!</v>
      </c>
      <c r="M67" s="227">
        <f t="shared" si="12"/>
        <v>0</v>
      </c>
      <c r="N67" s="239" t="e">
        <f t="shared" si="10"/>
        <v>#DIV/0!</v>
      </c>
      <c r="O67" s="595"/>
      <c r="P67" s="267" t="e">
        <f t="shared" si="11"/>
        <v>#DIV/0!</v>
      </c>
    </row>
    <row r="68" spans="1:16" ht="14.25">
      <c r="A68" s="224">
        <v>47</v>
      </c>
      <c r="B68" s="592"/>
      <c r="C68" s="593"/>
      <c r="D68" s="227">
        <f t="shared" si="3"/>
        <v>0</v>
      </c>
      <c r="E68" s="594"/>
      <c r="F68" s="227" t="e">
        <f ca="1">(E68/$E$79)*'CAM Charges &amp; Cashflow'!CAM</f>
        <v>#DIV/0!</v>
      </c>
      <c r="G68" s="227" t="e">
        <f t="shared" si="4"/>
        <v>#N/A</v>
      </c>
      <c r="H68" s="227">
        <f t="shared" si="5"/>
        <v>0</v>
      </c>
      <c r="I68" s="265" t="e">
        <f t="shared" ca="1" si="6"/>
        <v>#DIV/0!</v>
      </c>
      <c r="J68" s="227" t="e">
        <f t="shared" ca="1" si="7"/>
        <v>#DIV/0!</v>
      </c>
      <c r="K68" s="239" t="e">
        <f t="shared" ca="1" si="8"/>
        <v>#DIV/0!</v>
      </c>
      <c r="L68" s="219" t="e">
        <f t="shared" si="9"/>
        <v>#DIV/0!</v>
      </c>
      <c r="M68" s="227">
        <f t="shared" si="12"/>
        <v>0</v>
      </c>
      <c r="N68" s="239" t="e">
        <f t="shared" si="10"/>
        <v>#DIV/0!</v>
      </c>
      <c r="O68" s="595"/>
      <c r="P68" s="267" t="e">
        <f t="shared" si="11"/>
        <v>#DIV/0!</v>
      </c>
    </row>
    <row r="69" spans="1:16" ht="14.25">
      <c r="A69" s="224">
        <v>48</v>
      </c>
      <c r="B69" s="592"/>
      <c r="C69" s="593"/>
      <c r="D69" s="227">
        <f t="shared" si="3"/>
        <v>0</v>
      </c>
      <c r="E69" s="594"/>
      <c r="F69" s="227" t="e">
        <f ca="1">(E69/$E$79)*'CAM Charges &amp; Cashflow'!CAM</f>
        <v>#DIV/0!</v>
      </c>
      <c r="G69" s="227" t="e">
        <f t="shared" si="4"/>
        <v>#N/A</v>
      </c>
      <c r="H69" s="227">
        <f t="shared" si="5"/>
        <v>0</v>
      </c>
      <c r="I69" s="265" t="e">
        <f t="shared" ca="1" si="6"/>
        <v>#DIV/0!</v>
      </c>
      <c r="J69" s="227" t="e">
        <f t="shared" ca="1" si="7"/>
        <v>#DIV/0!</v>
      </c>
      <c r="K69" s="239" t="e">
        <f t="shared" ca="1" si="8"/>
        <v>#DIV/0!</v>
      </c>
      <c r="L69" s="219" t="e">
        <f t="shared" si="9"/>
        <v>#DIV/0!</v>
      </c>
      <c r="M69" s="227">
        <f t="shared" si="12"/>
        <v>0</v>
      </c>
      <c r="N69" s="239" t="e">
        <f t="shared" si="10"/>
        <v>#DIV/0!</v>
      </c>
      <c r="O69" s="595"/>
      <c r="P69" s="267" t="e">
        <f t="shared" si="11"/>
        <v>#DIV/0!</v>
      </c>
    </row>
    <row r="70" spans="1:16" ht="14.25">
      <c r="A70" s="224">
        <v>49</v>
      </c>
      <c r="B70" s="592"/>
      <c r="C70" s="593"/>
      <c r="D70" s="227">
        <f t="shared" si="3"/>
        <v>0</v>
      </c>
      <c r="E70" s="594"/>
      <c r="F70" s="227" t="e">
        <f ca="1">(E70/$E$79)*'CAM Charges &amp; Cashflow'!CAM</f>
        <v>#DIV/0!</v>
      </c>
      <c r="G70" s="227" t="e">
        <f t="shared" si="4"/>
        <v>#N/A</v>
      </c>
      <c r="H70" s="227">
        <f t="shared" si="5"/>
        <v>0</v>
      </c>
      <c r="I70" s="265" t="e">
        <f t="shared" ca="1" si="6"/>
        <v>#DIV/0!</v>
      </c>
      <c r="J70" s="227" t="e">
        <f t="shared" ca="1" si="7"/>
        <v>#DIV/0!</v>
      </c>
      <c r="K70" s="239" t="e">
        <f t="shared" ca="1" si="8"/>
        <v>#DIV/0!</v>
      </c>
      <c r="L70" s="219" t="e">
        <f t="shared" si="9"/>
        <v>#DIV/0!</v>
      </c>
      <c r="M70" s="227">
        <f t="shared" si="12"/>
        <v>0</v>
      </c>
      <c r="N70" s="239" t="e">
        <f t="shared" si="10"/>
        <v>#DIV/0!</v>
      </c>
      <c r="O70" s="595"/>
      <c r="P70" s="267" t="e">
        <f t="shared" si="11"/>
        <v>#DIV/0!</v>
      </c>
    </row>
    <row r="71" spans="1:16" ht="14.25">
      <c r="A71" s="224">
        <v>50</v>
      </c>
      <c r="B71" s="592"/>
      <c r="C71" s="593"/>
      <c r="D71" s="227">
        <f t="shared" si="3"/>
        <v>0</v>
      </c>
      <c r="E71" s="594"/>
      <c r="F71" s="227" t="e">
        <f ca="1">(E71/$E$79)*'CAM Charges &amp; Cashflow'!CAM</f>
        <v>#DIV/0!</v>
      </c>
      <c r="G71" s="227" t="e">
        <f t="shared" si="4"/>
        <v>#N/A</v>
      </c>
      <c r="H71" s="227">
        <f t="shared" si="5"/>
        <v>0</v>
      </c>
      <c r="I71" s="265" t="e">
        <f t="shared" ca="1" si="6"/>
        <v>#DIV/0!</v>
      </c>
      <c r="J71" s="227" t="e">
        <f t="shared" ca="1" si="7"/>
        <v>#DIV/0!</v>
      </c>
      <c r="K71" s="239" t="e">
        <f t="shared" ca="1" si="8"/>
        <v>#DIV/0!</v>
      </c>
      <c r="L71" s="219" t="e">
        <f t="shared" si="9"/>
        <v>#DIV/0!</v>
      </c>
      <c r="M71" s="227">
        <f t="shared" si="12"/>
        <v>0</v>
      </c>
      <c r="N71" s="239" t="e">
        <f t="shared" si="10"/>
        <v>#DIV/0!</v>
      </c>
      <c r="O71" s="595"/>
      <c r="P71" s="267" t="e">
        <f t="shared" si="11"/>
        <v>#DIV/0!</v>
      </c>
    </row>
    <row r="72" spans="1:16" ht="14.25">
      <c r="A72" s="224">
        <v>51</v>
      </c>
      <c r="B72" s="592"/>
      <c r="C72" s="593"/>
      <c r="D72" s="227">
        <f t="shared" si="3"/>
        <v>0</v>
      </c>
      <c r="E72" s="594"/>
      <c r="F72" s="227" t="e">
        <f ca="1">(E72/$E$79)*'CAM Charges &amp; Cashflow'!CAM</f>
        <v>#DIV/0!</v>
      </c>
      <c r="G72" s="227" t="e">
        <f t="shared" si="4"/>
        <v>#N/A</v>
      </c>
      <c r="H72" s="227">
        <f t="shared" si="5"/>
        <v>0</v>
      </c>
      <c r="I72" s="265" t="e">
        <f t="shared" ca="1" si="6"/>
        <v>#DIV/0!</v>
      </c>
      <c r="J72" s="227" t="e">
        <f t="shared" ca="1" si="7"/>
        <v>#DIV/0!</v>
      </c>
      <c r="K72" s="239" t="e">
        <f t="shared" ca="1" si="8"/>
        <v>#DIV/0!</v>
      </c>
      <c r="L72" s="219" t="e">
        <f t="shared" si="9"/>
        <v>#DIV/0!</v>
      </c>
      <c r="M72" s="227">
        <f t="shared" si="12"/>
        <v>0</v>
      </c>
      <c r="N72" s="239" t="e">
        <f t="shared" si="10"/>
        <v>#DIV/0!</v>
      </c>
      <c r="O72" s="595"/>
      <c r="P72" s="267" t="e">
        <f t="shared" si="11"/>
        <v>#DIV/0!</v>
      </c>
    </row>
    <row r="73" spans="1:16" ht="15.95" customHeight="1">
      <c r="A73" s="224">
        <v>52</v>
      </c>
      <c r="B73" s="592"/>
      <c r="C73" s="593"/>
      <c r="D73" s="227">
        <f t="shared" si="3"/>
        <v>0</v>
      </c>
      <c r="E73" s="594"/>
      <c r="F73" s="227" t="e">
        <f ca="1">(E73/$E$79)*'CAM Charges &amp; Cashflow'!CAM</f>
        <v>#DIV/0!</v>
      </c>
      <c r="G73" s="227" t="e">
        <f t="shared" si="4"/>
        <v>#N/A</v>
      </c>
      <c r="H73" s="227">
        <f t="shared" si="5"/>
        <v>0</v>
      </c>
      <c r="I73" s="265" t="e">
        <f t="shared" ca="1" si="6"/>
        <v>#DIV/0!</v>
      </c>
      <c r="J73" s="227" t="e">
        <f t="shared" ca="1" si="7"/>
        <v>#DIV/0!</v>
      </c>
      <c r="K73" s="239" t="e">
        <f t="shared" ca="1" si="8"/>
        <v>#DIV/0!</v>
      </c>
      <c r="L73" s="219" t="e">
        <f t="shared" si="9"/>
        <v>#DIV/0!</v>
      </c>
      <c r="M73" s="227">
        <f t="shared" si="12"/>
        <v>0</v>
      </c>
      <c r="N73" s="239" t="e">
        <f t="shared" si="10"/>
        <v>#DIV/0!</v>
      </c>
      <c r="O73" s="595"/>
      <c r="P73" s="267" t="e">
        <f t="shared" si="11"/>
        <v>#DIV/0!</v>
      </c>
    </row>
    <row r="74" spans="1:16" ht="14.25">
      <c r="A74" s="224">
        <v>53</v>
      </c>
      <c r="B74" s="592"/>
      <c r="C74" s="593"/>
      <c r="D74" s="227">
        <f t="shared" si="3"/>
        <v>0</v>
      </c>
      <c r="E74" s="594"/>
      <c r="F74" s="227" t="e">
        <f ca="1">(E74/$E$79)*'CAM Charges &amp; Cashflow'!CAM</f>
        <v>#DIV/0!</v>
      </c>
      <c r="G74" s="227" t="e">
        <f t="shared" si="4"/>
        <v>#N/A</v>
      </c>
      <c r="H74" s="227">
        <f t="shared" si="5"/>
        <v>0</v>
      </c>
      <c r="I74" s="265" t="e">
        <f t="shared" ca="1" si="6"/>
        <v>#DIV/0!</v>
      </c>
      <c r="J74" s="227" t="e">
        <f t="shared" ca="1" si="7"/>
        <v>#DIV/0!</v>
      </c>
      <c r="K74" s="239" t="e">
        <f t="shared" ca="1" si="8"/>
        <v>#DIV/0!</v>
      </c>
      <c r="L74" s="219" t="e">
        <f t="shared" si="9"/>
        <v>#DIV/0!</v>
      </c>
      <c r="M74" s="227">
        <f t="shared" si="12"/>
        <v>0</v>
      </c>
      <c r="N74" s="239" t="e">
        <f t="shared" si="10"/>
        <v>#DIV/0!</v>
      </c>
      <c r="O74" s="595"/>
      <c r="P74" s="267" t="e">
        <f t="shared" si="11"/>
        <v>#DIV/0!</v>
      </c>
    </row>
    <row r="75" spans="1:16" ht="14.25">
      <c r="A75" s="224">
        <v>54</v>
      </c>
      <c r="B75" s="592"/>
      <c r="C75" s="593"/>
      <c r="D75" s="227">
        <f t="shared" si="3"/>
        <v>0</v>
      </c>
      <c r="E75" s="594"/>
      <c r="F75" s="227" t="e">
        <f ca="1">(E75/$E$79)*'CAM Charges &amp; Cashflow'!CAM</f>
        <v>#DIV/0!</v>
      </c>
      <c r="G75" s="227" t="e">
        <f t="shared" si="4"/>
        <v>#N/A</v>
      </c>
      <c r="H75" s="227">
        <f t="shared" si="5"/>
        <v>0</v>
      </c>
      <c r="I75" s="265" t="e">
        <f t="shared" ca="1" si="6"/>
        <v>#DIV/0!</v>
      </c>
      <c r="J75" s="227" t="e">
        <f t="shared" ca="1" si="7"/>
        <v>#DIV/0!</v>
      </c>
      <c r="K75" s="239" t="e">
        <f t="shared" ca="1" si="8"/>
        <v>#DIV/0!</v>
      </c>
      <c r="L75" s="219" t="e">
        <f t="shared" si="9"/>
        <v>#DIV/0!</v>
      </c>
      <c r="M75" s="227">
        <f t="shared" si="12"/>
        <v>0</v>
      </c>
      <c r="N75" s="239" t="e">
        <f t="shared" si="10"/>
        <v>#DIV/0!</v>
      </c>
      <c r="O75" s="595"/>
      <c r="P75" s="267" t="e">
        <f t="shared" si="11"/>
        <v>#DIV/0!</v>
      </c>
    </row>
    <row r="76" spans="1:16" ht="14.25">
      <c r="A76" s="224">
        <v>55</v>
      </c>
      <c r="B76" s="592"/>
      <c r="C76" s="593"/>
      <c r="D76" s="227">
        <f t="shared" si="3"/>
        <v>0</v>
      </c>
      <c r="E76" s="594"/>
      <c r="F76" s="227" t="e">
        <f ca="1">(E76/$E$79)*'CAM Charges &amp; Cashflow'!CAM</f>
        <v>#DIV/0!</v>
      </c>
      <c r="G76" s="227" t="e">
        <f t="shared" si="4"/>
        <v>#N/A</v>
      </c>
      <c r="H76" s="227">
        <f t="shared" si="5"/>
        <v>0</v>
      </c>
      <c r="I76" s="265" t="e">
        <f t="shared" ca="1" si="6"/>
        <v>#DIV/0!</v>
      </c>
      <c r="J76" s="227" t="e">
        <f t="shared" ca="1" si="7"/>
        <v>#DIV/0!</v>
      </c>
      <c r="K76" s="239" t="e">
        <f t="shared" ca="1" si="8"/>
        <v>#DIV/0!</v>
      </c>
      <c r="L76" s="219" t="e">
        <f t="shared" si="9"/>
        <v>#DIV/0!</v>
      </c>
      <c r="M76" s="227">
        <f t="shared" si="12"/>
        <v>0</v>
      </c>
      <c r="N76" s="239" t="e">
        <f t="shared" si="10"/>
        <v>#DIV/0!</v>
      </c>
      <c r="O76" s="595"/>
      <c r="P76" s="267" t="e">
        <f t="shared" si="11"/>
        <v>#DIV/0!</v>
      </c>
    </row>
    <row r="77" spans="1:16" ht="14.25">
      <c r="A77" s="224">
        <v>56</v>
      </c>
      <c r="B77" s="592"/>
      <c r="C77" s="593"/>
      <c r="D77" s="227">
        <f t="shared" si="3"/>
        <v>0</v>
      </c>
      <c r="E77" s="594"/>
      <c r="F77" s="227" t="e">
        <f ca="1">(E77/$E$79)*'CAM Charges &amp; Cashflow'!CAM</f>
        <v>#DIV/0!</v>
      </c>
      <c r="G77" s="227" t="e">
        <f t="shared" si="4"/>
        <v>#N/A</v>
      </c>
      <c r="H77" s="227">
        <f t="shared" si="5"/>
        <v>0</v>
      </c>
      <c r="I77" s="265" t="e">
        <f t="shared" ca="1" si="6"/>
        <v>#DIV/0!</v>
      </c>
      <c r="J77" s="227" t="e">
        <f t="shared" ca="1" si="7"/>
        <v>#DIV/0!</v>
      </c>
      <c r="K77" s="239" t="e">
        <f t="shared" ca="1" si="8"/>
        <v>#DIV/0!</v>
      </c>
      <c r="L77" s="219" t="e">
        <f t="shared" si="9"/>
        <v>#DIV/0!</v>
      </c>
      <c r="M77" s="227">
        <f t="shared" si="12"/>
        <v>0</v>
      </c>
      <c r="N77" s="239" t="e">
        <f t="shared" si="10"/>
        <v>#DIV/0!</v>
      </c>
      <c r="O77" s="595"/>
      <c r="P77" s="267" t="e">
        <f t="shared" si="11"/>
        <v>#DIV/0!</v>
      </c>
    </row>
    <row r="78" spans="1:16" ht="14.65" thickBot="1">
      <c r="A78" s="253">
        <v>57</v>
      </c>
      <c r="B78" s="592"/>
      <c r="C78" s="593"/>
      <c r="D78" s="596">
        <f t="shared" si="3"/>
        <v>0</v>
      </c>
      <c r="E78" s="594"/>
      <c r="F78" s="596" t="e">
        <f ca="1">(E78/$E$79)*'CAM Charges &amp; Cashflow'!CAM</f>
        <v>#DIV/0!</v>
      </c>
      <c r="G78" s="596" t="e">
        <f t="shared" si="4"/>
        <v>#N/A</v>
      </c>
      <c r="H78" s="596">
        <f t="shared" si="5"/>
        <v>0</v>
      </c>
      <c r="I78" s="597" t="e">
        <f t="shared" ca="1" si="6"/>
        <v>#DIV/0!</v>
      </c>
      <c r="J78" s="596" t="e">
        <f t="shared" ca="1" si="7"/>
        <v>#DIV/0!</v>
      </c>
      <c r="K78" s="598" t="e">
        <f t="shared" ca="1" si="8"/>
        <v>#DIV/0!</v>
      </c>
      <c r="L78" s="599" t="e">
        <f t="shared" si="9"/>
        <v>#DIV/0!</v>
      </c>
      <c r="M78" s="596">
        <f t="shared" si="12"/>
        <v>0</v>
      </c>
      <c r="N78" s="598" t="e">
        <f t="shared" si="10"/>
        <v>#DIV/0!</v>
      </c>
      <c r="O78" s="595"/>
      <c r="P78" s="600" t="e">
        <f t="shared" si="11"/>
        <v>#DIV/0!</v>
      </c>
    </row>
    <row r="79" spans="1:16" ht="14.65" thickBot="1">
      <c r="A79" s="253"/>
      <c r="B79" s="584"/>
      <c r="C79" s="599">
        <f>SUM(C22:C78)</f>
        <v>0</v>
      </c>
      <c r="D79" s="584"/>
      <c r="E79" s="599">
        <f>SUM(E22:E78)</f>
        <v>0</v>
      </c>
      <c r="F79" s="596" t="e">
        <f ca="1">SUM(F22:F78)</f>
        <v>#DIV/0!</v>
      </c>
      <c r="G79" s="601"/>
      <c r="H79" s="602"/>
      <c r="I79" s="603"/>
      <c r="J79" s="584"/>
      <c r="K79" s="584"/>
      <c r="L79" s="584"/>
      <c r="M79" s="584"/>
      <c r="N79" s="584"/>
      <c r="O79" s="584"/>
      <c r="P79" s="584"/>
    </row>
    <row r="80" spans="1:16" ht="13.9">
      <c r="E80" s="93"/>
      <c r="I80" s="55"/>
    </row>
    <row r="81" spans="5:16">
      <c r="E81" s="93"/>
    </row>
    <row r="82" spans="5:16">
      <c r="E82" s="93"/>
    </row>
    <row r="83" spans="5:16">
      <c r="E83" s="93"/>
    </row>
    <row r="84" spans="5:16">
      <c r="E84" s="93"/>
    </row>
    <row r="85" spans="5:16">
      <c r="E85" s="93"/>
    </row>
    <row r="86" spans="5:16">
      <c r="E86" s="93"/>
    </row>
    <row r="87" spans="5:16">
      <c r="E87" s="93"/>
    </row>
    <row r="88" spans="5:16">
      <c r="E88" s="93"/>
      <c r="O88" s="52"/>
      <c r="P88" s="53"/>
    </row>
    <row r="89" spans="5:16">
      <c r="E89" s="93"/>
      <c r="O89" s="52"/>
      <c r="P89" s="53"/>
    </row>
    <row r="90" spans="5:16">
      <c r="E90" s="93"/>
      <c r="O90" s="52"/>
      <c r="P90" s="53"/>
    </row>
    <row r="91" spans="5:16">
      <c r="E91" s="93"/>
      <c r="O91" s="52"/>
      <c r="P91" s="53"/>
    </row>
    <row r="92" spans="5:16">
      <c r="E92" s="93"/>
    </row>
    <row r="93" spans="5:16">
      <c r="E93" s="93"/>
    </row>
    <row r="94" spans="5:16">
      <c r="E94" s="93"/>
    </row>
    <row r="95" spans="5:16">
      <c r="E95" s="93"/>
    </row>
    <row r="96" spans="5:16">
      <c r="E96" s="93"/>
    </row>
    <row r="97" spans="5:5">
      <c r="E97" s="93"/>
    </row>
    <row r="98" spans="5:5">
      <c r="E98" s="93"/>
    </row>
    <row r="99" spans="5:5">
      <c r="E99" s="93"/>
    </row>
    <row r="100" spans="5:5" ht="15" customHeight="1">
      <c r="E100" s="93"/>
    </row>
    <row r="101" spans="5:5" ht="15" customHeight="1">
      <c r="E101" s="93"/>
    </row>
    <row r="102" spans="5:5" ht="15" customHeight="1">
      <c r="E102" s="93"/>
    </row>
    <row r="103" spans="5:5" ht="15" customHeight="1"/>
    <row r="104" spans="5:5" ht="15" customHeight="1"/>
    <row r="105" spans="5:5" ht="15" customHeight="1"/>
    <row r="106" spans="5:5" ht="15" customHeight="1"/>
    <row r="107" spans="5:5" ht="15" customHeight="1"/>
    <row r="108" spans="5:5" ht="15" customHeight="1"/>
    <row r="109" spans="5:5" ht="15" customHeight="1"/>
    <row r="110" spans="5:5" ht="15" customHeight="1"/>
    <row r="111" spans="5:5" ht="15" customHeight="1"/>
    <row r="112" spans="5:5" ht="15" customHeight="1"/>
    <row r="113" ht="15" customHeight="1"/>
  </sheetData>
  <mergeCells count="2">
    <mergeCell ref="N6:O6"/>
    <mergeCell ref="F6:G6"/>
  </mergeCells>
  <dataValidations count="2">
    <dataValidation type="list" allowBlank="1" showInputMessage="1" showErrorMessage="1" sqref="B22:B78" xr:uid="{00000000-0002-0000-0600-000000000000}">
      <formula1>$J$7:$J$11</formula1>
    </dataValidation>
    <dataValidation type="list" allowBlank="1" showInputMessage="1" showErrorMessage="1" sqref="G15" xr:uid="{00000000-0002-0000-0600-000001000000}">
      <formula1>$J$13:$N$13</formula1>
    </dataValidation>
  </dataValidations>
  <pageMargins left="0.25" right="0.25" top="0.75" bottom="0.75" header="0.3" footer="0.3"/>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9"/>
  <sheetViews>
    <sheetView zoomScaleNormal="100" workbookViewId="0">
      <selection activeCell="N21" sqref="N21"/>
    </sheetView>
  </sheetViews>
  <sheetFormatPr defaultColWidth="11.3984375" defaultRowHeight="13.5"/>
  <cols>
    <col min="1" max="6" width="13.59765625" style="161" customWidth="1"/>
    <col min="7" max="9" width="13.59765625" style="162" customWidth="1"/>
    <col min="10" max="10" width="13.59765625" style="161" customWidth="1"/>
    <col min="11" max="11" width="1.3984375" style="161" customWidth="1"/>
    <col min="12" max="14" width="13.59765625" style="161" customWidth="1"/>
    <col min="15" max="17" width="13.265625" style="161" customWidth="1"/>
    <col min="18" max="18" width="4.265625" style="161" customWidth="1"/>
    <col min="19" max="16384" width="11.3984375" style="161"/>
  </cols>
  <sheetData>
    <row r="1" spans="1:12" ht="13.9">
      <c r="A1" s="48" t="str">
        <f>'Project Overview'!A1</f>
        <v>Project Name</v>
      </c>
    </row>
    <row r="2" spans="1:12" ht="13.9">
      <c r="A2" s="48" t="str">
        <f>'Project Overview'!A2</f>
        <v>Developer</v>
      </c>
    </row>
    <row r="3" spans="1:12" ht="13.9">
      <c r="A3" s="48" t="str">
        <f>'Project Overview'!A3</f>
        <v>Address</v>
      </c>
    </row>
    <row r="4" spans="1:12" ht="13.9">
      <c r="A4" s="48" t="str">
        <f>'Project Overview'!A4</f>
        <v>BBL</v>
      </c>
    </row>
    <row r="6" spans="1:12" ht="13.9">
      <c r="A6" s="163" t="s">
        <v>247</v>
      </c>
      <c r="B6" s="164"/>
      <c r="H6" s="165"/>
      <c r="I6" s="165"/>
    </row>
    <row r="7" spans="1:12" ht="13.9">
      <c r="A7" s="164"/>
      <c r="B7" s="164"/>
      <c r="H7" s="165"/>
      <c r="I7" s="161"/>
    </row>
    <row r="8" spans="1:12">
      <c r="G8" s="162" t="s">
        <v>248</v>
      </c>
      <c r="H8" s="162" t="s">
        <v>249</v>
      </c>
      <c r="I8" s="162" t="s">
        <v>31</v>
      </c>
    </row>
    <row r="9" spans="1:12">
      <c r="G9" s="162" t="s">
        <v>250</v>
      </c>
      <c r="H9" s="162" t="s">
        <v>250</v>
      </c>
      <c r="I9" s="162" t="s">
        <v>250</v>
      </c>
    </row>
    <row r="10" spans="1:12" ht="14.25">
      <c r="A10" s="604">
        <v>90600</v>
      </c>
      <c r="B10" s="166"/>
      <c r="C10" s="165" t="s">
        <v>251</v>
      </c>
      <c r="F10" s="167" t="s">
        <v>252</v>
      </c>
      <c r="G10" s="605">
        <v>39</v>
      </c>
      <c r="H10" s="605">
        <v>16</v>
      </c>
      <c r="I10" s="604">
        <f t="shared" ref="I10:I15" si="0">SUM(G10:H10)</f>
        <v>55</v>
      </c>
      <c r="J10" s="168"/>
      <c r="L10" s="169"/>
    </row>
    <row r="11" spans="1:12" ht="14.25">
      <c r="A11" s="604">
        <v>1571</v>
      </c>
      <c r="B11" s="606"/>
      <c r="C11" s="607" t="s">
        <v>253</v>
      </c>
      <c r="F11" s="167" t="s">
        <v>155</v>
      </c>
      <c r="G11" s="605">
        <v>40</v>
      </c>
      <c r="H11" s="605">
        <v>17</v>
      </c>
      <c r="I11" s="604">
        <f t="shared" si="0"/>
        <v>57</v>
      </c>
      <c r="J11" s="168"/>
      <c r="L11" s="169"/>
    </row>
    <row r="12" spans="1:12" ht="14.25">
      <c r="A12" s="608">
        <v>0.33</v>
      </c>
      <c r="B12" s="170"/>
      <c r="C12" s="161" t="s">
        <v>254</v>
      </c>
      <c r="F12" s="167" t="s">
        <v>156</v>
      </c>
      <c r="G12" s="605">
        <v>41</v>
      </c>
      <c r="H12" s="605">
        <v>17</v>
      </c>
      <c r="I12" s="604">
        <f t="shared" si="0"/>
        <v>58</v>
      </c>
      <c r="J12" s="168"/>
      <c r="L12" s="169"/>
    </row>
    <row r="13" spans="1:12" ht="14.25">
      <c r="F13" s="167" t="s">
        <v>157</v>
      </c>
      <c r="G13" s="605">
        <v>54</v>
      </c>
      <c r="H13" s="605">
        <v>18</v>
      </c>
      <c r="I13" s="604">
        <f t="shared" si="0"/>
        <v>72</v>
      </c>
      <c r="J13" s="168"/>
      <c r="L13" s="169"/>
    </row>
    <row r="14" spans="1:12" ht="14.25">
      <c r="F14" s="167" t="s">
        <v>158</v>
      </c>
      <c r="G14" s="605">
        <v>55</v>
      </c>
      <c r="H14" s="605">
        <v>20</v>
      </c>
      <c r="I14" s="604">
        <f t="shared" si="0"/>
        <v>75</v>
      </c>
      <c r="J14" s="168"/>
      <c r="L14" s="169"/>
    </row>
    <row r="15" spans="1:12" ht="14.25">
      <c r="A15" s="685" t="s">
        <v>255</v>
      </c>
      <c r="B15" s="685"/>
      <c r="C15" s="685"/>
      <c r="D15" s="685"/>
      <c r="E15" s="455"/>
      <c r="F15" s="167" t="s">
        <v>159</v>
      </c>
      <c r="G15" s="605">
        <v>66</v>
      </c>
      <c r="H15" s="605">
        <v>20</v>
      </c>
      <c r="I15" s="604">
        <f t="shared" si="0"/>
        <v>86</v>
      </c>
      <c r="J15" s="168"/>
      <c r="L15" s="169"/>
    </row>
    <row r="16" spans="1:12" ht="13.9">
      <c r="A16" s="686" t="s">
        <v>256</v>
      </c>
      <c r="B16" s="686"/>
      <c r="C16" s="686"/>
      <c r="D16" s="686"/>
      <c r="E16" s="456"/>
      <c r="H16" s="165"/>
    </row>
    <row r="17" spans="1:27" ht="13.9">
      <c r="F17" s="167" t="s">
        <v>257</v>
      </c>
      <c r="G17" s="609">
        <v>42370</v>
      </c>
      <c r="H17" s="171" t="s">
        <v>258</v>
      </c>
    </row>
    <row r="18" spans="1:27" ht="13.9">
      <c r="A18" s="164"/>
      <c r="B18" s="164"/>
      <c r="H18" s="165"/>
    </row>
    <row r="19" spans="1:27" ht="13.9">
      <c r="A19" s="608">
        <v>1</v>
      </c>
      <c r="B19" s="610"/>
      <c r="C19" s="611" t="s">
        <v>154</v>
      </c>
      <c r="D19" s="604">
        <f>IF($A$19=50%,CEILING(MROUND(MROUND($A$10*50%,50)*$A$19/50%,50)*M25,50),CEILING(MROUND($A$10*50%,50)*M25,50)*$A$19/50%)</f>
        <v>90600</v>
      </c>
      <c r="E19" s="612"/>
      <c r="F19" s="613" t="s">
        <v>251</v>
      </c>
      <c r="G19" s="614"/>
      <c r="H19" s="614"/>
      <c r="I19" s="614"/>
      <c r="J19" s="614"/>
      <c r="K19" s="614"/>
      <c r="L19" s="614"/>
      <c r="M19" s="614"/>
      <c r="N19" s="614"/>
    </row>
    <row r="20" spans="1:27">
      <c r="G20" s="615"/>
      <c r="H20" s="615"/>
      <c r="I20" s="615"/>
      <c r="J20" s="616"/>
      <c r="L20" s="617"/>
      <c r="M20" s="618"/>
      <c r="N20" s="619" t="s">
        <v>259</v>
      </c>
    </row>
    <row r="21" spans="1:27" ht="13.9">
      <c r="A21" s="620"/>
      <c r="B21" s="621"/>
      <c r="C21" s="621"/>
      <c r="D21" s="621"/>
      <c r="E21" s="621"/>
      <c r="F21" s="621"/>
      <c r="G21" s="622" t="s">
        <v>260</v>
      </c>
      <c r="H21" s="622" t="s">
        <v>260</v>
      </c>
      <c r="I21" s="622" t="s">
        <v>260</v>
      </c>
      <c r="J21" s="619" t="s">
        <v>260</v>
      </c>
      <c r="K21" s="162"/>
      <c r="L21" s="623" t="s">
        <v>149</v>
      </c>
      <c r="M21" s="172" t="s">
        <v>148</v>
      </c>
      <c r="N21" s="173" t="s">
        <v>261</v>
      </c>
    </row>
    <row r="22" spans="1:27" ht="14.25">
      <c r="A22" s="624"/>
      <c r="B22" s="174"/>
      <c r="C22" s="174"/>
      <c r="D22" s="174"/>
      <c r="E22" s="174"/>
      <c r="F22" s="175" t="s">
        <v>259</v>
      </c>
      <c r="G22" s="175" t="s">
        <v>262</v>
      </c>
      <c r="H22" s="175" t="s">
        <v>263</v>
      </c>
      <c r="I22" s="175" t="s">
        <v>263</v>
      </c>
      <c r="J22" s="176" t="s">
        <v>264</v>
      </c>
      <c r="K22" s="177"/>
      <c r="L22" s="625">
        <f t="shared" ref="L22:L27" si="1">L23-1</f>
        <v>1</v>
      </c>
      <c r="M22" s="626">
        <v>0.7</v>
      </c>
      <c r="N22" s="604">
        <f>IF($A$19=50%,CEILING(MROUND(MROUND($A$10*50%,50)*$A$19/50%,50)*M22,50),CEILING(MROUND($A$10*50%,50)*M22,50)*$A$19/50%)</f>
        <v>63500</v>
      </c>
      <c r="O22" s="178"/>
      <c r="P22" s="169"/>
    </row>
    <row r="23" spans="1:27" ht="14.25">
      <c r="A23" s="627"/>
      <c r="B23" s="628"/>
      <c r="C23" s="629" t="s">
        <v>265</v>
      </c>
      <c r="D23" s="630" t="s">
        <v>266</v>
      </c>
      <c r="E23" s="630" t="s">
        <v>267</v>
      </c>
      <c r="F23" s="631" t="s">
        <v>261</v>
      </c>
      <c r="G23" s="632" t="s">
        <v>111</v>
      </c>
      <c r="H23" s="633" t="s">
        <v>248</v>
      </c>
      <c r="I23" s="633" t="s">
        <v>249</v>
      </c>
      <c r="J23" s="634" t="s">
        <v>248</v>
      </c>
      <c r="K23" s="179"/>
      <c r="L23" s="625">
        <f t="shared" si="1"/>
        <v>2</v>
      </c>
      <c r="M23" s="626">
        <f>M22+0.1</f>
        <v>0.79999999999999993</v>
      </c>
      <c r="N23" s="604">
        <f t="shared" ref="N23:N29" si="2">IF($A$19=50%,CEILING(MROUND(MROUND($A$10*50%,50)*$A$19/50%,50)*M23,50),CEILING(MROUND($A$10*50%,50)*M23,50)*$A$19/50%)</f>
        <v>72500</v>
      </c>
      <c r="O23" s="178"/>
      <c r="P23" s="169"/>
    </row>
    <row r="24" spans="1:27" ht="14.25">
      <c r="A24" s="625" t="s">
        <v>252</v>
      </c>
      <c r="B24" s="635"/>
      <c r="C24" s="635">
        <v>1</v>
      </c>
      <c r="D24" s="636">
        <f>IF(AND(A19&lt;=60%,$A$16="New Construction/Special Needs"),0.6,(IF(AND(A19&lt;=60%,$A$16="Preservation/Rehab"),0.7,0.6)))</f>
        <v>0.6</v>
      </c>
      <c r="E24" s="636" t="s">
        <v>36</v>
      </c>
      <c r="F24" s="637">
        <f>IF($A$19=50%,CEILING(MROUND(MROUND($A$10*50%,50)*$A$19/50%,50)*D24,50),CEILING(MROUND($A$10*50%,50)*D24,50)*$A$19/50%)</f>
        <v>54400</v>
      </c>
      <c r="G24" s="638">
        <f t="shared" ref="G24:G29" si="3">ROUNDDOWN(F24*$A$12/12,0)</f>
        <v>1496</v>
      </c>
      <c r="H24" s="638">
        <f t="shared" ref="H24:H29" si="4">G24-VLOOKUP(A24,$F$10:$H$15,2,FALSE)</f>
        <v>1457</v>
      </c>
      <c r="I24" s="638">
        <f t="shared" ref="I24:I29" si="5">G24-VLOOKUP(A24,$F$10:$H$15,3,FALSE)</f>
        <v>1480</v>
      </c>
      <c r="J24" s="639">
        <f t="shared" ref="J24:J29" si="6">H24-VLOOKUP(A24,$F$10:$H$15,3,FALSE)</f>
        <v>1441</v>
      </c>
      <c r="K24" s="180"/>
      <c r="L24" s="625">
        <f t="shared" si="1"/>
        <v>3</v>
      </c>
      <c r="M24" s="626">
        <f>M23+0.1</f>
        <v>0.89999999999999991</v>
      </c>
      <c r="N24" s="604">
        <f t="shared" si="2"/>
        <v>81600</v>
      </c>
      <c r="O24" s="178"/>
      <c r="P24" s="169"/>
    </row>
    <row r="25" spans="1:27" ht="14.25">
      <c r="A25" s="625" t="s">
        <v>155</v>
      </c>
      <c r="B25" s="635"/>
      <c r="C25" s="635">
        <v>1.5</v>
      </c>
      <c r="D25" s="636">
        <v>0.75</v>
      </c>
      <c r="E25" s="640">
        <v>1</v>
      </c>
      <c r="F25" s="637">
        <f>AVERAGE(N22:N23)</f>
        <v>68000</v>
      </c>
      <c r="G25" s="638">
        <f>ROUNDDOWN(F25*$A$12/12,0)</f>
        <v>1870</v>
      </c>
      <c r="H25" s="638">
        <f t="shared" si="4"/>
        <v>1830</v>
      </c>
      <c r="I25" s="638">
        <f t="shared" si="5"/>
        <v>1853</v>
      </c>
      <c r="J25" s="639">
        <f t="shared" si="6"/>
        <v>1813</v>
      </c>
      <c r="K25" s="180"/>
      <c r="L25" s="625">
        <f t="shared" si="1"/>
        <v>4</v>
      </c>
      <c r="M25" s="626">
        <f>M24+0.1</f>
        <v>0.99999999999999989</v>
      </c>
      <c r="N25" s="604">
        <f>IF($A$19=50%,CEILING(MROUND(MROUND($A$10*50%,50)*$A$19/50%,50)*M25,50),CEILING(MROUND($A$10*50%,50)*M25,50)*$A$19/50%)</f>
        <v>90600</v>
      </c>
      <c r="O25" s="178"/>
      <c r="P25" s="169"/>
      <c r="S25" s="181"/>
      <c r="T25" s="181"/>
      <c r="U25" s="181"/>
      <c r="V25" s="181"/>
      <c r="W25" s="181"/>
      <c r="X25" s="181"/>
      <c r="Y25" s="181"/>
      <c r="Z25" s="181"/>
      <c r="AA25" s="181"/>
    </row>
    <row r="26" spans="1:27" ht="14.25">
      <c r="A26" s="625" t="s">
        <v>156</v>
      </c>
      <c r="B26" s="635"/>
      <c r="C26" s="635">
        <v>3</v>
      </c>
      <c r="D26" s="636">
        <v>0.9</v>
      </c>
      <c r="E26" s="640">
        <v>2</v>
      </c>
      <c r="F26" s="637">
        <f>IF($A$19=50%,CEILING(MROUND(MROUND($A$10*50%,50)*$A$19/50%,50)*D26,50),CEILING(MROUND($A$10*50%,50)*D26,50)*$A$19/50%)</f>
        <v>81600</v>
      </c>
      <c r="G26" s="638">
        <f t="shared" si="3"/>
        <v>2244</v>
      </c>
      <c r="H26" s="638">
        <f t="shared" si="4"/>
        <v>2203</v>
      </c>
      <c r="I26" s="638">
        <f t="shared" si="5"/>
        <v>2227</v>
      </c>
      <c r="J26" s="639">
        <f t="shared" si="6"/>
        <v>2186</v>
      </c>
      <c r="K26" s="180"/>
      <c r="L26" s="625">
        <f t="shared" si="1"/>
        <v>5</v>
      </c>
      <c r="M26" s="626">
        <f>M25+0.08</f>
        <v>1.0799999999999998</v>
      </c>
      <c r="N26" s="604">
        <f t="shared" si="2"/>
        <v>97900</v>
      </c>
      <c r="O26" s="178"/>
      <c r="P26" s="169"/>
      <c r="S26" s="181"/>
      <c r="T26" s="181"/>
      <c r="U26" s="181"/>
      <c r="V26" s="181"/>
      <c r="W26" s="181"/>
      <c r="X26" s="181"/>
      <c r="Y26" s="181"/>
      <c r="Z26" s="181"/>
      <c r="AA26" s="181"/>
    </row>
    <row r="27" spans="1:27" ht="14.25">
      <c r="A27" s="625" t="s">
        <v>157</v>
      </c>
      <c r="B27" s="635"/>
      <c r="C27" s="635">
        <v>4.5</v>
      </c>
      <c r="D27" s="636">
        <v>1.04</v>
      </c>
      <c r="E27" s="640">
        <v>3</v>
      </c>
      <c r="F27" s="637">
        <f>AVERAGE(N25:N26)</f>
        <v>94250</v>
      </c>
      <c r="G27" s="638">
        <f t="shared" si="3"/>
        <v>2591</v>
      </c>
      <c r="H27" s="638">
        <f t="shared" si="4"/>
        <v>2537</v>
      </c>
      <c r="I27" s="638">
        <f t="shared" si="5"/>
        <v>2573</v>
      </c>
      <c r="J27" s="639">
        <f t="shared" si="6"/>
        <v>2519</v>
      </c>
      <c r="K27" s="180"/>
      <c r="L27" s="625">
        <f t="shared" si="1"/>
        <v>6</v>
      </c>
      <c r="M27" s="626">
        <f>M26+0.08</f>
        <v>1.1599999999999999</v>
      </c>
      <c r="N27" s="604">
        <f t="shared" si="2"/>
        <v>105100</v>
      </c>
      <c r="O27" s="178"/>
      <c r="P27" s="169"/>
      <c r="S27" s="181"/>
      <c r="T27" s="181"/>
      <c r="U27" s="181"/>
      <c r="V27" s="181"/>
      <c r="W27" s="181"/>
      <c r="X27" s="181"/>
      <c r="Y27" s="181"/>
      <c r="Z27" s="181"/>
      <c r="AA27" s="181"/>
    </row>
    <row r="28" spans="1:27" ht="14.25">
      <c r="A28" s="625" t="s">
        <v>158</v>
      </c>
      <c r="B28" s="635"/>
      <c r="C28" s="635">
        <v>6</v>
      </c>
      <c r="D28" s="636">
        <v>1.1599999999999999</v>
      </c>
      <c r="E28" s="640">
        <v>4</v>
      </c>
      <c r="F28" s="637">
        <f>IF($A$19=50%,CEILING(MROUND(MROUND($A$10*50%,50)*$A$19/50%,50)*D28,50),CEILING(MROUND($A$10*50%,50)*D28,50)*$A$19/50%)</f>
        <v>105100</v>
      </c>
      <c r="G28" s="638">
        <f t="shared" si="3"/>
        <v>2890</v>
      </c>
      <c r="H28" s="638">
        <f t="shared" si="4"/>
        <v>2835</v>
      </c>
      <c r="I28" s="638">
        <f t="shared" si="5"/>
        <v>2870</v>
      </c>
      <c r="J28" s="639">
        <f t="shared" si="6"/>
        <v>2815</v>
      </c>
      <c r="K28" s="180"/>
      <c r="L28" s="625">
        <f>L29-1</f>
        <v>7</v>
      </c>
      <c r="M28" s="626">
        <f>M27+0.08</f>
        <v>1.24</v>
      </c>
      <c r="N28" s="604">
        <f t="shared" si="2"/>
        <v>112400</v>
      </c>
      <c r="O28" s="178"/>
      <c r="P28" s="169"/>
      <c r="S28" s="181"/>
      <c r="T28" s="181"/>
      <c r="U28" s="181"/>
      <c r="V28" s="181"/>
    </row>
    <row r="29" spans="1:27" ht="14.25">
      <c r="A29" s="625" t="s">
        <v>159</v>
      </c>
      <c r="B29" s="635"/>
      <c r="C29" s="635">
        <v>7.5</v>
      </c>
      <c r="D29" s="636">
        <f>1.28</f>
        <v>1.28</v>
      </c>
      <c r="E29" s="640">
        <v>5</v>
      </c>
      <c r="F29" s="637">
        <f>AVERAGE(N28:N29)</f>
        <v>116000</v>
      </c>
      <c r="G29" s="638">
        <f t="shared" si="3"/>
        <v>3190</v>
      </c>
      <c r="H29" s="638">
        <f t="shared" si="4"/>
        <v>3124</v>
      </c>
      <c r="I29" s="638">
        <f t="shared" si="5"/>
        <v>3170</v>
      </c>
      <c r="J29" s="639">
        <f t="shared" si="6"/>
        <v>3104</v>
      </c>
      <c r="K29" s="180"/>
      <c r="L29" s="625">
        <v>8</v>
      </c>
      <c r="M29" s="626">
        <f>M28+0.08</f>
        <v>1.32</v>
      </c>
      <c r="N29" s="604">
        <f t="shared" si="2"/>
        <v>119600</v>
      </c>
      <c r="O29" s="178"/>
      <c r="P29" s="169"/>
      <c r="S29" s="181"/>
      <c r="T29" s="181"/>
      <c r="U29" s="181"/>
      <c r="V29" s="181"/>
    </row>
  </sheetData>
  <mergeCells count="2">
    <mergeCell ref="A15:D15"/>
    <mergeCell ref="A16:D16"/>
  </mergeCells>
  <conditionalFormatting sqref="D24:E24">
    <cfRule type="expression" dxfId="0" priority="1">
      <formula>D24&lt;0.7</formula>
    </cfRule>
  </conditionalFormatting>
  <dataValidations count="1">
    <dataValidation type="list" allowBlank="1" showInputMessage="1" showErrorMessage="1" sqref="A16:B16" xr:uid="{00000000-0002-0000-0700-000000000000}">
      <formula1>ProjectType</formula1>
    </dataValidation>
  </dataValidations>
  <pageMargins left="0.7" right="0.7" top="0.75" bottom="0.75" header="0.3" footer="0.3"/>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ce6407ea-3f2c-4b1f-9bb3-8b6e67c68c17" xsi:nil="true"/>
    <TaxCatchAll xmlns="a87c9a78-4c74-453b-87e3-f984359c2a8d" xsi:nil="true"/>
    <lcf76f155ced4ddcb4097134ff3c332f xmlns="ce6407ea-3f2c-4b1f-9bb3-8b6e67c68c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FE649AC536A145A9D0B3571A2198F2" ma:contentTypeVersion="18" ma:contentTypeDescription="Create a new document." ma:contentTypeScope="" ma:versionID="9c7a88cb8a4c5d039bdbab31de1d8c50">
  <xsd:schema xmlns:xsd="http://www.w3.org/2001/XMLSchema" xmlns:xs="http://www.w3.org/2001/XMLSchema" xmlns:p="http://schemas.microsoft.com/office/2006/metadata/properties" xmlns:ns2="ce6407ea-3f2c-4b1f-9bb3-8b6e67c68c17" xmlns:ns3="a87c9a78-4c74-453b-87e3-f984359c2a8d" targetNamespace="http://schemas.microsoft.com/office/2006/metadata/properties" ma:root="true" ma:fieldsID="a9e1ad9b87938f0f97da7ab7b19124c2" ns2:_="" ns3:_="">
    <xsd:import namespace="ce6407ea-3f2c-4b1f-9bb3-8b6e67c68c17"/>
    <xsd:import namespace="a87c9a78-4c74-453b-87e3-f984359c2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Numbe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07ea-3f2c-4b1f-9bb3-8b6e67c68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7c9a78-4c74-453b-87e3-f984359c2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d04ade-61c1-49cd-9efb-d12455152372}" ma:internalName="TaxCatchAll" ma:showField="CatchAllData" ma:web="a87c9a78-4c74-453b-87e3-f984359c2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65164-B8D5-44DB-91DA-486933DA1CA8}">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a87c9a78-4c74-453b-87e3-f984359c2a8d"/>
    <ds:schemaRef ds:uri="ce6407ea-3f2c-4b1f-9bb3-8b6e67c68c17"/>
    <ds:schemaRef ds:uri="http://www.w3.org/XML/1998/namespace"/>
    <ds:schemaRef ds:uri="http://purl.org/dc/terms/"/>
  </ds:schemaRefs>
</ds:datastoreItem>
</file>

<file path=customXml/itemProps2.xml><?xml version="1.0" encoding="utf-8"?>
<ds:datastoreItem xmlns:ds="http://schemas.openxmlformats.org/officeDocument/2006/customXml" ds:itemID="{ADFFB04D-34FD-4409-8702-91D8D495ABC7}">
  <ds:schemaRefs>
    <ds:schemaRef ds:uri="http://schemas.microsoft.com/sharepoint/v3/contenttype/forms"/>
  </ds:schemaRefs>
</ds:datastoreItem>
</file>

<file path=customXml/itemProps3.xml><?xml version="1.0" encoding="utf-8"?>
<ds:datastoreItem xmlns:ds="http://schemas.openxmlformats.org/officeDocument/2006/customXml" ds:itemID="{E5421DBE-AE21-47B8-8B56-AAA9FEAF40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07ea-3f2c-4b1f-9bb3-8b6e67c68c17"/>
    <ds:schemaRef ds:uri="a87c9a78-4c74-453b-87e3-f984359c2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Instructions</vt:lpstr>
      <vt:lpstr>Project Overview</vt:lpstr>
      <vt:lpstr>S+U</vt:lpstr>
      <vt:lpstr>Dev Budget</vt:lpstr>
      <vt:lpstr>Const. Loan Interest</vt:lpstr>
      <vt:lpstr>Sale Proceeds OLD</vt:lpstr>
      <vt:lpstr>Permanent Loan</vt:lpstr>
      <vt:lpstr>Sale Proceeds</vt:lpstr>
      <vt:lpstr>HH Factor</vt:lpstr>
      <vt:lpstr>CAM Charges &amp; Cashflow</vt:lpstr>
      <vt:lpstr>Project Sellout</vt:lpstr>
      <vt:lpstr>Draw Schedule</vt:lpstr>
      <vt:lpstr>'CAM Charges &amp; Cashflow'!CAM</vt:lpstr>
      <vt:lpstr>GSF</vt:lpstr>
      <vt:lpstr>'CAM Charges &amp; Cashflow'!Print_Area</vt:lpstr>
      <vt:lpstr>'Const. Loan Interest'!Print_Area</vt:lpstr>
      <vt:lpstr>'Dev Budget'!Print_Area</vt:lpstr>
      <vt:lpstr>'Permanent Loan'!Print_Area</vt:lpstr>
      <vt:lpstr>'Project Sellout'!Print_Area</vt:lpstr>
      <vt:lpstr>'S+U'!Print_Area</vt:lpstr>
      <vt:lpstr>'Sale Proceeds'!Print_Area</vt:lpstr>
      <vt:lpstr>'Sale Proceeds OLD'!Print_Area</vt:lpstr>
      <vt:lpstr>TDC</vt:lpstr>
      <vt:lpstr>TOTALAHC</vt:lpstr>
      <vt:lpstr>TOTALAHOP</vt:lpstr>
      <vt:lpstr>TOTALDU</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Morgan Perez</dc:creator>
  <cp:keywords/>
  <dc:description/>
  <cp:lastModifiedBy>Anand, Puja  (HPD)</cp:lastModifiedBy>
  <cp:revision/>
  <dcterms:created xsi:type="dcterms:W3CDTF">2014-04-08T22:41:51Z</dcterms:created>
  <dcterms:modified xsi:type="dcterms:W3CDTF">2025-07-31T19:37:08Z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0x01010066FE649AC536A145A9D0B3571A2198F2</vt:lpwstr>
  </property>
  <property fmtid="{D5CDD505-2E9C-101B-9397-08002B2CF9AE}" pid="3" name="MediaServiceImageTags">
    <vt:lpwstr/>
  </property>
  <property fmtid="{D5CDD505-2E9C-101B-9397-08002B2CF9AE}" pid="4" name="MSIP_Label_ebba276f-0474-4e48-a2bc-69b0eb22318c_Enabled">
    <vt:lpwstr>true</vt:lpwstr>
  </property>
  <property fmtid="{D5CDD505-2E9C-101B-9397-08002B2CF9AE}" pid="5" name="MSIP_Label_ebba276f-0474-4e48-a2bc-69b0eb22318c_SetDate">
    <vt:lpwstr>2024-09-17T20:48:14Z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be6d7501-c64e-4010-b716-5d4a705f9c1a</vt:lpwstr>
  </property>
  <property fmtid="{D5CDD505-2E9C-101B-9397-08002B2CF9AE}" pid="10" name="MSIP_Label_ebba276f-0474-4e48-a2bc-69b0eb22318c_ContentBits">
    <vt:lpwstr>0</vt:lpwstr>
  </property>
</Properties>
</file>